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activeTab="17"/>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state="hidden" r:id="rId9"/>
    <sheet name="Ki" sheetId="5" r:id="rId10"/>
    <sheet name="Creación de Técnicas" sheetId="25" r:id="rId11"/>
    <sheet name="Elan" sheetId="23" r:id="rId12"/>
    <sheet name="Personalización" sheetId="9"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state="hidden"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10">'Creación de Técnicas'!$A$1:$BH$80</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43" i="25" l="1"/>
  <c r="AM42" i="25"/>
  <c r="AM41" i="25"/>
  <c r="AM40" i="25"/>
  <c r="U12" i="25"/>
  <c r="AM37" i="25"/>
  <c r="AM36" i="25" a="1"/>
  <c r="AY20" i="25"/>
  <c r="AY19" i="25"/>
  <c r="AY18" i="25"/>
  <c r="AY17" i="25"/>
  <c r="AY16" i="25"/>
  <c r="P16" i="25" l="1"/>
  <c r="AV18" i="25" l="1"/>
  <c r="AV19" i="25"/>
  <c r="AV20" i="25"/>
  <c r="X443" i="26"/>
  <c r="X442" i="26"/>
  <c r="X441" i="26"/>
  <c r="X440" i="26"/>
  <c r="X439" i="26"/>
  <c r="X444" i="26"/>
  <c r="D65" i="26"/>
  <c r="L18" i="26"/>
  <c r="L32" i="26"/>
  <c r="L37" i="26"/>
  <c r="L41" i="26"/>
  <c r="L48" i="26"/>
  <c r="L53" i="26"/>
  <c r="L63" i="26"/>
  <c r="L65" i="26"/>
  <c r="AB323" i="25" l="1"/>
  <c r="AG333" i="25" s="1"/>
  <c r="V323" i="25"/>
  <c r="AA330" i="25" s="1"/>
  <c r="P323" i="25"/>
  <c r="U331" i="25" s="1"/>
  <c r="J323" i="25"/>
  <c r="O332" i="25" s="1"/>
  <c r="D323" i="25"/>
  <c r="I333" i="25" s="1"/>
  <c r="U321" i="25"/>
  <c r="S321" i="25"/>
  <c r="N321" i="25"/>
  <c r="U320" i="25"/>
  <c r="S320" i="25"/>
  <c r="N320" i="25"/>
  <c r="U319" i="25"/>
  <c r="S319" i="25"/>
  <c r="N319" i="25"/>
  <c r="Q318" i="25"/>
  <c r="AT318" i="25" s="1"/>
  <c r="P318" i="25"/>
  <c r="Q317" i="25"/>
  <c r="AT317" i="25" s="1"/>
  <c r="P317" i="25"/>
  <c r="Q316" i="25"/>
  <c r="AT316" i="25" s="1"/>
  <c r="P316" i="25"/>
  <c r="Q315" i="25"/>
  <c r="AT315" i="25" s="1"/>
  <c r="P315" i="25"/>
  <c r="Q314" i="25"/>
  <c r="AT314" i="25" s="1"/>
  <c r="P314" i="25"/>
  <c r="K312" i="25"/>
  <c r="U310" i="25"/>
  <c r="AB290" i="25"/>
  <c r="AG300" i="25" s="1"/>
  <c r="V290" i="25"/>
  <c r="AA297" i="25" s="1"/>
  <c r="P290" i="25"/>
  <c r="U298" i="25" s="1"/>
  <c r="J290" i="25"/>
  <c r="O299" i="25" s="1"/>
  <c r="D290" i="25"/>
  <c r="I300" i="25" s="1"/>
  <c r="U288" i="25"/>
  <c r="S288" i="25"/>
  <c r="N288" i="25"/>
  <c r="U287" i="25"/>
  <c r="S287" i="25"/>
  <c r="N287" i="25"/>
  <c r="U286" i="25"/>
  <c r="S286" i="25"/>
  <c r="N286" i="25"/>
  <c r="Q285" i="25"/>
  <c r="AT285" i="25" s="1"/>
  <c r="P285" i="25"/>
  <c r="Q284" i="25"/>
  <c r="AT284" i="25" s="1"/>
  <c r="P284" i="25"/>
  <c r="Q283" i="25"/>
  <c r="AT283" i="25" s="1"/>
  <c r="P283" i="25"/>
  <c r="Q282" i="25"/>
  <c r="AT282" i="25" s="1"/>
  <c r="P282" i="25"/>
  <c r="Q281" i="25"/>
  <c r="AT281" i="25" s="1"/>
  <c r="P281" i="25"/>
  <c r="K279" i="25"/>
  <c r="U277" i="25"/>
  <c r="I266" i="25"/>
  <c r="AG264" i="25"/>
  <c r="AC258" i="25"/>
  <c r="K258" i="25"/>
  <c r="AB257" i="25"/>
  <c r="AG267" i="25" s="1"/>
  <c r="V257" i="25"/>
  <c r="AA264" i="25" s="1"/>
  <c r="P257" i="25"/>
  <c r="U265" i="25" s="1"/>
  <c r="J257" i="25"/>
  <c r="O266" i="25" s="1"/>
  <c r="D257" i="25"/>
  <c r="I267" i="25" s="1"/>
  <c r="U255" i="25"/>
  <c r="S255" i="25"/>
  <c r="N255" i="25"/>
  <c r="U254" i="25"/>
  <c r="S254" i="25"/>
  <c r="N254" i="25"/>
  <c r="U253" i="25"/>
  <c r="S253" i="25"/>
  <c r="N253" i="25"/>
  <c r="Q252" i="25"/>
  <c r="AT252" i="25" s="1"/>
  <c r="P252" i="25"/>
  <c r="Q251" i="25"/>
  <c r="P251" i="25"/>
  <c r="Q250" i="25"/>
  <c r="AT250" i="25" s="1"/>
  <c r="P250" i="25"/>
  <c r="Q249" i="25"/>
  <c r="AT249" i="25" s="1"/>
  <c r="P249" i="25"/>
  <c r="Q248" i="25"/>
  <c r="AT248" i="25" s="1"/>
  <c r="P248" i="25"/>
  <c r="K246" i="25"/>
  <c r="U244" i="25"/>
  <c r="AB224" i="25"/>
  <c r="AG234" i="25" s="1"/>
  <c r="V224" i="25"/>
  <c r="AA231" i="25" s="1"/>
  <c r="P224" i="25"/>
  <c r="U232" i="25" s="1"/>
  <c r="J224" i="25"/>
  <c r="O233" i="25" s="1"/>
  <c r="D224" i="25"/>
  <c r="I234" i="25" s="1"/>
  <c r="U222" i="25"/>
  <c r="S222" i="25"/>
  <c r="N222" i="25"/>
  <c r="U221" i="25"/>
  <c r="S221" i="25"/>
  <c r="N221" i="25"/>
  <c r="U220" i="25"/>
  <c r="S220" i="25"/>
  <c r="N220" i="25"/>
  <c r="Q219" i="25"/>
  <c r="P219" i="25"/>
  <c r="Q218" i="25"/>
  <c r="P218" i="25"/>
  <c r="Q217" i="25"/>
  <c r="P217" i="25"/>
  <c r="Q216" i="25"/>
  <c r="P216" i="25"/>
  <c r="Q215" i="25"/>
  <c r="P215" i="25"/>
  <c r="K213" i="25"/>
  <c r="U211" i="25"/>
  <c r="AB191" i="25"/>
  <c r="AG201" i="25" s="1"/>
  <c r="V191" i="25"/>
  <c r="AA198" i="25" s="1"/>
  <c r="P191" i="25"/>
  <c r="U199" i="25" s="1"/>
  <c r="J191" i="25"/>
  <c r="O200" i="25" s="1"/>
  <c r="D191" i="25"/>
  <c r="I201" i="25" s="1"/>
  <c r="U189" i="25"/>
  <c r="S189" i="25"/>
  <c r="N189" i="25"/>
  <c r="U188" i="25"/>
  <c r="S188" i="25"/>
  <c r="N188" i="25"/>
  <c r="U187" i="25"/>
  <c r="S187" i="25"/>
  <c r="N187" i="25"/>
  <c r="Q186" i="25"/>
  <c r="AT186" i="25" s="1"/>
  <c r="P186" i="25"/>
  <c r="Q185" i="25"/>
  <c r="AT185" i="25" s="1"/>
  <c r="P185" i="25"/>
  <c r="Q184" i="25"/>
  <c r="AT184" i="25" s="1"/>
  <c r="P184" i="25"/>
  <c r="Q183" i="25"/>
  <c r="AT183" i="25" s="1"/>
  <c r="P183" i="25"/>
  <c r="Q182" i="25"/>
  <c r="AT182" i="25" s="1"/>
  <c r="P182" i="25"/>
  <c r="K180" i="25"/>
  <c r="U178" i="25"/>
  <c r="AG168" i="25"/>
  <c r="I167" i="25"/>
  <c r="AG165" i="25"/>
  <c r="AG164" i="25"/>
  <c r="I164" i="25"/>
  <c r="AG160" i="25"/>
  <c r="I159" i="25"/>
  <c r="E159" i="25"/>
  <c r="AB158" i="25"/>
  <c r="AG166" i="25" s="1"/>
  <c r="V158" i="25"/>
  <c r="AA165" i="25" s="1"/>
  <c r="P158" i="25"/>
  <c r="U166" i="25" s="1"/>
  <c r="J158" i="25"/>
  <c r="O167" i="25" s="1"/>
  <c r="D158" i="25"/>
  <c r="I166" i="25" s="1"/>
  <c r="U156" i="25"/>
  <c r="S156" i="25"/>
  <c r="N156" i="25"/>
  <c r="U155" i="25"/>
  <c r="S155" i="25"/>
  <c r="N155" i="25"/>
  <c r="U154" i="25"/>
  <c r="S154" i="25"/>
  <c r="N154" i="25"/>
  <c r="Q153" i="25"/>
  <c r="AT153" i="25" s="1"/>
  <c r="P153" i="25"/>
  <c r="Q152" i="25"/>
  <c r="AT152" i="25" s="1"/>
  <c r="P152" i="25"/>
  <c r="Q151" i="25"/>
  <c r="AT151" i="25" s="1"/>
  <c r="P151" i="25"/>
  <c r="Q150" i="25"/>
  <c r="AT150" i="25" s="1"/>
  <c r="P150" i="25"/>
  <c r="Q149" i="25"/>
  <c r="AT149" i="25" s="1"/>
  <c r="P149" i="25"/>
  <c r="K147" i="25"/>
  <c r="U145" i="25"/>
  <c r="AB125" i="25"/>
  <c r="AG133" i="25" s="1"/>
  <c r="V125" i="25"/>
  <c r="AA132" i="25" s="1"/>
  <c r="P125" i="25"/>
  <c r="U133" i="25" s="1"/>
  <c r="J125" i="25"/>
  <c r="O134" i="25" s="1"/>
  <c r="D125" i="25"/>
  <c r="I133" i="25" s="1"/>
  <c r="U123" i="25"/>
  <c r="S123" i="25"/>
  <c r="N123" i="25"/>
  <c r="U122" i="25"/>
  <c r="S122" i="25"/>
  <c r="N122" i="25"/>
  <c r="U121" i="25"/>
  <c r="S121" i="25"/>
  <c r="N121" i="25"/>
  <c r="Q120" i="25"/>
  <c r="P120" i="25"/>
  <c r="Q119" i="25"/>
  <c r="P119" i="25"/>
  <c r="Q118" i="25"/>
  <c r="P118" i="25"/>
  <c r="Q117" i="25"/>
  <c r="P117" i="25"/>
  <c r="Q116" i="25"/>
  <c r="P116" i="25"/>
  <c r="K114" i="25"/>
  <c r="U112" i="25"/>
  <c r="AB92" i="25"/>
  <c r="AG102" i="25" s="1"/>
  <c r="V92" i="25"/>
  <c r="AA99" i="25" s="1"/>
  <c r="P92" i="25"/>
  <c r="U100" i="25" s="1"/>
  <c r="J92" i="25"/>
  <c r="O101" i="25" s="1"/>
  <c r="D92" i="25"/>
  <c r="I102" i="25" s="1"/>
  <c r="U90" i="25"/>
  <c r="S90" i="25"/>
  <c r="N90" i="25"/>
  <c r="U89" i="25"/>
  <c r="S89" i="25"/>
  <c r="N89" i="25"/>
  <c r="U88" i="25"/>
  <c r="S88" i="25"/>
  <c r="N88" i="25"/>
  <c r="Q87" i="25"/>
  <c r="AT87" i="25" s="1"/>
  <c r="P87" i="25"/>
  <c r="Q86" i="25"/>
  <c r="AT86" i="25" s="1"/>
  <c r="P86" i="25"/>
  <c r="Q85" i="25"/>
  <c r="AT85" i="25" s="1"/>
  <c r="P85" i="25"/>
  <c r="Q84" i="25"/>
  <c r="AT84" i="25" s="1"/>
  <c r="P84" i="25"/>
  <c r="Q83" i="25"/>
  <c r="AT83" i="25" s="1"/>
  <c r="P83" i="25"/>
  <c r="K81" i="25"/>
  <c r="U79" i="25"/>
  <c r="AB59" i="25"/>
  <c r="AG69" i="25" s="1"/>
  <c r="V59" i="25"/>
  <c r="AA66" i="25" s="1"/>
  <c r="P59" i="25"/>
  <c r="U67" i="25" s="1"/>
  <c r="J59" i="25"/>
  <c r="O68" i="25" s="1"/>
  <c r="D59" i="25"/>
  <c r="I69" i="25" s="1"/>
  <c r="U57" i="25"/>
  <c r="S57" i="25"/>
  <c r="N57" i="25"/>
  <c r="U56" i="25"/>
  <c r="S56" i="25"/>
  <c r="N56" i="25"/>
  <c r="U55" i="25"/>
  <c r="S55" i="25"/>
  <c r="N55" i="25"/>
  <c r="Q54" i="25"/>
  <c r="AT54" i="25" s="1"/>
  <c r="P54" i="25"/>
  <c r="Q53" i="25"/>
  <c r="AT53" i="25" s="1"/>
  <c r="P53" i="25"/>
  <c r="Q52" i="25"/>
  <c r="AT52" i="25" s="1"/>
  <c r="P52" i="25"/>
  <c r="Q51" i="25"/>
  <c r="AT51" i="25" s="1"/>
  <c r="P51" i="25"/>
  <c r="Q50" i="25"/>
  <c r="AT50" i="25" s="1"/>
  <c r="P50" i="25"/>
  <c r="K48" i="25"/>
  <c r="U46" i="25"/>
  <c r="AM338" i="25"/>
  <c r="AR337" i="25"/>
  <c r="AM337" i="25"/>
  <c r="AR336" i="25"/>
  <c r="AR335" i="25"/>
  <c r="BB334" i="25"/>
  <c r="AR334" i="25"/>
  <c r="AR333" i="25"/>
  <c r="AH333" i="25"/>
  <c r="AH332" i="25"/>
  <c r="AM331" i="25"/>
  <c r="AL331" i="25"/>
  <c r="AH331" i="25"/>
  <c r="AM330" i="25" a="1"/>
  <c r="AM330" i="25" s="1"/>
  <c r="AH330" i="25"/>
  <c r="AO329" i="25"/>
  <c r="AN329" i="25"/>
  <c r="AM329" i="25"/>
  <c r="AL329" i="25"/>
  <c r="AK329" i="25"/>
  <c r="AJ329" i="25"/>
  <c r="AH329" i="25"/>
  <c r="AH328" i="25"/>
  <c r="AH327" i="25"/>
  <c r="BB321" i="25"/>
  <c r="AW321" i="25"/>
  <c r="AL321" i="25"/>
  <c r="AK321" i="25"/>
  <c r="BB320" i="25"/>
  <c r="AW320" i="25"/>
  <c r="AL320" i="25"/>
  <c r="AK320" i="25"/>
  <c r="BB319" i="25"/>
  <c r="AO323" i="25" s="1"/>
  <c r="AW319" i="25"/>
  <c r="AL319" i="25"/>
  <c r="AK319" i="25"/>
  <c r="BA318" i="25"/>
  <c r="BB318" i="25" s="1"/>
  <c r="AV318" i="25"/>
  <c r="AW318" i="25" s="1"/>
  <c r="AK318" i="25"/>
  <c r="BA317" i="25"/>
  <c r="BB317" i="25" s="1"/>
  <c r="AV317" i="25"/>
  <c r="AW317" i="25" s="1"/>
  <c r="AK317" i="25"/>
  <c r="BA316" i="25"/>
  <c r="BB316" i="25" s="1"/>
  <c r="AV316" i="25"/>
  <c r="AW316" i="25" s="1"/>
  <c r="AK316" i="25"/>
  <c r="AV315" i="25"/>
  <c r="AW315" i="25" s="1"/>
  <c r="AK315" i="25"/>
  <c r="AV314" i="25"/>
  <c r="AW314" i="25" s="1"/>
  <c r="AK314" i="25"/>
  <c r="AM305" i="25"/>
  <c r="AR304" i="25"/>
  <c r="AM304" i="25"/>
  <c r="AR303" i="25"/>
  <c r="AR302" i="25"/>
  <c r="BB301" i="25"/>
  <c r="AR301" i="25"/>
  <c r="AR300" i="25"/>
  <c r="AH300" i="25"/>
  <c r="AH299" i="25"/>
  <c r="AM298" i="25"/>
  <c r="AL298" i="25"/>
  <c r="AH298" i="25"/>
  <c r="AM297" i="25" a="1"/>
  <c r="AM297" i="25" s="1"/>
  <c r="AH297" i="25"/>
  <c r="AO296" i="25"/>
  <c r="AN296" i="25"/>
  <c r="AM296" i="25"/>
  <c r="AL296" i="25"/>
  <c r="AK296" i="25"/>
  <c r="AJ296" i="25"/>
  <c r="AH296" i="25"/>
  <c r="AH295" i="25"/>
  <c r="AH294" i="25"/>
  <c r="BB288" i="25"/>
  <c r="AW288" i="25"/>
  <c r="AL288" i="25"/>
  <c r="AK288" i="25"/>
  <c r="BB287" i="25"/>
  <c r="AW287" i="25"/>
  <c r="AL287" i="25"/>
  <c r="AK287" i="25"/>
  <c r="BB286" i="25"/>
  <c r="AO290" i="25" s="1"/>
  <c r="AW286" i="25"/>
  <c r="AL286" i="25"/>
  <c r="AK286" i="25"/>
  <c r="BA285" i="25"/>
  <c r="BB285" i="25" s="1"/>
  <c r="AV285" i="25"/>
  <c r="AW285" i="25" s="1"/>
  <c r="AK285" i="25"/>
  <c r="BA284" i="25"/>
  <c r="BB284" i="25" s="1"/>
  <c r="AV284" i="25"/>
  <c r="AW284" i="25" s="1"/>
  <c r="AK284" i="25"/>
  <c r="BA283" i="25"/>
  <c r="BB283" i="25" s="1"/>
  <c r="AV283" i="25"/>
  <c r="AW283" i="25" s="1"/>
  <c r="AK283" i="25"/>
  <c r="AV282" i="25"/>
  <c r="AW282" i="25" s="1"/>
  <c r="AK282" i="25"/>
  <c r="AV281" i="25"/>
  <c r="I292" i="25" s="1"/>
  <c r="AK281" i="25"/>
  <c r="AM272" i="25"/>
  <c r="AR271" i="25"/>
  <c r="AM271" i="25"/>
  <c r="AR270" i="25"/>
  <c r="AR269" i="25"/>
  <c r="BB268" i="25"/>
  <c r="AR268" i="25"/>
  <c r="AR267" i="25"/>
  <c r="AH267" i="25"/>
  <c r="AH266" i="25"/>
  <c r="AM265" i="25"/>
  <c r="AL265" i="25"/>
  <c r="AH265" i="25"/>
  <c r="AM264" i="25" a="1"/>
  <c r="AM264" i="25" s="1"/>
  <c r="AH264" i="25"/>
  <c r="AO263" i="25"/>
  <c r="AN263" i="25"/>
  <c r="AM263" i="25"/>
  <c r="AL263" i="25"/>
  <c r="AK263" i="25"/>
  <c r="AJ263" i="25"/>
  <c r="AH263" i="25"/>
  <c r="AH262" i="25"/>
  <c r="AH261" i="25"/>
  <c r="BB255" i="25"/>
  <c r="AW255" i="25"/>
  <c r="AL255" i="25"/>
  <c r="AK255" i="25"/>
  <c r="BB254" i="25"/>
  <c r="AW254" i="25"/>
  <c r="AL254" i="25"/>
  <c r="AK254" i="25"/>
  <c r="BB253" i="25"/>
  <c r="AO257" i="25" s="1"/>
  <c r="AW253" i="25"/>
  <c r="AL253" i="25"/>
  <c r="AK253" i="25"/>
  <c r="BA252" i="25"/>
  <c r="BB252" i="25" s="1"/>
  <c r="AV252" i="25"/>
  <c r="AW252" i="25" s="1"/>
  <c r="AK252" i="25"/>
  <c r="BA251" i="25"/>
  <c r="BB251" i="25" s="1"/>
  <c r="AV251" i="25"/>
  <c r="AW251" i="25" s="1"/>
  <c r="AT251" i="25"/>
  <c r="AK251" i="25"/>
  <c r="BA250" i="25"/>
  <c r="BB250" i="25" s="1"/>
  <c r="AV250" i="25"/>
  <c r="AW250" i="25" s="1"/>
  <c r="AK250" i="25"/>
  <c r="AV249" i="25"/>
  <c r="AW249" i="25" s="1"/>
  <c r="AK249" i="25"/>
  <c r="AV248" i="25"/>
  <c r="AW248" i="25" s="1"/>
  <c r="AK248" i="25"/>
  <c r="AM206" i="25"/>
  <c r="AR205" i="25"/>
  <c r="AM205" i="25"/>
  <c r="AR204" i="25"/>
  <c r="AR203" i="25"/>
  <c r="BB202" i="25"/>
  <c r="AR202" i="25"/>
  <c r="AR201" i="25"/>
  <c r="AH201" i="25"/>
  <c r="AH200" i="25"/>
  <c r="AM199" i="25"/>
  <c r="AL199" i="25"/>
  <c r="AH199" i="25"/>
  <c r="AM198" i="25" a="1"/>
  <c r="AM198" i="25" s="1"/>
  <c r="AH198" i="25"/>
  <c r="AO197" i="25"/>
  <c r="AN197" i="25"/>
  <c r="AM197" i="25"/>
  <c r="AL197" i="25"/>
  <c r="AK197" i="25"/>
  <c r="AJ197" i="25"/>
  <c r="AH197" i="25"/>
  <c r="AH196" i="25"/>
  <c r="AH195" i="25"/>
  <c r="BB189" i="25"/>
  <c r="AW189" i="25"/>
  <c r="AL189" i="25"/>
  <c r="AK189" i="25"/>
  <c r="BB188" i="25"/>
  <c r="AW188" i="25"/>
  <c r="AL188" i="25"/>
  <c r="AK188" i="25"/>
  <c r="BB187" i="25"/>
  <c r="AO191" i="25" s="1"/>
  <c r="AW187" i="25"/>
  <c r="AL187" i="25"/>
  <c r="AK187" i="25"/>
  <c r="BA186" i="25"/>
  <c r="BB186" i="25" s="1"/>
  <c r="AV186" i="25"/>
  <c r="AW186" i="25" s="1"/>
  <c r="AK186" i="25"/>
  <c r="BA185" i="25"/>
  <c r="BB185" i="25" s="1"/>
  <c r="AV185" i="25"/>
  <c r="AW185" i="25" s="1"/>
  <c r="AK185" i="25"/>
  <c r="BA184" i="25"/>
  <c r="BB184" i="25" s="1"/>
  <c r="AV184" i="25"/>
  <c r="AW184" i="25" s="1"/>
  <c r="AK184" i="25"/>
  <c r="AV183" i="25"/>
  <c r="AW183" i="25" s="1"/>
  <c r="AK183" i="25"/>
  <c r="AV182" i="25"/>
  <c r="I193" i="25" s="1"/>
  <c r="AK182" i="25"/>
  <c r="AM173" i="25"/>
  <c r="AR172" i="25"/>
  <c r="AM172" i="25"/>
  <c r="AR171" i="25"/>
  <c r="AR170" i="25"/>
  <c r="BB169" i="25"/>
  <c r="AR169" i="25"/>
  <c r="AR168" i="25"/>
  <c r="AH168" i="25"/>
  <c r="AH167" i="25"/>
  <c r="AM166" i="25"/>
  <c r="AL166" i="25"/>
  <c r="AH166" i="25"/>
  <c r="AM165" i="25" a="1"/>
  <c r="AM165" i="25" s="1"/>
  <c r="AH165" i="25"/>
  <c r="AO164" i="25"/>
  <c r="AN164" i="25"/>
  <c r="AM164" i="25"/>
  <c r="AL164" i="25"/>
  <c r="AK164" i="25"/>
  <c r="AJ164" i="25"/>
  <c r="AH164" i="25"/>
  <c r="AH163" i="25"/>
  <c r="AH162" i="25"/>
  <c r="BB156" i="25"/>
  <c r="AW156" i="25"/>
  <c r="AL156" i="25"/>
  <c r="AK156" i="25"/>
  <c r="BB155" i="25"/>
  <c r="AW155" i="25"/>
  <c r="AL155" i="25"/>
  <c r="AK155" i="25"/>
  <c r="BB154" i="25"/>
  <c r="AO158" i="25" s="1"/>
  <c r="AW154" i="25"/>
  <c r="AL154" i="25"/>
  <c r="AK154" i="25"/>
  <c r="BA153" i="25"/>
  <c r="BB153" i="25" s="1"/>
  <c r="AV153" i="25"/>
  <c r="AW153" i="25" s="1"/>
  <c r="AK153" i="25"/>
  <c r="BA152" i="25"/>
  <c r="BB152" i="25" s="1"/>
  <c r="AV152" i="25"/>
  <c r="AW152" i="25" s="1"/>
  <c r="AK152" i="25"/>
  <c r="BA151" i="25"/>
  <c r="BB151" i="25" s="1"/>
  <c r="AV151" i="25"/>
  <c r="AW151" i="25" s="1"/>
  <c r="AK151" i="25"/>
  <c r="AV150" i="25"/>
  <c r="AW150" i="25" s="1"/>
  <c r="AK150" i="25"/>
  <c r="AV149" i="25"/>
  <c r="I160" i="25" s="1"/>
  <c r="AK149" i="25"/>
  <c r="AM107" i="25"/>
  <c r="AR106" i="25"/>
  <c r="AM106" i="25"/>
  <c r="AR105" i="25"/>
  <c r="AR104" i="25"/>
  <c r="BB103" i="25"/>
  <c r="AR103" i="25"/>
  <c r="AR102" i="25"/>
  <c r="AH102" i="25"/>
  <c r="AH101" i="25"/>
  <c r="AM100" i="25"/>
  <c r="AL100" i="25"/>
  <c r="AH100" i="25"/>
  <c r="AM99" i="25" a="1"/>
  <c r="AM99" i="25" s="1"/>
  <c r="AH99" i="25"/>
  <c r="AO98" i="25"/>
  <c r="AN98" i="25"/>
  <c r="AM98" i="25"/>
  <c r="AL98" i="25"/>
  <c r="AK98" i="25"/>
  <c r="AJ98" i="25"/>
  <c r="AH98" i="25"/>
  <c r="AH97" i="25"/>
  <c r="AH96" i="25"/>
  <c r="BB90" i="25"/>
  <c r="AW90" i="25"/>
  <c r="AL90" i="25"/>
  <c r="AK90" i="25"/>
  <c r="BB89" i="25"/>
  <c r="AW89" i="25"/>
  <c r="AL89" i="25"/>
  <c r="AK89" i="25"/>
  <c r="BB88" i="25"/>
  <c r="AO92" i="25" s="1"/>
  <c r="AW88" i="25"/>
  <c r="AL88" i="25"/>
  <c r="AK88" i="25"/>
  <c r="BA87" i="25"/>
  <c r="BB87" i="25" s="1"/>
  <c r="AV87" i="25"/>
  <c r="AW87" i="25" s="1"/>
  <c r="AK87" i="25"/>
  <c r="BA86" i="25"/>
  <c r="BB86" i="25" s="1"/>
  <c r="AV86" i="25"/>
  <c r="AW86" i="25" s="1"/>
  <c r="AK86" i="25"/>
  <c r="BA85" i="25"/>
  <c r="BB85" i="25" s="1"/>
  <c r="AV85" i="25"/>
  <c r="AW85" i="25" s="1"/>
  <c r="AK85" i="25"/>
  <c r="AV84" i="25"/>
  <c r="AW84" i="25" s="1"/>
  <c r="AK84" i="25"/>
  <c r="AV83" i="25"/>
  <c r="I94" i="25" s="1"/>
  <c r="AK83" i="25"/>
  <c r="AM74" i="25"/>
  <c r="AR73" i="25"/>
  <c r="AM73" i="25"/>
  <c r="AR72" i="25"/>
  <c r="AR71" i="25"/>
  <c r="BB70" i="25"/>
  <c r="AR70" i="25"/>
  <c r="AR69" i="25"/>
  <c r="AH69" i="25"/>
  <c r="AH68" i="25"/>
  <c r="AM67" i="25"/>
  <c r="AL67" i="25"/>
  <c r="AH67" i="25"/>
  <c r="AM66" i="25" a="1"/>
  <c r="AM66" i="25" s="1"/>
  <c r="AH66" i="25"/>
  <c r="AO65" i="25"/>
  <c r="AN65" i="25"/>
  <c r="AM65" i="25"/>
  <c r="AL65" i="25"/>
  <c r="AK65" i="25"/>
  <c r="AJ65" i="25"/>
  <c r="AH65" i="25"/>
  <c r="AH64" i="25"/>
  <c r="AH63" i="25"/>
  <c r="BB57" i="25"/>
  <c r="AW57" i="25"/>
  <c r="AL57" i="25"/>
  <c r="AK57" i="25"/>
  <c r="BB56" i="25"/>
  <c r="AW56" i="25"/>
  <c r="AL56" i="25"/>
  <c r="AK56" i="25"/>
  <c r="BB55" i="25"/>
  <c r="AO59" i="25" s="1"/>
  <c r="AW55" i="25"/>
  <c r="AL55" i="25"/>
  <c r="AK55" i="25"/>
  <c r="BA54" i="25"/>
  <c r="BB54" i="25" s="1"/>
  <c r="AV54" i="25"/>
  <c r="AW54" i="25" s="1"/>
  <c r="AK54" i="25"/>
  <c r="BA53" i="25"/>
  <c r="BB53" i="25" s="1"/>
  <c r="AV53" i="25"/>
  <c r="AW53" i="25" s="1"/>
  <c r="AK53" i="25"/>
  <c r="BA52" i="25"/>
  <c r="BB52" i="25" s="1"/>
  <c r="AV52" i="25"/>
  <c r="AW52" i="25" s="1"/>
  <c r="AK52" i="25"/>
  <c r="AV51" i="25"/>
  <c r="AW51" i="25" s="1"/>
  <c r="AK51" i="25"/>
  <c r="AV50" i="25"/>
  <c r="AW50" i="25" s="1"/>
  <c r="AK50" i="25"/>
  <c r="AK23" i="25"/>
  <c r="AK22" i="25"/>
  <c r="AK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B47" i="25"/>
  <c r="B80" i="25" s="1"/>
  <c r="B113" i="25" s="1"/>
  <c r="B146" i="25" s="1"/>
  <c r="B179" i="25" s="1"/>
  <c r="B212" i="25" s="1"/>
  <c r="B245" i="25" s="1"/>
  <c r="B278" i="25" s="1"/>
  <c r="B311" i="25" s="1"/>
  <c r="B48" i="25"/>
  <c r="B81" i="25" s="1"/>
  <c r="B114" i="25" s="1"/>
  <c r="B147" i="25" s="1"/>
  <c r="B180" i="25" s="1"/>
  <c r="B213" i="25" s="1"/>
  <c r="B246" i="25" s="1"/>
  <c r="B279" i="25" s="1"/>
  <c r="B312" i="25" s="1"/>
  <c r="B49" i="25"/>
  <c r="B50" i="25"/>
  <c r="B83" i="25" s="1"/>
  <c r="B51" i="25"/>
  <c r="AR51" i="25" s="1"/>
  <c r="B52" i="25"/>
  <c r="AR52" i="25" s="1"/>
  <c r="B53" i="25"/>
  <c r="AO53" i="25" s="1"/>
  <c r="B54" i="25"/>
  <c r="B55" i="25"/>
  <c r="B88" i="25" s="1"/>
  <c r="B121" i="25" s="1"/>
  <c r="B154" i="25" s="1"/>
  <c r="B187" i="25" s="1"/>
  <c r="B220" i="25" s="1"/>
  <c r="B253" i="25" s="1"/>
  <c r="B286" i="25" s="1"/>
  <c r="B319" i="25" s="1"/>
  <c r="B56" i="25"/>
  <c r="B89" i="25" s="1"/>
  <c r="B122" i="25" s="1"/>
  <c r="B155" i="25" s="1"/>
  <c r="B188" i="25" s="1"/>
  <c r="B221" i="25" s="1"/>
  <c r="B254" i="25" s="1"/>
  <c r="B287" i="25" s="1"/>
  <c r="B320" i="25" s="1"/>
  <c r="B57" i="25"/>
  <c r="B58" i="25"/>
  <c r="B91" i="25" s="1"/>
  <c r="B124" i="25" s="1"/>
  <c r="B157" i="25" s="1"/>
  <c r="B190" i="25" s="1"/>
  <c r="B223" i="25" s="1"/>
  <c r="B256" i="25" s="1"/>
  <c r="B289" i="25" s="1"/>
  <c r="B322" i="25" s="1"/>
  <c r="B59" i="25"/>
  <c r="B92" i="25" s="1"/>
  <c r="B125" i="25" s="1"/>
  <c r="B158" i="25" s="1"/>
  <c r="B191" i="25" s="1"/>
  <c r="B224" i="25" s="1"/>
  <c r="B257" i="25" s="1"/>
  <c r="B290" i="25" s="1"/>
  <c r="B323" i="25" s="1"/>
  <c r="B60" i="25"/>
  <c r="B93" i="25" s="1"/>
  <c r="B126" i="25" s="1"/>
  <c r="B159" i="25" s="1"/>
  <c r="B192" i="25" s="1"/>
  <c r="B225" i="25" s="1"/>
  <c r="B258" i="25" s="1"/>
  <c r="B291" i="25" s="1"/>
  <c r="B324" i="25" s="1"/>
  <c r="B61" i="25"/>
  <c r="B62" i="25"/>
  <c r="B95" i="25" s="1"/>
  <c r="B128" i="25" s="1"/>
  <c r="B161" i="25" s="1"/>
  <c r="B194" i="25" s="1"/>
  <c r="B227" i="25" s="1"/>
  <c r="B260" i="25" s="1"/>
  <c r="B293" i="25" s="1"/>
  <c r="B326" i="25" s="1"/>
  <c r="B63" i="25"/>
  <c r="B64" i="25"/>
  <c r="B97" i="25" s="1"/>
  <c r="B130" i="25" s="1"/>
  <c r="B163" i="25" s="1"/>
  <c r="B196" i="25" s="1"/>
  <c r="B229" i="25" s="1"/>
  <c r="B262" i="25" s="1"/>
  <c r="B295" i="25" s="1"/>
  <c r="B328" i="25" s="1"/>
  <c r="B65" i="25"/>
  <c r="B98" i="25" s="1"/>
  <c r="B131" i="25" s="1"/>
  <c r="B164" i="25" s="1"/>
  <c r="B197" i="25" s="1"/>
  <c r="B230" i="25" s="1"/>
  <c r="B263" i="25" s="1"/>
  <c r="B296" i="25" s="1"/>
  <c r="B329" i="25" s="1"/>
  <c r="B66" i="25"/>
  <c r="B99" i="25" s="1"/>
  <c r="B132" i="25" s="1"/>
  <c r="B165" i="25" s="1"/>
  <c r="B198" i="25" s="1"/>
  <c r="B231" i="25" s="1"/>
  <c r="B264" i="25" s="1"/>
  <c r="B297" i="25" s="1"/>
  <c r="B330" i="25" s="1"/>
  <c r="B67" i="25"/>
  <c r="B100" i="25" s="1"/>
  <c r="B133" i="25" s="1"/>
  <c r="B166" i="25" s="1"/>
  <c r="B199" i="25" s="1"/>
  <c r="B232" i="25" s="1"/>
  <c r="B265" i="25" s="1"/>
  <c r="B298" i="25" s="1"/>
  <c r="B331" i="25" s="1"/>
  <c r="B68" i="25"/>
  <c r="B101" i="25" s="1"/>
  <c r="B134" i="25" s="1"/>
  <c r="B167" i="25" s="1"/>
  <c r="B200" i="25" s="1"/>
  <c r="B233" i="25" s="1"/>
  <c r="B266" i="25" s="1"/>
  <c r="B299" i="25" s="1"/>
  <c r="B332" i="25" s="1"/>
  <c r="B69" i="25"/>
  <c r="B70" i="25"/>
  <c r="B103" i="25" s="1"/>
  <c r="B136" i="25" s="1"/>
  <c r="B169" i="25" s="1"/>
  <c r="B202" i="25" s="1"/>
  <c r="B235" i="25" s="1"/>
  <c r="B268" i="25" s="1"/>
  <c r="B301" i="25" s="1"/>
  <c r="B334" i="25" s="1"/>
  <c r="B71" i="25"/>
  <c r="B104" i="25" s="1"/>
  <c r="B137" i="25" s="1"/>
  <c r="B170" i="25" s="1"/>
  <c r="B203" i="25" s="1"/>
  <c r="B236" i="25" s="1"/>
  <c r="B269" i="25" s="1"/>
  <c r="B302" i="25" s="1"/>
  <c r="B335" i="25" s="1"/>
  <c r="B72" i="25"/>
  <c r="B105" i="25" s="1"/>
  <c r="B138" i="25" s="1"/>
  <c r="B171" i="25" s="1"/>
  <c r="B204" i="25" s="1"/>
  <c r="B237" i="25" s="1"/>
  <c r="B270" i="25" s="1"/>
  <c r="B303" i="25" s="1"/>
  <c r="B336" i="25" s="1"/>
  <c r="B73" i="25"/>
  <c r="B74" i="25"/>
  <c r="B107" i="25" s="1"/>
  <c r="B140" i="25" s="1"/>
  <c r="B173" i="25" s="1"/>
  <c r="B206" i="25" s="1"/>
  <c r="B239" i="25" s="1"/>
  <c r="B272" i="25" s="1"/>
  <c r="B305" i="25" s="1"/>
  <c r="B338" i="25" s="1"/>
  <c r="B75" i="25"/>
  <c r="B108" i="25" s="1"/>
  <c r="B141" i="25" s="1"/>
  <c r="B174" i="25" s="1"/>
  <c r="B207" i="25" s="1"/>
  <c r="B240" i="25" s="1"/>
  <c r="B273" i="25" s="1"/>
  <c r="B306" i="25" s="1"/>
  <c r="B339" i="25" s="1"/>
  <c r="B76" i="25"/>
  <c r="B82" i="25"/>
  <c r="B115" i="25" s="1"/>
  <c r="B148" i="25" s="1"/>
  <c r="B181" i="25" s="1"/>
  <c r="B214" i="25" s="1"/>
  <c r="B247" i="25" s="1"/>
  <c r="B280" i="25" s="1"/>
  <c r="B313" i="25" s="1"/>
  <c r="B86" i="25"/>
  <c r="B90" i="25"/>
  <c r="B123" i="25" s="1"/>
  <c r="B156" i="25" s="1"/>
  <c r="B189" i="25" s="1"/>
  <c r="B222" i="25" s="1"/>
  <c r="B255" i="25" s="1"/>
  <c r="B288" i="25" s="1"/>
  <c r="B321" i="25" s="1"/>
  <c r="B94" i="25"/>
  <c r="B127" i="25" s="1"/>
  <c r="B160" i="25" s="1"/>
  <c r="B193" i="25" s="1"/>
  <c r="B226" i="25" s="1"/>
  <c r="B259" i="25" s="1"/>
  <c r="B292" i="25" s="1"/>
  <c r="B325" i="25" s="1"/>
  <c r="B96" i="25"/>
  <c r="B129" i="25" s="1"/>
  <c r="B162" i="25" s="1"/>
  <c r="B195" i="25" s="1"/>
  <c r="B228" i="25" s="1"/>
  <c r="B261" i="25" s="1"/>
  <c r="B294" i="25" s="1"/>
  <c r="B327" i="25" s="1"/>
  <c r="B102" i="25"/>
  <c r="B135" i="25" s="1"/>
  <c r="B168" i="25" s="1"/>
  <c r="B201" i="25" s="1"/>
  <c r="B234" i="25" s="1"/>
  <c r="B267" i="25" s="1"/>
  <c r="B300" i="25" s="1"/>
  <c r="B333" i="25" s="1"/>
  <c r="B106" i="25"/>
  <c r="B139" i="25" s="1"/>
  <c r="B172" i="25" s="1"/>
  <c r="B205" i="25" s="1"/>
  <c r="B238" i="25" s="1"/>
  <c r="B271" i="25" s="1"/>
  <c r="B304" i="25" s="1"/>
  <c r="B337" i="25" s="1"/>
  <c r="B109" i="25"/>
  <c r="B142" i="25" s="1"/>
  <c r="B175" i="25" s="1"/>
  <c r="B208" i="25" s="1"/>
  <c r="B241" i="25" s="1"/>
  <c r="B274" i="25" s="1"/>
  <c r="B307" i="25" s="1"/>
  <c r="B340" i="25" s="1"/>
  <c r="AS16" i="25" l="1"/>
  <c r="B85" i="25"/>
  <c r="AO85" i="25" s="1"/>
  <c r="B84" i="25"/>
  <c r="B117" i="25" s="1"/>
  <c r="B150" i="25" s="1"/>
  <c r="AP52" i="25"/>
  <c r="AU20" i="25"/>
  <c r="AU19" i="25"/>
  <c r="AU18" i="25"/>
  <c r="AU17" i="25"/>
  <c r="AU16" i="25"/>
  <c r="AS19" i="25"/>
  <c r="AS18" i="25"/>
  <c r="AV17" i="25"/>
  <c r="AS17" i="25"/>
  <c r="AS20" i="25"/>
  <c r="K126" i="25"/>
  <c r="AG134" i="25"/>
  <c r="I163" i="25"/>
  <c r="I231" i="25"/>
  <c r="E258" i="25"/>
  <c r="AG262" i="25"/>
  <c r="I297" i="25"/>
  <c r="AP53" i="25"/>
  <c r="I130" i="25"/>
  <c r="K159" i="25"/>
  <c r="O231" i="25"/>
  <c r="O297" i="25"/>
  <c r="AO51" i="25"/>
  <c r="O131" i="25"/>
  <c r="AG159" i="25"/>
  <c r="O164" i="25"/>
  <c r="AG167" i="25"/>
  <c r="I192" i="25"/>
  <c r="O225" i="25"/>
  <c r="O291" i="25"/>
  <c r="AG131" i="25"/>
  <c r="I198" i="25"/>
  <c r="O226" i="25"/>
  <c r="I262" i="25"/>
  <c r="AG266" i="25"/>
  <c r="O292" i="25"/>
  <c r="AV16" i="25"/>
  <c r="AL50" i="25"/>
  <c r="AP50" i="25"/>
  <c r="B118" i="25"/>
  <c r="B151" i="25" s="1"/>
  <c r="AR84" i="25"/>
  <c r="AN84" i="25"/>
  <c r="AQ84" i="25"/>
  <c r="AM84" i="25"/>
  <c r="AO84" i="25"/>
  <c r="AM50" i="25"/>
  <c r="AQ50" i="25"/>
  <c r="AL51" i="25"/>
  <c r="AP51" i="25"/>
  <c r="AL52" i="25"/>
  <c r="AL53" i="25"/>
  <c r="AQ53" i="25"/>
  <c r="B87" i="25"/>
  <c r="AQ54" i="25"/>
  <c r="AM54" i="25"/>
  <c r="AP54" i="25"/>
  <c r="AL54" i="25"/>
  <c r="AR54" i="25"/>
  <c r="B116" i="25"/>
  <c r="B149" i="25" s="1"/>
  <c r="AO83" i="25"/>
  <c r="AR83" i="25"/>
  <c r="AN83" i="25"/>
  <c r="AP83" i="25"/>
  <c r="AL83" i="25"/>
  <c r="AQ52" i="25"/>
  <c r="AM52" i="25"/>
  <c r="AN50" i="25"/>
  <c r="AR50" i="25"/>
  <c r="AM51" i="25"/>
  <c r="AQ51" i="25"/>
  <c r="AN52" i="25"/>
  <c r="AM53" i="25"/>
  <c r="AR53" i="25"/>
  <c r="AN54" i="25"/>
  <c r="B183" i="25"/>
  <c r="AR150" i="25"/>
  <c r="AN150" i="25"/>
  <c r="AQ150" i="25"/>
  <c r="AM150" i="25"/>
  <c r="AP150" i="25"/>
  <c r="AL150" i="25"/>
  <c r="AO150" i="25"/>
  <c r="B119" i="25"/>
  <c r="B152" i="25" s="1"/>
  <c r="AO86" i="25"/>
  <c r="AR86" i="25"/>
  <c r="AN86" i="25"/>
  <c r="AP86" i="25"/>
  <c r="AL86" i="25"/>
  <c r="AO50" i="25"/>
  <c r="AN51" i="25"/>
  <c r="AO52" i="25"/>
  <c r="AN53" i="25"/>
  <c r="AO54" i="25"/>
  <c r="AM83" i="25"/>
  <c r="AL84" i="25"/>
  <c r="AM86" i="25"/>
  <c r="AQ85" i="25"/>
  <c r="AM85" i="25"/>
  <c r="AP85" i="25"/>
  <c r="AL85" i="25"/>
  <c r="AR85" i="25"/>
  <c r="AN85" i="25"/>
  <c r="AQ83" i="25"/>
  <c r="AP84" i="25"/>
  <c r="AQ86" i="25"/>
  <c r="X310" i="25"/>
  <c r="O98" i="25"/>
  <c r="I126" i="25"/>
  <c r="AG127" i="25"/>
  <c r="I134" i="25"/>
  <c r="AG135" i="25"/>
  <c r="O168" i="25"/>
  <c r="AG193" i="25"/>
  <c r="O201" i="25"/>
  <c r="K225" i="25"/>
  <c r="O230" i="25"/>
  <c r="O234" i="25"/>
  <c r="O324" i="25"/>
  <c r="I330" i="25"/>
  <c r="I99" i="25"/>
  <c r="O197" i="25"/>
  <c r="O325" i="25"/>
  <c r="O330" i="25"/>
  <c r="X46" i="25"/>
  <c r="X79" i="25"/>
  <c r="X145" i="25"/>
  <c r="X178" i="25"/>
  <c r="K93" i="25"/>
  <c r="AG99" i="25"/>
  <c r="AC126" i="25"/>
  <c r="AG130" i="25"/>
  <c r="I132" i="25"/>
  <c r="I135" i="25"/>
  <c r="K192" i="25"/>
  <c r="O263" i="25"/>
  <c r="AG292" i="25"/>
  <c r="AG297" i="25"/>
  <c r="AG325" i="25"/>
  <c r="AG330" i="25"/>
  <c r="X244" i="25"/>
  <c r="X277" i="25"/>
  <c r="AG94" i="25"/>
  <c r="O102" i="25"/>
  <c r="E126" i="25"/>
  <c r="AG126" i="25"/>
  <c r="I131" i="25"/>
  <c r="AG132" i="25"/>
  <c r="O135" i="25"/>
  <c r="AC159" i="25"/>
  <c r="AG163" i="25"/>
  <c r="I165" i="25"/>
  <c r="I168" i="25"/>
  <c r="AG192" i="25"/>
  <c r="AG198" i="25"/>
  <c r="AG226" i="25"/>
  <c r="AG231" i="25"/>
  <c r="AG259" i="25"/>
  <c r="I264" i="25"/>
  <c r="O267" i="25"/>
  <c r="K291" i="25"/>
  <c r="O296" i="25"/>
  <c r="O300" i="25"/>
  <c r="K324" i="25"/>
  <c r="O329" i="25"/>
  <c r="O333" i="25"/>
  <c r="U300" i="25"/>
  <c r="AZ16" i="25"/>
  <c r="BA16" i="25"/>
  <c r="AZ17" i="25"/>
  <c r="N17" i="25" s="1"/>
  <c r="AZ20" i="25"/>
  <c r="N20" i="25" s="1"/>
  <c r="AZ19" i="25"/>
  <c r="N19" i="25" s="1"/>
  <c r="AZ18" i="25"/>
  <c r="N18" i="25" s="1"/>
  <c r="U295" i="25"/>
  <c r="U266" i="25"/>
  <c r="U296" i="25"/>
  <c r="U299" i="25"/>
  <c r="U97" i="25"/>
  <c r="U101" i="25"/>
  <c r="I325" i="25"/>
  <c r="AW83" i="25"/>
  <c r="AM104" i="25" s="1"/>
  <c r="U130" i="25"/>
  <c r="U134" i="25"/>
  <c r="U200" i="25"/>
  <c r="U229" i="25"/>
  <c r="U234" i="25"/>
  <c r="I259" i="25"/>
  <c r="U262" i="25"/>
  <c r="U264" i="25"/>
  <c r="U329" i="25"/>
  <c r="U332" i="25"/>
  <c r="U196" i="25"/>
  <c r="AM335" i="25"/>
  <c r="AW182" i="25"/>
  <c r="AM203" i="25" s="1"/>
  <c r="U259" i="25"/>
  <c r="U163" i="25"/>
  <c r="U167" i="25"/>
  <c r="U230" i="25"/>
  <c r="U233" i="25"/>
  <c r="Q258" i="25"/>
  <c r="U328" i="25"/>
  <c r="U333" i="25"/>
  <c r="W324" i="25"/>
  <c r="AA327" i="25"/>
  <c r="AA331" i="25"/>
  <c r="AA324" i="25"/>
  <c r="I327" i="25"/>
  <c r="AG327" i="25"/>
  <c r="AA328" i="25"/>
  <c r="I331" i="25"/>
  <c r="AG331" i="25"/>
  <c r="AA332" i="25"/>
  <c r="E324" i="25"/>
  <c r="Q324" i="25"/>
  <c r="AC324" i="25"/>
  <c r="U325" i="25"/>
  <c r="O327" i="25"/>
  <c r="I328" i="25"/>
  <c r="AG328" i="25"/>
  <c r="AA329" i="25"/>
  <c r="U330" i="25"/>
  <c r="O331" i="25"/>
  <c r="I332" i="25"/>
  <c r="AG332" i="25"/>
  <c r="AA333" i="25"/>
  <c r="I324" i="25"/>
  <c r="U324" i="25"/>
  <c r="AG324" i="25"/>
  <c r="AA325" i="25"/>
  <c r="U327" i="25"/>
  <c r="O328" i="25"/>
  <c r="I329" i="25"/>
  <c r="AG329" i="25"/>
  <c r="AW281" i="25"/>
  <c r="AM302" i="25" s="1"/>
  <c r="W291" i="25"/>
  <c r="AA294" i="25"/>
  <c r="AA298" i="25"/>
  <c r="AA291" i="25"/>
  <c r="I294" i="25"/>
  <c r="AG294" i="25"/>
  <c r="AA295" i="25"/>
  <c r="I298" i="25"/>
  <c r="AG298" i="25"/>
  <c r="AA299" i="25"/>
  <c r="E291" i="25"/>
  <c r="Q291" i="25"/>
  <c r="AC291" i="25"/>
  <c r="U292" i="25"/>
  <c r="O294" i="25"/>
  <c r="I295" i="25"/>
  <c r="AM301" i="25" s="1" a="1"/>
  <c r="AG295" i="25"/>
  <c r="AA296" i="25"/>
  <c r="U297" i="25"/>
  <c r="O298" i="25"/>
  <c r="I299" i="25"/>
  <c r="AG299" i="25"/>
  <c r="AA300" i="25"/>
  <c r="I291" i="25"/>
  <c r="U291" i="25"/>
  <c r="AG291" i="25"/>
  <c r="AA292" i="25"/>
  <c r="U294" i="25"/>
  <c r="O295" i="25"/>
  <c r="I296" i="25"/>
  <c r="AG296" i="25"/>
  <c r="W258" i="25"/>
  <c r="AA261" i="25"/>
  <c r="AA265" i="25"/>
  <c r="O258" i="25"/>
  <c r="AA258" i="25"/>
  <c r="O259" i="25"/>
  <c r="I261" i="25"/>
  <c r="AG261" i="25"/>
  <c r="AA262" i="25"/>
  <c r="U263" i="25"/>
  <c r="O264" i="25"/>
  <c r="I265" i="25"/>
  <c r="AM268" i="25" s="1" a="1"/>
  <c r="AG265" i="25"/>
  <c r="AA266" i="25"/>
  <c r="U267" i="25"/>
  <c r="AM269" i="25"/>
  <c r="O261" i="25"/>
  <c r="AA263" i="25"/>
  <c r="O265" i="25"/>
  <c r="AA267" i="25"/>
  <c r="I258" i="25"/>
  <c r="U258" i="25"/>
  <c r="AG258" i="25"/>
  <c r="AA259" i="25"/>
  <c r="U261" i="25"/>
  <c r="O262" i="25"/>
  <c r="I263" i="25"/>
  <c r="AG263" i="25"/>
  <c r="W225" i="25"/>
  <c r="AA228" i="25"/>
  <c r="AA232" i="25"/>
  <c r="AA225" i="25"/>
  <c r="I228" i="25"/>
  <c r="AG228" i="25"/>
  <c r="AA229" i="25"/>
  <c r="I232" i="25"/>
  <c r="AG232" i="25"/>
  <c r="AA233" i="25"/>
  <c r="E225" i="25"/>
  <c r="Q225" i="25"/>
  <c r="AC225" i="25"/>
  <c r="U226" i="25"/>
  <c r="O228" i="25"/>
  <c r="I229" i="25"/>
  <c r="AG229" i="25"/>
  <c r="AA230" i="25"/>
  <c r="U231" i="25"/>
  <c r="O232" i="25"/>
  <c r="I233" i="25"/>
  <c r="AG233" i="25"/>
  <c r="AA234" i="25"/>
  <c r="I225" i="25"/>
  <c r="U225" i="25"/>
  <c r="AG225" i="25"/>
  <c r="AA226" i="25"/>
  <c r="U228" i="25"/>
  <c r="O229" i="25"/>
  <c r="I230" i="25"/>
  <c r="AG230" i="25"/>
  <c r="AA195" i="25"/>
  <c r="O192" i="25"/>
  <c r="AA192" i="25"/>
  <c r="O193" i="25"/>
  <c r="I195" i="25"/>
  <c r="AG195" i="25"/>
  <c r="AA196" i="25"/>
  <c r="U197" i="25"/>
  <c r="O198" i="25"/>
  <c r="I199" i="25"/>
  <c r="AG199" i="25"/>
  <c r="AA200" i="25"/>
  <c r="U201" i="25"/>
  <c r="W192" i="25"/>
  <c r="AA199" i="25"/>
  <c r="E192" i="25"/>
  <c r="Q192" i="25"/>
  <c r="AC192" i="25"/>
  <c r="U193" i="25"/>
  <c r="O195" i="25"/>
  <c r="I196" i="25"/>
  <c r="AG196" i="25"/>
  <c r="AA197" i="25"/>
  <c r="U198" i="25"/>
  <c r="O199" i="25"/>
  <c r="I200" i="25"/>
  <c r="AG200" i="25"/>
  <c r="AA201" i="25"/>
  <c r="U192" i="25"/>
  <c r="AA193" i="25"/>
  <c r="U195" i="25"/>
  <c r="O196" i="25"/>
  <c r="I197" i="25"/>
  <c r="AG197" i="25"/>
  <c r="AW149" i="25"/>
  <c r="AM170" i="25" s="1"/>
  <c r="W159" i="25"/>
  <c r="AA162" i="25"/>
  <c r="AA166" i="25"/>
  <c r="O159" i="25"/>
  <c r="AA159" i="25"/>
  <c r="O160" i="25"/>
  <c r="I162" i="25"/>
  <c r="AG162" i="25"/>
  <c r="AX153" i="25" s="1"/>
  <c r="AA163" i="25"/>
  <c r="U164" i="25"/>
  <c r="O165" i="25"/>
  <c r="AA167" i="25"/>
  <c r="U168" i="25"/>
  <c r="Q159" i="25"/>
  <c r="U160" i="25"/>
  <c r="O162" i="25"/>
  <c r="AA164" i="25"/>
  <c r="U165" i="25"/>
  <c r="O166" i="25"/>
  <c r="AA168" i="25"/>
  <c r="U159" i="25"/>
  <c r="AA160" i="25"/>
  <c r="U162" i="25"/>
  <c r="O163" i="25"/>
  <c r="W126" i="25"/>
  <c r="AA129" i="25"/>
  <c r="AA133" i="25"/>
  <c r="O126" i="25"/>
  <c r="AA126" i="25"/>
  <c r="O127" i="25"/>
  <c r="I129" i="25"/>
  <c r="AG129" i="25"/>
  <c r="AA130" i="25"/>
  <c r="U131" i="25"/>
  <c r="O132" i="25"/>
  <c r="AA134" i="25"/>
  <c r="U135" i="25"/>
  <c r="Q126" i="25"/>
  <c r="U127" i="25"/>
  <c r="O129" i="25"/>
  <c r="AA131" i="25"/>
  <c r="U132" i="25"/>
  <c r="O133" i="25"/>
  <c r="AA135" i="25"/>
  <c r="U126" i="25"/>
  <c r="AA127" i="25"/>
  <c r="U129" i="25"/>
  <c r="O130" i="25"/>
  <c r="AA96" i="25"/>
  <c r="O93" i="25"/>
  <c r="AA93" i="25"/>
  <c r="O94" i="25"/>
  <c r="I96" i="25"/>
  <c r="AG96" i="25"/>
  <c r="AA97" i="25"/>
  <c r="U98" i="25"/>
  <c r="O99" i="25"/>
  <c r="I100" i="25"/>
  <c r="AG100" i="25"/>
  <c r="AA101" i="25"/>
  <c r="U102" i="25"/>
  <c r="W93" i="25"/>
  <c r="AA100" i="25"/>
  <c r="E93" i="25"/>
  <c r="Q93" i="25"/>
  <c r="AC93" i="25"/>
  <c r="U94" i="25"/>
  <c r="O96" i="25"/>
  <c r="I97" i="25"/>
  <c r="AG97" i="25"/>
  <c r="AA98" i="25"/>
  <c r="U99" i="25"/>
  <c r="O100" i="25"/>
  <c r="I101" i="25"/>
  <c r="AG101" i="25"/>
  <c r="AA102" i="25"/>
  <c r="I93" i="25"/>
  <c r="U93" i="25"/>
  <c r="AG93" i="25"/>
  <c r="AA94" i="25"/>
  <c r="U96" i="25"/>
  <c r="O97" i="25"/>
  <c r="I98" i="25"/>
  <c r="AG98" i="25"/>
  <c r="K60" i="25"/>
  <c r="W60" i="25"/>
  <c r="I61" i="25"/>
  <c r="AG61" i="25"/>
  <c r="AA63" i="25"/>
  <c r="U64" i="25"/>
  <c r="O65" i="25"/>
  <c r="I66" i="25"/>
  <c r="AG66" i="25"/>
  <c r="AA67" i="25"/>
  <c r="U68" i="25"/>
  <c r="O69" i="25"/>
  <c r="O60" i="25"/>
  <c r="AA60" i="25"/>
  <c r="O61" i="25"/>
  <c r="I63" i="25"/>
  <c r="AG63" i="25"/>
  <c r="AA64" i="25"/>
  <c r="U65" i="25"/>
  <c r="O66" i="25"/>
  <c r="I67" i="25"/>
  <c r="AG67" i="25"/>
  <c r="AA68" i="25"/>
  <c r="U69" i="25"/>
  <c r="AM71" i="25"/>
  <c r="E60" i="25"/>
  <c r="Q60" i="25"/>
  <c r="AC60" i="25"/>
  <c r="U61" i="25"/>
  <c r="O63" i="25"/>
  <c r="I64" i="25"/>
  <c r="AG64" i="25"/>
  <c r="AA65" i="25"/>
  <c r="U66" i="25"/>
  <c r="O67" i="25"/>
  <c r="I68" i="25"/>
  <c r="AG68" i="25"/>
  <c r="AA69" i="25"/>
  <c r="I60" i="25"/>
  <c r="U60" i="25"/>
  <c r="AG60" i="25"/>
  <c r="AA61" i="25"/>
  <c r="U63" i="25"/>
  <c r="O64" i="25"/>
  <c r="I65" i="25"/>
  <c r="AG65" i="25"/>
  <c r="BA315" i="25"/>
  <c r="BB315" i="25" s="1"/>
  <c r="BC315" i="25" s="1"/>
  <c r="BA314" i="25"/>
  <c r="BB314" i="25" s="1"/>
  <c r="BA282" i="25"/>
  <c r="BB282" i="25" s="1"/>
  <c r="BC282" i="25" s="1"/>
  <c r="BA281" i="25"/>
  <c r="BB281" i="25" s="1"/>
  <c r="AM334" i="25" a="1"/>
  <c r="BA249" i="25"/>
  <c r="BB249" i="25" s="1"/>
  <c r="BC249" i="25" s="1"/>
  <c r="BA248" i="25"/>
  <c r="BB248" i="25" s="1"/>
  <c r="BC248" i="25" s="1"/>
  <c r="BA183" i="25"/>
  <c r="BB183" i="25" s="1"/>
  <c r="BC183" i="25" s="1"/>
  <c r="BA182" i="25"/>
  <c r="BB182" i="25" s="1"/>
  <c r="BC182" i="25" s="1"/>
  <c r="BA150" i="25"/>
  <c r="BB150" i="25" s="1"/>
  <c r="BC150" i="25" s="1"/>
  <c r="BA149" i="25"/>
  <c r="BB149" i="25" s="1"/>
  <c r="BA84" i="25"/>
  <c r="BB84" i="25" s="1"/>
  <c r="BC84" i="25" s="1"/>
  <c r="BA83" i="25"/>
  <c r="BB83" i="25" s="1"/>
  <c r="BA50" i="25"/>
  <c r="BB50" i="25" s="1"/>
  <c r="BC50" i="25" s="1"/>
  <c r="BA51" i="25"/>
  <c r="BB51" i="25" s="1"/>
  <c r="BC51" i="25" s="1"/>
  <c r="AT218" i="25"/>
  <c r="AT217" i="25"/>
  <c r="BC334" i="25"/>
  <c r="BC321" i="25"/>
  <c r="BC320" i="25"/>
  <c r="BC319" i="25"/>
  <c r="BC318" i="25"/>
  <c r="BC317" i="25"/>
  <c r="BC316" i="25"/>
  <c r="BC301" i="25"/>
  <c r="BC288" i="25"/>
  <c r="BC287" i="25"/>
  <c r="BC286" i="25"/>
  <c r="BC285" i="25"/>
  <c r="BC284" i="25"/>
  <c r="BC283" i="25"/>
  <c r="BC268" i="25"/>
  <c r="BC255" i="25"/>
  <c r="BC254" i="25"/>
  <c r="BC253" i="25"/>
  <c r="BC252" i="25"/>
  <c r="BC251" i="25"/>
  <c r="BC250" i="25"/>
  <c r="AM239" i="25"/>
  <c r="AM238" i="25"/>
  <c r="BC235" i="25"/>
  <c r="BB235" i="25"/>
  <c r="AH234" i="25"/>
  <c r="AH233" i="25"/>
  <c r="AM232" i="25"/>
  <c r="AL232" i="25"/>
  <c r="AH232" i="25"/>
  <c r="AM231" i="25" a="1"/>
  <c r="AM231" i="25" s="1"/>
  <c r="AH231" i="25"/>
  <c r="AO230" i="25"/>
  <c r="AN230" i="25"/>
  <c r="AM230" i="25"/>
  <c r="AL230" i="25"/>
  <c r="AK230" i="25"/>
  <c r="AJ230" i="25"/>
  <c r="AH230" i="25"/>
  <c r="AH229" i="25"/>
  <c r="AH228" i="25"/>
  <c r="BC222" i="25"/>
  <c r="AW222" i="25"/>
  <c r="AL222" i="25"/>
  <c r="BC221" i="25"/>
  <c r="AW221" i="25"/>
  <c r="AL221" i="25"/>
  <c r="BC220" i="25"/>
  <c r="AW220" i="25"/>
  <c r="AL220" i="25"/>
  <c r="BB219" i="25"/>
  <c r="BC219" i="25" s="1"/>
  <c r="AV219" i="25"/>
  <c r="AW219" i="25" s="1"/>
  <c r="AR219" i="25"/>
  <c r="AQ219" i="25"/>
  <c r="AP219" i="25"/>
  <c r="AO219" i="25"/>
  <c r="AN219" i="25"/>
  <c r="AM219" i="25"/>
  <c r="AL219" i="25"/>
  <c r="AK219" i="25"/>
  <c r="AT219" i="25"/>
  <c r="BB218" i="25"/>
  <c r="BC218" i="25" s="1"/>
  <c r="AV218" i="25"/>
  <c r="AW218" i="25" s="1"/>
  <c r="AR218" i="25"/>
  <c r="AQ218" i="25"/>
  <c r="AP218" i="25"/>
  <c r="AO218" i="25"/>
  <c r="AN218" i="25"/>
  <c r="AM218" i="25"/>
  <c r="AL218" i="25"/>
  <c r="AK218" i="25"/>
  <c r="BB217" i="25"/>
  <c r="BC217" i="25" s="1"/>
  <c r="AV217" i="25"/>
  <c r="AW217" i="25" s="1"/>
  <c r="AR217" i="25"/>
  <c r="AQ217" i="25"/>
  <c r="AP217" i="25"/>
  <c r="AO217" i="25"/>
  <c r="AN217" i="25"/>
  <c r="AM217" i="25"/>
  <c r="AL217" i="25"/>
  <c r="AK217" i="25"/>
  <c r="BB216" i="25"/>
  <c r="BC216" i="25" s="1"/>
  <c r="AV216" i="25"/>
  <c r="AW216" i="25" s="1"/>
  <c r="AR216" i="25"/>
  <c r="AQ216" i="25"/>
  <c r="AP216" i="25"/>
  <c r="AO216" i="25"/>
  <c r="AN216" i="25"/>
  <c r="AM216" i="25"/>
  <c r="AL216" i="25"/>
  <c r="AK216" i="25"/>
  <c r="AT216" i="25"/>
  <c r="BB215" i="25"/>
  <c r="BC215" i="25" s="1"/>
  <c r="AV215" i="25"/>
  <c r="I226" i="25" s="1"/>
  <c r="AT215" i="25"/>
  <c r="AR215" i="25"/>
  <c r="AQ215" i="25"/>
  <c r="AP215" i="25"/>
  <c r="AO215" i="25"/>
  <c r="AN215" i="25"/>
  <c r="AM215" i="25"/>
  <c r="AL215" i="25"/>
  <c r="AK215" i="25"/>
  <c r="BC202" i="25"/>
  <c r="BC189" i="25"/>
  <c r="BC188" i="25"/>
  <c r="BC187" i="25"/>
  <c r="BC186" i="25"/>
  <c r="BC185" i="25"/>
  <c r="BC184" i="25"/>
  <c r="BC169" i="25"/>
  <c r="BC156" i="25"/>
  <c r="BC155" i="25"/>
  <c r="BC154" i="25"/>
  <c r="BC153" i="25"/>
  <c r="BC152" i="25"/>
  <c r="BC151" i="25"/>
  <c r="AM140" i="25"/>
  <c r="AM139" i="25"/>
  <c r="BC136" i="25"/>
  <c r="BB136" i="25"/>
  <c r="AH135" i="25"/>
  <c r="AH134" i="25"/>
  <c r="AM133" i="25"/>
  <c r="AL133" i="25"/>
  <c r="AH133" i="25"/>
  <c r="AM132" i="25" a="1"/>
  <c r="AM132" i="25" s="1"/>
  <c r="AH132" i="25"/>
  <c r="AO131" i="25"/>
  <c r="AN131" i="25"/>
  <c r="AM131" i="25"/>
  <c r="AL131" i="25"/>
  <c r="AK131" i="25"/>
  <c r="AJ131" i="25"/>
  <c r="AH131" i="25"/>
  <c r="AH130" i="25"/>
  <c r="AH129" i="25"/>
  <c r="BC123" i="25"/>
  <c r="AW123" i="25"/>
  <c r="AL123" i="25"/>
  <c r="BC122" i="25"/>
  <c r="AW122" i="25"/>
  <c r="AL122" i="25"/>
  <c r="BC121" i="25"/>
  <c r="AW121" i="25"/>
  <c r="AL121" i="25"/>
  <c r="BB120" i="25"/>
  <c r="BC120" i="25" s="1"/>
  <c r="AV120" i="25"/>
  <c r="AW120" i="25" s="1"/>
  <c r="AT120" i="25"/>
  <c r="AR120" i="25"/>
  <c r="AQ120" i="25"/>
  <c r="AP120" i="25"/>
  <c r="AO120" i="25"/>
  <c r="AN120" i="25"/>
  <c r="AM120" i="25"/>
  <c r="AL120" i="25"/>
  <c r="AK120" i="25"/>
  <c r="BB119" i="25"/>
  <c r="BC119" i="25" s="1"/>
  <c r="AV119" i="25"/>
  <c r="AW119" i="25" s="1"/>
  <c r="AT119" i="25"/>
  <c r="AR119" i="25"/>
  <c r="AQ119" i="25"/>
  <c r="AP119" i="25"/>
  <c r="AO119" i="25"/>
  <c r="AN119" i="25"/>
  <c r="AM119" i="25"/>
  <c r="AL119" i="25"/>
  <c r="AK119" i="25"/>
  <c r="BB118" i="25"/>
  <c r="BC118" i="25" s="1"/>
  <c r="AV118" i="25"/>
  <c r="AW118" i="25" s="1"/>
  <c r="AT118" i="25"/>
  <c r="AR118" i="25"/>
  <c r="AQ118" i="25"/>
  <c r="AP118" i="25"/>
  <c r="AO118" i="25"/>
  <c r="AN118" i="25"/>
  <c r="AM118" i="25"/>
  <c r="AL118" i="25"/>
  <c r="AK118" i="25"/>
  <c r="BB117" i="25"/>
  <c r="BC117" i="25" s="1"/>
  <c r="AV117" i="25"/>
  <c r="AW117" i="25" s="1"/>
  <c r="AT117" i="25"/>
  <c r="AR117" i="25"/>
  <c r="AQ117" i="25"/>
  <c r="AP117" i="25"/>
  <c r="AO117" i="25"/>
  <c r="AN117" i="25"/>
  <c r="AM117" i="25"/>
  <c r="AL117" i="25"/>
  <c r="AK117" i="25"/>
  <c r="BB116" i="25"/>
  <c r="BC116" i="25" s="1"/>
  <c r="AV116" i="25"/>
  <c r="I127" i="25" s="1"/>
  <c r="AT116" i="25"/>
  <c r="AR116" i="25"/>
  <c r="AQ116" i="25"/>
  <c r="AP116" i="25"/>
  <c r="AO116" i="25"/>
  <c r="AN116" i="25"/>
  <c r="AM116" i="25"/>
  <c r="AL116" i="25"/>
  <c r="AK116" i="25"/>
  <c r="BC103" i="25"/>
  <c r="BC90" i="25"/>
  <c r="BC89" i="25"/>
  <c r="BC88" i="25"/>
  <c r="BC87" i="25"/>
  <c r="BC86" i="25"/>
  <c r="BC85" i="25"/>
  <c r="BC70" i="25"/>
  <c r="BC57" i="25"/>
  <c r="BC56" i="25"/>
  <c r="BC55" i="25"/>
  <c r="BC54" i="25"/>
  <c r="BC53" i="25"/>
  <c r="BC52" i="25"/>
  <c r="J341" i="25"/>
  <c r="AB341" i="25"/>
  <c r="D341" i="25"/>
  <c r="J308" i="25"/>
  <c r="AB308" i="25"/>
  <c r="D308" i="25"/>
  <c r="J275" i="25"/>
  <c r="AB275" i="25"/>
  <c r="D275" i="25"/>
  <c r="P242" i="25"/>
  <c r="J242" i="25"/>
  <c r="AB242" i="25"/>
  <c r="D242" i="25"/>
  <c r="AB209" i="25"/>
  <c r="D209" i="25"/>
  <c r="J176" i="25"/>
  <c r="AB176" i="25"/>
  <c r="D176" i="25"/>
  <c r="B46" i="25"/>
  <c r="P143" i="25"/>
  <c r="J143" i="25"/>
  <c r="AB143" i="25"/>
  <c r="D143" i="25"/>
  <c r="P110" i="25"/>
  <c r="J110" i="25"/>
  <c r="AB110" i="25"/>
  <c r="D110" i="25"/>
  <c r="P77" i="25"/>
  <c r="D77" i="25"/>
  <c r="BD103" i="25"/>
  <c r="BD70"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AX149" i="25" l="1"/>
  <c r="N50" i="25"/>
  <c r="N150" i="25"/>
  <c r="O53" i="25"/>
  <c r="O51" i="25"/>
  <c r="N51" i="25"/>
  <c r="O86" i="25"/>
  <c r="AM136" i="25" a="1"/>
  <c r="AM169" i="25" a="1"/>
  <c r="AM202" i="25" a="1"/>
  <c r="N85" i="25"/>
  <c r="O52" i="25"/>
  <c r="N83" i="25"/>
  <c r="O84" i="25"/>
  <c r="N53" i="25"/>
  <c r="O85" i="25"/>
  <c r="O54" i="25"/>
  <c r="O83" i="25"/>
  <c r="N52" i="25"/>
  <c r="N84" i="25"/>
  <c r="O50" i="25"/>
  <c r="O150" i="25"/>
  <c r="N54" i="25"/>
  <c r="N86" i="25"/>
  <c r="B120" i="25"/>
  <c r="B153" i="25" s="1"/>
  <c r="AQ87" i="25"/>
  <c r="AM87" i="25"/>
  <c r="AP87" i="25"/>
  <c r="AL87" i="25"/>
  <c r="AR87" i="25"/>
  <c r="AN87" i="25"/>
  <c r="AO87" i="25"/>
  <c r="C46" i="25"/>
  <c r="B79" i="25"/>
  <c r="B184" i="25"/>
  <c r="AQ151" i="25"/>
  <c r="AM151" i="25"/>
  <c r="AP151" i="25"/>
  <c r="AL151" i="25"/>
  <c r="AO151" i="25"/>
  <c r="AR151" i="25"/>
  <c r="AN151" i="25"/>
  <c r="B185" i="25"/>
  <c r="AO152" i="25"/>
  <c r="AR152" i="25"/>
  <c r="AN152" i="25"/>
  <c r="AQ152" i="25"/>
  <c r="AM152" i="25"/>
  <c r="AP152" i="25"/>
  <c r="AL152" i="25"/>
  <c r="B216" i="25"/>
  <c r="B249" i="25" s="1"/>
  <c r="AR183" i="25"/>
  <c r="AN183" i="25"/>
  <c r="AQ183" i="25"/>
  <c r="AM183" i="25"/>
  <c r="AP183" i="25"/>
  <c r="AL183" i="25"/>
  <c r="AO183" i="25"/>
  <c r="B182" i="25"/>
  <c r="AO149" i="25"/>
  <c r="AR149" i="25"/>
  <c r="AN149" i="25"/>
  <c r="AP149" i="25"/>
  <c r="AL149" i="25"/>
  <c r="AM149" i="25"/>
  <c r="AQ149" i="25"/>
  <c r="AX283" i="25"/>
  <c r="AX185" i="25"/>
  <c r="AX317" i="25"/>
  <c r="AX184" i="25"/>
  <c r="AX250" i="25"/>
  <c r="AX152" i="25"/>
  <c r="AM169" i="25"/>
  <c r="AX52" i="25"/>
  <c r="AX51" i="25"/>
  <c r="AX251" i="25"/>
  <c r="AX284" i="25"/>
  <c r="AX316" i="25"/>
  <c r="AX85" i="25"/>
  <c r="AM301" i="25"/>
  <c r="AW116" i="25"/>
  <c r="AM137" i="25" s="1"/>
  <c r="AX151" i="25"/>
  <c r="AM202" i="25"/>
  <c r="AM268" i="25"/>
  <c r="AX248" i="25"/>
  <c r="AX314" i="25"/>
  <c r="AM334" i="25"/>
  <c r="AX318" i="25"/>
  <c r="AX281" i="25"/>
  <c r="AX285" i="25"/>
  <c r="O216" i="25"/>
  <c r="N217" i="25"/>
  <c r="AO322" i="25"/>
  <c r="AX252" i="25"/>
  <c r="N215" i="25"/>
  <c r="O219" i="25"/>
  <c r="O215" i="25"/>
  <c r="N219" i="25"/>
  <c r="O217" i="25"/>
  <c r="N216" i="25"/>
  <c r="N218" i="25"/>
  <c r="X211" i="25"/>
  <c r="O218" i="25"/>
  <c r="AX182" i="25"/>
  <c r="AX186" i="25"/>
  <c r="N120" i="25"/>
  <c r="O118" i="25"/>
  <c r="N119" i="25"/>
  <c r="O119" i="25"/>
  <c r="N118" i="25"/>
  <c r="X112" i="25"/>
  <c r="O116" i="25"/>
  <c r="O117" i="25"/>
  <c r="N116" i="25"/>
  <c r="N117" i="25"/>
  <c r="O120" i="25"/>
  <c r="AO125" i="25"/>
  <c r="AX87" i="25"/>
  <c r="AX83" i="25"/>
  <c r="AO289" i="25"/>
  <c r="BC281" i="25"/>
  <c r="BC314" i="25"/>
  <c r="AO256" i="25"/>
  <c r="AX315" i="25"/>
  <c r="AO190" i="25"/>
  <c r="AO91" i="25"/>
  <c r="AX282" i="25"/>
  <c r="AO157" i="25"/>
  <c r="BC83" i="25"/>
  <c r="AX249" i="25"/>
  <c r="BC149" i="25"/>
  <c r="AO58" i="25"/>
  <c r="AX183" i="25"/>
  <c r="AX150" i="25"/>
  <c r="AX84" i="25"/>
  <c r="AM103" i="25" a="1"/>
  <c r="AM103" i="25" s="1"/>
  <c r="AX86" i="25"/>
  <c r="AX50" i="25"/>
  <c r="AM70" i="25" a="1"/>
  <c r="AM70" i="25" s="1"/>
  <c r="AX53" i="25"/>
  <c r="AX54" i="25"/>
  <c r="AO224" i="25"/>
  <c r="AX217" i="25"/>
  <c r="AX216" i="25"/>
  <c r="AX120" i="25"/>
  <c r="J77" i="25"/>
  <c r="AB77" i="25"/>
  <c r="AO124" i="25"/>
  <c r="AO223" i="25"/>
  <c r="AW215" i="25"/>
  <c r="AM236" i="25" s="1"/>
  <c r="P341" i="25"/>
  <c r="V341" i="25"/>
  <c r="P308" i="25"/>
  <c r="V308" i="25"/>
  <c r="P275" i="25"/>
  <c r="V275" i="25"/>
  <c r="V242" i="25"/>
  <c r="J209" i="25"/>
  <c r="P209" i="25"/>
  <c r="V209" i="25"/>
  <c r="P176" i="25"/>
  <c r="V176" i="25"/>
  <c r="V143" i="25"/>
  <c r="V110" i="25"/>
  <c r="V77"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L21" i="25"/>
  <c r="AK20" i="25"/>
  <c r="K395" i="11"/>
  <c r="K396" i="11"/>
  <c r="K397" i="11"/>
  <c r="K394" i="11"/>
  <c r="K560" i="11"/>
  <c r="K561" i="11"/>
  <c r="K562" i="11"/>
  <c r="K559" i="11"/>
  <c r="AL66" i="25" l="1" a="1"/>
  <c r="AL66" i="25" s="1"/>
  <c r="O149" i="25"/>
  <c r="N149" i="25"/>
  <c r="B215" i="25"/>
  <c r="B248" i="25" s="1"/>
  <c r="AO182" i="25"/>
  <c r="AR182" i="25"/>
  <c r="AN182" i="25"/>
  <c r="AQ182" i="25"/>
  <c r="AM182" i="25"/>
  <c r="AP182" i="25"/>
  <c r="AL182" i="25"/>
  <c r="B282" i="25"/>
  <c r="AR249" i="25"/>
  <c r="AN249" i="25"/>
  <c r="AQ249" i="25"/>
  <c r="AM249" i="25"/>
  <c r="AP249" i="25"/>
  <c r="AL249" i="25"/>
  <c r="AO249" i="25"/>
  <c r="B218" i="25"/>
  <c r="B251" i="25" s="1"/>
  <c r="AO185" i="25"/>
  <c r="AR185" i="25"/>
  <c r="AN185" i="25"/>
  <c r="AQ185" i="25"/>
  <c r="AM185" i="25"/>
  <c r="AP185" i="25"/>
  <c r="AL185" i="25"/>
  <c r="N151" i="25"/>
  <c r="O151" i="25"/>
  <c r="B217" i="25"/>
  <c r="B250" i="25" s="1"/>
  <c r="AQ184" i="25"/>
  <c r="AM184" i="25"/>
  <c r="AP184" i="25"/>
  <c r="AL184" i="25"/>
  <c r="AO184" i="25"/>
  <c r="AR184" i="25"/>
  <c r="AN184" i="25"/>
  <c r="N152" i="25"/>
  <c r="O152" i="25"/>
  <c r="C79" i="25"/>
  <c r="B112" i="25"/>
  <c r="O183" i="25"/>
  <c r="N183" i="25"/>
  <c r="O87" i="25"/>
  <c r="AL99" i="25" s="1" a="1"/>
  <c r="AL99" i="25" s="1"/>
  <c r="AD89" i="25" s="1"/>
  <c r="N87" i="25"/>
  <c r="B186" i="25"/>
  <c r="AQ153" i="25"/>
  <c r="AM153" i="25"/>
  <c r="AP153" i="25"/>
  <c r="AL153" i="25"/>
  <c r="AO153" i="25"/>
  <c r="AR153" i="25"/>
  <c r="AN153" i="25"/>
  <c r="AM72" i="25"/>
  <c r="AD56" i="25"/>
  <c r="AX215" i="25"/>
  <c r="AX219" i="25"/>
  <c r="AX117" i="25"/>
  <c r="AX118" i="25"/>
  <c r="AM136" i="25"/>
  <c r="AX116" i="25"/>
  <c r="AX119" i="25"/>
  <c r="AL231" i="25" a="1"/>
  <c r="AL231" i="25" s="1"/>
  <c r="AD221" i="25" s="1"/>
  <c r="AL132" i="25" a="1"/>
  <c r="AL132" i="25" s="1"/>
  <c r="AD122" i="25" s="1"/>
  <c r="AX218" i="25"/>
  <c r="AM235" i="25" a="1"/>
  <c r="AM235" i="25" s="1"/>
  <c r="P17"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84" i="25" l="1"/>
  <c r="AO251" i="25"/>
  <c r="AR251" i="25"/>
  <c r="AN251" i="25"/>
  <c r="AQ251" i="25"/>
  <c r="AM251" i="25"/>
  <c r="AP251" i="25"/>
  <c r="AL251" i="25"/>
  <c r="B315" i="25"/>
  <c r="AQ282" i="25"/>
  <c r="AM282" i="25"/>
  <c r="AP282" i="25"/>
  <c r="AL282" i="25"/>
  <c r="AO282" i="25"/>
  <c r="AR282" i="25"/>
  <c r="AN282" i="25"/>
  <c r="B281" i="25"/>
  <c r="AO248" i="25"/>
  <c r="AR248" i="25"/>
  <c r="AN248" i="25"/>
  <c r="AQ248" i="25"/>
  <c r="AM248" i="25"/>
  <c r="AP248" i="25"/>
  <c r="AL248" i="25"/>
  <c r="C112" i="25"/>
  <c r="B145" i="25"/>
  <c r="AM105" i="25"/>
  <c r="N185" i="25"/>
  <c r="O185" i="25"/>
  <c r="N182" i="25"/>
  <c r="O182" i="25"/>
  <c r="N153" i="25"/>
  <c r="O153" i="25"/>
  <c r="AL165" i="25" s="1" a="1"/>
  <c r="AL165" i="25" s="1"/>
  <c r="B219" i="25"/>
  <c r="B252" i="25" s="1"/>
  <c r="AQ186" i="25"/>
  <c r="AM186" i="25"/>
  <c r="AP186" i="25"/>
  <c r="AL186" i="25"/>
  <c r="AO186" i="25"/>
  <c r="AR186" i="25"/>
  <c r="AN186" i="25"/>
  <c r="O184" i="25"/>
  <c r="N184" i="25"/>
  <c r="B283" i="25"/>
  <c r="AQ250" i="25"/>
  <c r="AM250" i="25"/>
  <c r="AP250" i="25"/>
  <c r="AL250" i="25"/>
  <c r="AO250" i="25"/>
  <c r="AR250" i="25"/>
  <c r="AN250" i="25"/>
  <c r="O249" i="25"/>
  <c r="N249" i="25"/>
  <c r="AM237" i="25"/>
  <c r="AM138"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2" i="3"/>
  <c r="N91" i="3"/>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O250" i="25" l="1"/>
  <c r="N250" i="25"/>
  <c r="B316" i="25"/>
  <c r="AP283" i="25"/>
  <c r="AL283" i="25"/>
  <c r="AO283" i="25"/>
  <c r="AR283" i="25"/>
  <c r="AN283" i="25"/>
  <c r="AQ283" i="25"/>
  <c r="AM283" i="25"/>
  <c r="N248" i="25"/>
  <c r="O248" i="25"/>
  <c r="N251" i="25"/>
  <c r="O251" i="25"/>
  <c r="AD155" i="25"/>
  <c r="AM171" i="25"/>
  <c r="N186" i="25"/>
  <c r="O186" i="25"/>
  <c r="AL198" i="25" s="1" a="1"/>
  <c r="AL198" i="25" s="1"/>
  <c r="B285" i="25"/>
  <c r="AP252" i="25"/>
  <c r="AL252" i="25"/>
  <c r="AO252" i="25"/>
  <c r="AR252" i="25"/>
  <c r="AN252" i="25"/>
  <c r="AQ252" i="25"/>
  <c r="AM252" i="25"/>
  <c r="C145" i="25"/>
  <c r="B178" i="25"/>
  <c r="B314" i="25"/>
  <c r="AR281" i="25"/>
  <c r="AN281" i="25"/>
  <c r="AQ281" i="25"/>
  <c r="AM281" i="25"/>
  <c r="AP281" i="25"/>
  <c r="AL281" i="25"/>
  <c r="AO281" i="25"/>
  <c r="N282" i="25"/>
  <c r="O282" i="25"/>
  <c r="AQ315" i="25"/>
  <c r="AM315" i="25"/>
  <c r="AP315" i="25"/>
  <c r="AL315" i="25"/>
  <c r="AO315" i="25"/>
  <c r="AR315" i="25"/>
  <c r="AN315" i="25"/>
  <c r="B317" i="25"/>
  <c r="AR284" i="25"/>
  <c r="AN284" i="25"/>
  <c r="AQ284" i="25"/>
  <c r="AM284" i="25"/>
  <c r="AP284" i="25"/>
  <c r="AL284" i="25"/>
  <c r="AO284" i="25"/>
  <c r="AD15" i="4"/>
  <c r="AK19" i="25"/>
  <c r="AK18" i="25"/>
  <c r="AK17" i="25"/>
  <c r="AK16" i="25"/>
  <c r="AM204" i="25" l="1"/>
  <c r="AD188" i="25"/>
  <c r="N284" i="25"/>
  <c r="O284" i="25"/>
  <c r="B211" i="25"/>
  <c r="C178" i="25"/>
  <c r="O281" i="25"/>
  <c r="N281" i="25"/>
  <c r="B318" i="25"/>
  <c r="AP285" i="25"/>
  <c r="AL285" i="25"/>
  <c r="AO285" i="25"/>
  <c r="AR285" i="25"/>
  <c r="AN285" i="25"/>
  <c r="AQ285" i="25"/>
  <c r="AM285" i="25"/>
  <c r="AR317" i="25"/>
  <c r="AN317" i="25"/>
  <c r="AQ317" i="25"/>
  <c r="AM317" i="25"/>
  <c r="AP317" i="25"/>
  <c r="AL317" i="25"/>
  <c r="AO317" i="25"/>
  <c r="N315" i="25"/>
  <c r="O315" i="25"/>
  <c r="AP316" i="25"/>
  <c r="AL316" i="25"/>
  <c r="AO316" i="25"/>
  <c r="AR316" i="25"/>
  <c r="AN316" i="25"/>
  <c r="AQ316" i="25"/>
  <c r="AM316" i="25"/>
  <c r="AR314" i="25"/>
  <c r="AN314" i="25"/>
  <c r="AQ314" i="25"/>
  <c r="AM314" i="25"/>
  <c r="AP314" i="25"/>
  <c r="AL314" i="25"/>
  <c r="AO314" i="25"/>
  <c r="N252" i="25"/>
  <c r="O252" i="25"/>
  <c r="AL264" i="25" s="1" a="1"/>
  <c r="AL264" i="25" s="1"/>
  <c r="O283" i="25"/>
  <c r="N283"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6" i="26"/>
  <c r="D717" i="26" s="1"/>
  <c r="D718" i="26" s="1"/>
  <c r="D719" i="26" s="1"/>
  <c r="D720" i="26" s="1"/>
  <c r="D722" i="26"/>
  <c r="D723" i="26" s="1"/>
  <c r="D724" i="26" s="1"/>
  <c r="D725" i="26" s="1"/>
  <c r="D726" i="26" s="1"/>
  <c r="D728" i="26"/>
  <c r="D729" i="26" s="1"/>
  <c r="D730" i="26" s="1"/>
  <c r="D731" i="26" s="1"/>
  <c r="D732"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91" i="26"/>
  <c r="D792" i="26" s="1"/>
  <c r="D793" i="26" s="1"/>
  <c r="D794" i="26" s="1"/>
  <c r="D795"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AD254" i="25" l="1"/>
  <c r="AM270" i="25"/>
  <c r="O316" i="25"/>
  <c r="N316" i="25"/>
  <c r="N314" i="25"/>
  <c r="O314" i="25"/>
  <c r="O317" i="25"/>
  <c r="N317" i="25"/>
  <c r="N285" i="25"/>
  <c r="O285" i="25"/>
  <c r="AL297" i="25" s="1" a="1"/>
  <c r="AL297" i="25" s="1"/>
  <c r="AP318" i="25"/>
  <c r="AL318" i="25"/>
  <c r="AO318" i="25"/>
  <c r="AR318" i="25"/>
  <c r="AN318" i="25"/>
  <c r="AQ318" i="25"/>
  <c r="AM318" i="25"/>
  <c r="B244" i="25"/>
  <c r="C211" i="25"/>
  <c r="N659" i="26"/>
  <c r="N658" i="26"/>
  <c r="N657" i="26"/>
  <c r="C657" i="26" s="1"/>
  <c r="N656" i="26"/>
  <c r="N655" i="26"/>
  <c r="N654" i="26"/>
  <c r="C654" i="26" s="1"/>
  <c r="N653" i="26"/>
  <c r="N652" i="26"/>
  <c r="E652" i="26" s="1"/>
  <c r="N651" i="26"/>
  <c r="N650" i="26"/>
  <c r="X9" i="26"/>
  <c r="W9" i="26"/>
  <c r="V9" i="26"/>
  <c r="U9" i="26"/>
  <c r="T9" i="26"/>
  <c r="S9" i="26"/>
  <c r="R9" i="26"/>
  <c r="Q9" i="26"/>
  <c r="P9" i="26"/>
  <c r="O9" i="26"/>
  <c r="BD36" i="25"/>
  <c r="BC36" i="25"/>
  <c r="BB36" i="25"/>
  <c r="AL23" i="25"/>
  <c r="U23" i="25"/>
  <c r="S23" i="25"/>
  <c r="N23" i="25"/>
  <c r="AL22" i="25"/>
  <c r="U22" i="25"/>
  <c r="S22" i="25"/>
  <c r="N22" i="25"/>
  <c r="U21" i="25"/>
  <c r="S21" i="25"/>
  <c r="N21" i="25"/>
  <c r="AW20" i="25"/>
  <c r="Q20" i="25"/>
  <c r="AT20" i="25" s="1"/>
  <c r="O20" i="25" s="1"/>
  <c r="AW19" i="25"/>
  <c r="Q19" i="25"/>
  <c r="AT19" i="25" s="1"/>
  <c r="O19" i="25" s="1"/>
  <c r="AW18" i="25"/>
  <c r="Q18" i="25"/>
  <c r="AT18" i="25" s="1"/>
  <c r="O18" i="25" s="1"/>
  <c r="AW17" i="25"/>
  <c r="Q17" i="25"/>
  <c r="AT17" i="25" s="1"/>
  <c r="O17" i="25" s="1"/>
  <c r="AW16" i="25"/>
  <c r="Q16" i="25"/>
  <c r="X639" i="26"/>
  <c r="X638" i="26"/>
  <c r="X637" i="26"/>
  <c r="X636" i="26"/>
  <c r="X635" i="26"/>
  <c r="X634" i="26"/>
  <c r="X633" i="26"/>
  <c r="X632" i="26"/>
  <c r="X631" i="26"/>
  <c r="X630" i="26"/>
  <c r="X629" i="26"/>
  <c r="X628" i="26"/>
  <c r="X627" i="26"/>
  <c r="X626" i="26"/>
  <c r="X625" i="26"/>
  <c r="X624" i="26"/>
  <c r="X623" i="26"/>
  <c r="X622" i="26"/>
  <c r="X621" i="26"/>
  <c r="X620" i="26"/>
  <c r="X619" i="26"/>
  <c r="X618" i="26"/>
  <c r="X617" i="26"/>
  <c r="X616" i="26"/>
  <c r="X615" i="26"/>
  <c r="X614" i="26"/>
  <c r="X613" i="26"/>
  <c r="X612" i="26"/>
  <c r="X611" i="26"/>
  <c r="X610" i="26"/>
  <c r="X609" i="26"/>
  <c r="X608" i="26"/>
  <c r="X607" i="26"/>
  <c r="X606" i="26"/>
  <c r="X605" i="26"/>
  <c r="X604" i="26"/>
  <c r="X603" i="26"/>
  <c r="X602" i="26"/>
  <c r="X601" i="26"/>
  <c r="X600" i="26"/>
  <c r="X599" i="26"/>
  <c r="X598" i="26"/>
  <c r="X597" i="26"/>
  <c r="X596" i="26"/>
  <c r="X595" i="26"/>
  <c r="X594" i="26"/>
  <c r="X593" i="26"/>
  <c r="X592" i="26"/>
  <c r="X591" i="26"/>
  <c r="X590" i="26"/>
  <c r="X589" i="26"/>
  <c r="X588" i="26"/>
  <c r="X587" i="26"/>
  <c r="X586" i="26"/>
  <c r="X585" i="26"/>
  <c r="X584" i="26"/>
  <c r="X583" i="26"/>
  <c r="X582" i="26"/>
  <c r="X581" i="26"/>
  <c r="X580" i="26"/>
  <c r="X579" i="26"/>
  <c r="X578" i="26"/>
  <c r="X577" i="26"/>
  <c r="X576" i="26"/>
  <c r="X575" i="26"/>
  <c r="X574" i="26"/>
  <c r="X573" i="26"/>
  <c r="X572" i="26"/>
  <c r="X571" i="26"/>
  <c r="X570" i="26"/>
  <c r="X569" i="26"/>
  <c r="X568" i="26"/>
  <c r="X567" i="26"/>
  <c r="X566" i="26"/>
  <c r="X565" i="26"/>
  <c r="X564" i="26"/>
  <c r="X563" i="26"/>
  <c r="X562" i="26"/>
  <c r="X561" i="26"/>
  <c r="X560" i="26"/>
  <c r="X559" i="26"/>
  <c r="X558" i="26"/>
  <c r="X557" i="26"/>
  <c r="X556" i="26"/>
  <c r="X555" i="26"/>
  <c r="X554" i="26"/>
  <c r="X553" i="26"/>
  <c r="X552" i="26"/>
  <c r="X551" i="26"/>
  <c r="X550" i="26"/>
  <c r="X549" i="26"/>
  <c r="X548" i="26"/>
  <c r="X547" i="26"/>
  <c r="X546" i="26"/>
  <c r="X545" i="26"/>
  <c r="X544" i="26"/>
  <c r="X543" i="26"/>
  <c r="X542" i="26"/>
  <c r="X541" i="26"/>
  <c r="X540" i="26"/>
  <c r="X539" i="26"/>
  <c r="X538" i="26"/>
  <c r="X537" i="26"/>
  <c r="X536" i="26"/>
  <c r="X535" i="26"/>
  <c r="X534" i="26"/>
  <c r="X533" i="26"/>
  <c r="X532" i="26"/>
  <c r="X531" i="26"/>
  <c r="X530" i="26"/>
  <c r="X529" i="26"/>
  <c r="X528" i="26"/>
  <c r="X527" i="26"/>
  <c r="X526" i="26"/>
  <c r="X525" i="26"/>
  <c r="X524" i="26"/>
  <c r="X523" i="26"/>
  <c r="X522" i="26"/>
  <c r="X521" i="26"/>
  <c r="X520" i="26"/>
  <c r="X519" i="26"/>
  <c r="X518" i="26"/>
  <c r="X517" i="26"/>
  <c r="X516" i="26"/>
  <c r="X515" i="26"/>
  <c r="X514" i="26"/>
  <c r="X513" i="26"/>
  <c r="X512" i="26"/>
  <c r="X511" i="26"/>
  <c r="X510" i="26"/>
  <c r="X509" i="26"/>
  <c r="X508" i="26"/>
  <c r="X507" i="26"/>
  <c r="X506" i="26"/>
  <c r="X505" i="26"/>
  <c r="X504" i="26"/>
  <c r="X503" i="26"/>
  <c r="X502" i="26"/>
  <c r="X501" i="26"/>
  <c r="X500" i="26"/>
  <c r="X499" i="26"/>
  <c r="X498" i="26"/>
  <c r="X497" i="26"/>
  <c r="X496" i="26"/>
  <c r="X495" i="26"/>
  <c r="X494" i="26"/>
  <c r="X493" i="26"/>
  <c r="X492" i="26"/>
  <c r="X491" i="26"/>
  <c r="X490" i="26"/>
  <c r="X489" i="26"/>
  <c r="X488" i="26"/>
  <c r="X487" i="26"/>
  <c r="X486" i="26"/>
  <c r="X485" i="26"/>
  <c r="X484" i="26"/>
  <c r="X483" i="26"/>
  <c r="X482" i="26"/>
  <c r="X481" i="26"/>
  <c r="X480" i="26"/>
  <c r="X479" i="26"/>
  <c r="X478" i="26"/>
  <c r="X477" i="26"/>
  <c r="X476" i="26"/>
  <c r="X475" i="26"/>
  <c r="X474" i="26"/>
  <c r="X473" i="26"/>
  <c r="X472" i="26"/>
  <c r="X471" i="26"/>
  <c r="X470" i="26"/>
  <c r="X469" i="26"/>
  <c r="X468" i="26"/>
  <c r="X467" i="26"/>
  <c r="X466" i="26"/>
  <c r="X465" i="26"/>
  <c r="X464" i="26"/>
  <c r="X463" i="26"/>
  <c r="X462" i="26"/>
  <c r="X461" i="26"/>
  <c r="X460" i="26"/>
  <c r="X459" i="26"/>
  <c r="X458" i="26"/>
  <c r="X457" i="26"/>
  <c r="X456" i="26"/>
  <c r="X455" i="26"/>
  <c r="X454" i="26"/>
  <c r="X453" i="26"/>
  <c r="X452" i="26"/>
  <c r="X451" i="26"/>
  <c r="X450" i="26"/>
  <c r="X449" i="26"/>
  <c r="X448" i="26"/>
  <c r="X447" i="26"/>
  <c r="X446" i="26"/>
  <c r="X445" i="26"/>
  <c r="X438" i="26"/>
  <c r="X437" i="26"/>
  <c r="X436" i="26"/>
  <c r="X435" i="26"/>
  <c r="X434" i="26"/>
  <c r="X433" i="26"/>
  <c r="X432" i="26"/>
  <c r="X431" i="26"/>
  <c r="X430" i="26"/>
  <c r="X429" i="26"/>
  <c r="X428" i="26"/>
  <c r="X427" i="26"/>
  <c r="X426" i="26"/>
  <c r="X425" i="26"/>
  <c r="X424" i="26"/>
  <c r="X423" i="26"/>
  <c r="X422" i="26"/>
  <c r="X421" i="26"/>
  <c r="X420" i="26"/>
  <c r="X419" i="26"/>
  <c r="X418" i="26"/>
  <c r="X417" i="26"/>
  <c r="X416" i="26"/>
  <c r="X415" i="26"/>
  <c r="X414" i="26"/>
  <c r="X413" i="26"/>
  <c r="X412" i="26"/>
  <c r="X411" i="26"/>
  <c r="X410" i="26"/>
  <c r="X409" i="26"/>
  <c r="X408" i="26"/>
  <c r="X407" i="26"/>
  <c r="X406" i="26"/>
  <c r="X405" i="26"/>
  <c r="X404" i="26"/>
  <c r="X403" i="26"/>
  <c r="X402" i="26"/>
  <c r="X401" i="26"/>
  <c r="X400" i="26"/>
  <c r="X399" i="26"/>
  <c r="X398" i="26"/>
  <c r="X397" i="26"/>
  <c r="X396" i="26"/>
  <c r="X395" i="26"/>
  <c r="X394" i="26"/>
  <c r="X393" i="26"/>
  <c r="X392" i="26"/>
  <c r="X391" i="26"/>
  <c r="X390" i="26"/>
  <c r="X389" i="26"/>
  <c r="X388" i="26"/>
  <c r="X387" i="26"/>
  <c r="X386" i="26"/>
  <c r="X385" i="26"/>
  <c r="X384" i="26"/>
  <c r="X383" i="26"/>
  <c r="X382" i="26"/>
  <c r="X381" i="26"/>
  <c r="X380" i="26"/>
  <c r="X379" i="26"/>
  <c r="X378" i="26"/>
  <c r="X377" i="26"/>
  <c r="X376" i="26"/>
  <c r="X375" i="26"/>
  <c r="X374" i="26"/>
  <c r="X373" i="26"/>
  <c r="X372" i="26"/>
  <c r="X371" i="26"/>
  <c r="X370" i="26"/>
  <c r="X369" i="26"/>
  <c r="X368" i="26"/>
  <c r="X367" i="26"/>
  <c r="X366" i="26"/>
  <c r="X365" i="26"/>
  <c r="X364" i="26"/>
  <c r="X363" i="26"/>
  <c r="X362" i="26"/>
  <c r="X361" i="26"/>
  <c r="X360" i="26"/>
  <c r="X359" i="26"/>
  <c r="X358" i="26"/>
  <c r="X357" i="26"/>
  <c r="X356" i="26"/>
  <c r="X355" i="26"/>
  <c r="X354" i="26"/>
  <c r="X353" i="26"/>
  <c r="X352" i="26"/>
  <c r="X351" i="26"/>
  <c r="X350" i="26"/>
  <c r="X349" i="26"/>
  <c r="X348" i="26"/>
  <c r="X347" i="26"/>
  <c r="X346" i="26"/>
  <c r="X345" i="26"/>
  <c r="X344" i="26"/>
  <c r="X343" i="26"/>
  <c r="X342" i="26"/>
  <c r="X341" i="26"/>
  <c r="X340" i="26"/>
  <c r="X339" i="26"/>
  <c r="X338" i="26"/>
  <c r="X337" i="26"/>
  <c r="X336" i="26"/>
  <c r="X335" i="26"/>
  <c r="X334" i="26"/>
  <c r="X333" i="26"/>
  <c r="X332" i="26"/>
  <c r="X331" i="26"/>
  <c r="X330" i="26"/>
  <c r="X329" i="26"/>
  <c r="X328" i="26"/>
  <c r="X327" i="26"/>
  <c r="X326" i="26"/>
  <c r="X325" i="26"/>
  <c r="X324" i="26"/>
  <c r="X323" i="26"/>
  <c r="X322" i="26"/>
  <c r="X321" i="26"/>
  <c r="X320" i="26"/>
  <c r="X319" i="26"/>
  <c r="X318" i="26"/>
  <c r="X317" i="26"/>
  <c r="X316" i="26"/>
  <c r="X315" i="26"/>
  <c r="X314" i="26"/>
  <c r="X313" i="26"/>
  <c r="X312" i="26"/>
  <c r="X311" i="26"/>
  <c r="X310" i="26"/>
  <c r="X309" i="26"/>
  <c r="X308" i="26"/>
  <c r="X307" i="26"/>
  <c r="X306" i="26"/>
  <c r="X305" i="26"/>
  <c r="X304" i="26"/>
  <c r="X303" i="26"/>
  <c r="X302" i="26"/>
  <c r="X301" i="26"/>
  <c r="X300" i="26"/>
  <c r="X299" i="26"/>
  <c r="X298" i="26"/>
  <c r="X297" i="26"/>
  <c r="X296" i="26"/>
  <c r="X295" i="26"/>
  <c r="X294" i="26"/>
  <c r="X293" i="26"/>
  <c r="X292" i="26"/>
  <c r="X291" i="26"/>
  <c r="X290" i="26"/>
  <c r="X289" i="26"/>
  <c r="X288" i="26"/>
  <c r="X287" i="26"/>
  <c r="X286" i="26"/>
  <c r="X285" i="26"/>
  <c r="X284" i="26"/>
  <c r="X283" i="26"/>
  <c r="X282" i="26"/>
  <c r="X281" i="26"/>
  <c r="X280" i="26"/>
  <c r="X279" i="26"/>
  <c r="X278" i="26"/>
  <c r="X277" i="26"/>
  <c r="X276" i="26"/>
  <c r="X275" i="26"/>
  <c r="X274" i="26"/>
  <c r="X273" i="26"/>
  <c r="X272" i="26"/>
  <c r="X271" i="26"/>
  <c r="X270" i="26"/>
  <c r="X269" i="26"/>
  <c r="X268" i="26"/>
  <c r="X267" i="26"/>
  <c r="X266" i="26"/>
  <c r="X265" i="26"/>
  <c r="X264" i="26"/>
  <c r="X263" i="26"/>
  <c r="X262" i="26"/>
  <c r="X261" i="26"/>
  <c r="X260" i="26"/>
  <c r="X259" i="26"/>
  <c r="X258" i="26"/>
  <c r="X257" i="26"/>
  <c r="X256" i="26"/>
  <c r="X255" i="26"/>
  <c r="X254" i="26"/>
  <c r="X253" i="26"/>
  <c r="X252" i="26"/>
  <c r="X251" i="26"/>
  <c r="X250" i="26"/>
  <c r="X249" i="26"/>
  <c r="X248" i="26"/>
  <c r="X247" i="26"/>
  <c r="X246" i="26"/>
  <c r="X245" i="26"/>
  <c r="X244" i="26"/>
  <c r="X243" i="26"/>
  <c r="X242" i="26"/>
  <c r="X241" i="26"/>
  <c r="X240" i="26"/>
  <c r="X239" i="26"/>
  <c r="X238" i="26"/>
  <c r="X237" i="26"/>
  <c r="X236" i="26"/>
  <c r="X235" i="26"/>
  <c r="X234" i="26"/>
  <c r="X233" i="26"/>
  <c r="X232" i="26"/>
  <c r="X231" i="26"/>
  <c r="X230" i="26"/>
  <c r="X229" i="26"/>
  <c r="X228" i="26"/>
  <c r="X227" i="26"/>
  <c r="X226" i="26"/>
  <c r="X225" i="26"/>
  <c r="X224" i="26"/>
  <c r="X223" i="26"/>
  <c r="X222" i="26"/>
  <c r="X221" i="26"/>
  <c r="X220" i="26"/>
  <c r="X219" i="26"/>
  <c r="X218" i="26"/>
  <c r="X217" i="26"/>
  <c r="X216" i="26"/>
  <c r="X215" i="26"/>
  <c r="X214" i="26"/>
  <c r="X213" i="26"/>
  <c r="X212" i="26"/>
  <c r="X211" i="26"/>
  <c r="X210" i="26"/>
  <c r="X209" i="26"/>
  <c r="X208" i="26"/>
  <c r="X207" i="26"/>
  <c r="X206" i="26"/>
  <c r="X205" i="26"/>
  <c r="X204" i="26"/>
  <c r="X203" i="26"/>
  <c r="X202" i="26"/>
  <c r="X201" i="26"/>
  <c r="X200" i="26"/>
  <c r="X199" i="26"/>
  <c r="X198" i="26"/>
  <c r="X197" i="26"/>
  <c r="X196" i="26"/>
  <c r="X195" i="26"/>
  <c r="X194" i="26"/>
  <c r="X193" i="26"/>
  <c r="X192" i="26"/>
  <c r="X191" i="26"/>
  <c r="X190" i="26"/>
  <c r="X189" i="26"/>
  <c r="X188" i="26"/>
  <c r="X187" i="26"/>
  <c r="X186" i="26"/>
  <c r="X185" i="26"/>
  <c r="X184" i="26"/>
  <c r="X183" i="26"/>
  <c r="X182" i="26"/>
  <c r="X181" i="26"/>
  <c r="X180" i="26"/>
  <c r="X179" i="26"/>
  <c r="X178" i="26"/>
  <c r="X177" i="26"/>
  <c r="X176" i="26"/>
  <c r="X175" i="26"/>
  <c r="X174" i="26"/>
  <c r="X173" i="26"/>
  <c r="X172" i="26"/>
  <c r="X171" i="26"/>
  <c r="X170" i="26"/>
  <c r="X169" i="26"/>
  <c r="X168" i="26"/>
  <c r="X167" i="26"/>
  <c r="X166" i="26"/>
  <c r="X165" i="26"/>
  <c r="X164" i="26"/>
  <c r="X163" i="26"/>
  <c r="X162" i="26"/>
  <c r="X161" i="26"/>
  <c r="X160" i="26"/>
  <c r="X159" i="26"/>
  <c r="X158" i="26"/>
  <c r="X157" i="26"/>
  <c r="X156" i="26"/>
  <c r="X155" i="26"/>
  <c r="X154" i="26"/>
  <c r="X153" i="26"/>
  <c r="X152" i="26"/>
  <c r="X151" i="26"/>
  <c r="X150" i="26"/>
  <c r="X149" i="26"/>
  <c r="X148" i="26"/>
  <c r="X147" i="26"/>
  <c r="X146" i="26"/>
  <c r="X145" i="26"/>
  <c r="X144" i="26"/>
  <c r="X143" i="26"/>
  <c r="X142" i="26"/>
  <c r="X141" i="26"/>
  <c r="X140" i="26"/>
  <c r="X139" i="26"/>
  <c r="X138" i="26"/>
  <c r="X137" i="26"/>
  <c r="X136" i="26"/>
  <c r="X135" i="26"/>
  <c r="X134" i="26"/>
  <c r="X133" i="26"/>
  <c r="X132" i="26"/>
  <c r="X131" i="26"/>
  <c r="X130" i="26"/>
  <c r="X129" i="26"/>
  <c r="X128" i="26"/>
  <c r="X127" i="26"/>
  <c r="X126" i="26"/>
  <c r="X125" i="26"/>
  <c r="X124" i="26"/>
  <c r="X123" i="26"/>
  <c r="X122" i="26"/>
  <c r="X121" i="26"/>
  <c r="X120" i="26"/>
  <c r="X119" i="26"/>
  <c r="X118" i="26"/>
  <c r="X117" i="26"/>
  <c r="X116" i="26"/>
  <c r="X115" i="26"/>
  <c r="X114" i="26"/>
  <c r="X113" i="26"/>
  <c r="X112" i="26"/>
  <c r="X111" i="26"/>
  <c r="X110" i="26"/>
  <c r="X109" i="26"/>
  <c r="X108" i="26"/>
  <c r="D108" i="26"/>
  <c r="X107" i="26"/>
  <c r="D107" i="26"/>
  <c r="X106" i="26"/>
  <c r="D106" i="26"/>
  <c r="X105" i="26"/>
  <c r="D105" i="26"/>
  <c r="X104" i="26"/>
  <c r="D104" i="26"/>
  <c r="X103" i="26"/>
  <c r="D103" i="26"/>
  <c r="X102" i="26"/>
  <c r="D102" i="26"/>
  <c r="X101" i="26"/>
  <c r="D101" i="26"/>
  <c r="X100" i="26"/>
  <c r="D100" i="26"/>
  <c r="X99" i="26"/>
  <c r="D99" i="26"/>
  <c r="X98" i="26"/>
  <c r="D98" i="26"/>
  <c r="X97" i="26"/>
  <c r="D97" i="26"/>
  <c r="X96" i="26"/>
  <c r="D96" i="26"/>
  <c r="X95" i="26"/>
  <c r="D95" i="26"/>
  <c r="X94" i="26"/>
  <c r="D94" i="26"/>
  <c r="X93" i="26"/>
  <c r="D93" i="26"/>
  <c r="X92" i="26"/>
  <c r="D92" i="26"/>
  <c r="X91" i="26"/>
  <c r="D91" i="26"/>
  <c r="X90" i="26"/>
  <c r="D90" i="26"/>
  <c r="X89" i="26"/>
  <c r="D89" i="26"/>
  <c r="X88" i="26"/>
  <c r="D88" i="26"/>
  <c r="X87" i="26"/>
  <c r="D87" i="26"/>
  <c r="X86" i="26"/>
  <c r="D86" i="26"/>
  <c r="X85" i="26"/>
  <c r="X84" i="26"/>
  <c r="X83" i="26"/>
  <c r="X82" i="26"/>
  <c r="X81" i="26"/>
  <c r="D81" i="26"/>
  <c r="X80" i="26"/>
  <c r="D80" i="26"/>
  <c r="X79" i="26"/>
  <c r="D79" i="26"/>
  <c r="X78" i="26"/>
  <c r="D78" i="26"/>
  <c r="X77" i="26"/>
  <c r="D77" i="26"/>
  <c r="X76" i="26"/>
  <c r="D76" i="26"/>
  <c r="X75" i="26"/>
  <c r="D75" i="26"/>
  <c r="X74" i="26"/>
  <c r="D74" i="26"/>
  <c r="X73" i="26"/>
  <c r="D73" i="26"/>
  <c r="X72" i="26"/>
  <c r="D72" i="26"/>
  <c r="X71" i="26"/>
  <c r="D71" i="26"/>
  <c r="X70" i="26"/>
  <c r="D70" i="26"/>
  <c r="X69" i="26"/>
  <c r="D69" i="26"/>
  <c r="X68" i="26"/>
  <c r="D68" i="26"/>
  <c r="X67" i="26"/>
  <c r="D67" i="26"/>
  <c r="X66" i="26"/>
  <c r="D66" i="26"/>
  <c r="X65" i="26"/>
  <c r="X64" i="26"/>
  <c r="D64" i="26"/>
  <c r="X63" i="26"/>
  <c r="D63" i="26"/>
  <c r="X62" i="26"/>
  <c r="D62" i="26"/>
  <c r="X61" i="26"/>
  <c r="D61" i="26"/>
  <c r="X60" i="26"/>
  <c r="D60" i="26"/>
  <c r="X59" i="26"/>
  <c r="D59" i="26"/>
  <c r="X58" i="26"/>
  <c r="D58" i="26"/>
  <c r="X57" i="26"/>
  <c r="D57" i="26"/>
  <c r="X56" i="26"/>
  <c r="D56" i="26"/>
  <c r="X55" i="26"/>
  <c r="D55" i="26"/>
  <c r="X54" i="26"/>
  <c r="D54" i="26"/>
  <c r="X53" i="26"/>
  <c r="D53" i="26"/>
  <c r="X52" i="26"/>
  <c r="D52" i="26"/>
  <c r="X51" i="26"/>
  <c r="D51" i="26"/>
  <c r="X50" i="26"/>
  <c r="D50" i="26"/>
  <c r="X49" i="26"/>
  <c r="D49" i="26"/>
  <c r="X48" i="26"/>
  <c r="D48" i="26"/>
  <c r="X47" i="26"/>
  <c r="D47" i="26"/>
  <c r="X46" i="26"/>
  <c r="D46" i="26"/>
  <c r="X45" i="26"/>
  <c r="D45" i="26"/>
  <c r="X44" i="26"/>
  <c r="D44" i="26"/>
  <c r="X43" i="26"/>
  <c r="D43" i="26"/>
  <c r="X42" i="26"/>
  <c r="D42" i="26"/>
  <c r="X41" i="26"/>
  <c r="D41" i="26"/>
  <c r="X40" i="26"/>
  <c r="D40" i="26"/>
  <c r="X39" i="26"/>
  <c r="D39" i="26"/>
  <c r="X38" i="26"/>
  <c r="D38" i="26"/>
  <c r="X37" i="26"/>
  <c r="D37" i="26"/>
  <c r="X36" i="26"/>
  <c r="D36" i="26"/>
  <c r="X35" i="26"/>
  <c r="D35" i="26"/>
  <c r="X34" i="26"/>
  <c r="D34" i="26"/>
  <c r="X33" i="26"/>
  <c r="D33" i="26"/>
  <c r="X32" i="26"/>
  <c r="D32" i="26"/>
  <c r="X31" i="26"/>
  <c r="D31" i="26"/>
  <c r="X30" i="26"/>
  <c r="D30" i="26"/>
  <c r="X29" i="26"/>
  <c r="D29" i="26"/>
  <c r="X28" i="26"/>
  <c r="D28" i="26"/>
  <c r="X27" i="26"/>
  <c r="D27" i="26"/>
  <c r="X26" i="26"/>
  <c r="D26" i="26"/>
  <c r="X25" i="26"/>
  <c r="D25" i="26"/>
  <c r="X24" i="26"/>
  <c r="D24" i="26"/>
  <c r="X23" i="26"/>
  <c r="D23" i="26"/>
  <c r="X22" i="26"/>
  <c r="D22" i="26"/>
  <c r="X21" i="26"/>
  <c r="D21" i="26"/>
  <c r="X20" i="26"/>
  <c r="D20" i="26"/>
  <c r="X19" i="26"/>
  <c r="D19" i="26"/>
  <c r="X18" i="26"/>
  <c r="D18" i="26"/>
  <c r="X17" i="26"/>
  <c r="D17" i="26"/>
  <c r="X16" i="26"/>
  <c r="D16" i="26"/>
  <c r="X15" i="26"/>
  <c r="D15" i="26"/>
  <c r="X14" i="26"/>
  <c r="D14" i="26"/>
  <c r="X13" i="26"/>
  <c r="D13" i="26"/>
  <c r="X12" i="26"/>
  <c r="D12" i="26"/>
  <c r="X11" i="26"/>
  <c r="D11" i="26"/>
  <c r="D10" i="26"/>
  <c r="D9" i="26"/>
  <c r="AM33" i="25"/>
  <c r="AO31" i="25"/>
  <c r="AN31" i="25"/>
  <c r="AM31" i="25"/>
  <c r="AL31" i="25"/>
  <c r="AK31" i="25"/>
  <c r="AJ31" i="25"/>
  <c r="AB25" i="25"/>
  <c r="V25" i="25"/>
  <c r="P25" i="25"/>
  <c r="J25" i="25"/>
  <c r="D25" i="25"/>
  <c r="I27" i="25" s="1"/>
  <c r="AM39" i="25" s="1"/>
  <c r="BB23" i="25"/>
  <c r="AW23" i="25"/>
  <c r="BB22" i="25"/>
  <c r="AW22" i="25"/>
  <c r="BB21" i="25"/>
  <c r="AW21" i="25"/>
  <c r="BA20" i="25"/>
  <c r="BB20" i="25" s="1"/>
  <c r="BA19" i="25"/>
  <c r="BB19" i="25" s="1"/>
  <c r="BA18" i="25"/>
  <c r="BB18" i="25" s="1"/>
  <c r="K14" i="25"/>
  <c r="AT16" i="25" l="1"/>
  <c r="AM303" i="25"/>
  <c r="AD287" i="25"/>
  <c r="U34" i="25"/>
  <c r="U27" i="25"/>
  <c r="AA33" i="25"/>
  <c r="AA27" i="25"/>
  <c r="B277" i="25"/>
  <c r="C244" i="25"/>
  <c r="AB44" i="25"/>
  <c r="AG27" i="25"/>
  <c r="N318" i="25"/>
  <c r="O318" i="25"/>
  <c r="AL330" i="25" s="1" a="1"/>
  <c r="AL330" i="25" s="1"/>
  <c r="O35" i="25"/>
  <c r="O27" i="25"/>
  <c r="E654" i="26"/>
  <c r="C650" i="26"/>
  <c r="E650" i="26"/>
  <c r="M650" i="26"/>
  <c r="M656" i="26"/>
  <c r="K656" i="26"/>
  <c r="E659" i="26"/>
  <c r="K659" i="26"/>
  <c r="M659" i="26"/>
  <c r="E651" i="26"/>
  <c r="K651" i="26"/>
  <c r="M651" i="26"/>
  <c r="E653" i="26"/>
  <c r="K653" i="26"/>
  <c r="M653" i="26"/>
  <c r="C656" i="26"/>
  <c r="M658" i="26"/>
  <c r="K658" i="26"/>
  <c r="C659" i="26"/>
  <c r="M652" i="26"/>
  <c r="K652" i="26"/>
  <c r="C653" i="26"/>
  <c r="E655" i="26"/>
  <c r="K655" i="26"/>
  <c r="M655" i="26"/>
  <c r="E656" i="26"/>
  <c r="C658" i="26"/>
  <c r="C652" i="26"/>
  <c r="M654" i="26"/>
  <c r="K654" i="26"/>
  <c r="C655" i="26"/>
  <c r="E657" i="26"/>
  <c r="K657" i="26"/>
  <c r="M657" i="26"/>
  <c r="E658" i="26"/>
  <c r="I32" i="25"/>
  <c r="D44" i="25"/>
  <c r="AG29" i="25"/>
  <c r="AG33" i="25"/>
  <c r="V27" i="5"/>
  <c r="AM26" i="5" s="1"/>
  <c r="AN26" i="5" s="1"/>
  <c r="G33" i="10" s="1"/>
  <c r="AA27" i="5"/>
  <c r="AA30" i="25"/>
  <c r="W26" i="25"/>
  <c r="AA34" i="25"/>
  <c r="X12" i="25"/>
  <c r="G650" i="26" s="1"/>
  <c r="H659" i="26"/>
  <c r="BB16" i="25"/>
  <c r="I33" i="25"/>
  <c r="I29" i="25"/>
  <c r="H658" i="26"/>
  <c r="H656" i="26"/>
  <c r="H657" i="26"/>
  <c r="G658" i="26"/>
  <c r="H655" i="26"/>
  <c r="G656" i="26"/>
  <c r="H654" i="26"/>
  <c r="H653" i="26"/>
  <c r="G654" i="26"/>
  <c r="H652" i="26"/>
  <c r="H651" i="26"/>
  <c r="G652" i="26"/>
  <c r="AO25" i="25"/>
  <c r="K650" i="26" s="1"/>
  <c r="O26" i="25"/>
  <c r="AA26" i="25"/>
  <c r="G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BA17" i="25"/>
  <c r="BB17" i="25" s="1"/>
  <c r="P63" i="4"/>
  <c r="O65" i="4"/>
  <c r="O56" i="4"/>
  <c r="AB635" i="11"/>
  <c r="AC775" i="11"/>
  <c r="AM36" i="25" l="1"/>
  <c r="AM38" i="25"/>
  <c r="O16" i="25"/>
  <c r="AL32" i="25" s="1" a="1"/>
  <c r="AL32" i="25" s="1"/>
  <c r="AM44" i="25" s="1"/>
  <c r="D43" i="25" s="1"/>
  <c r="AD320" i="25"/>
  <c r="AM336" i="25"/>
  <c r="B310" i="25"/>
  <c r="C310" i="25" s="1"/>
  <c r="C277" i="25"/>
  <c r="V55" i="5"/>
  <c r="AD55" i="5"/>
  <c r="AD52" i="5"/>
  <c r="V47" i="5"/>
  <c r="V52" i="5"/>
  <c r="AD39" i="5"/>
  <c r="AD60" i="5"/>
  <c r="V28" i="5"/>
  <c r="V63" i="5"/>
  <c r="V31" i="5"/>
  <c r="AD63" i="5"/>
  <c r="AD36" i="5"/>
  <c r="AD28" i="5"/>
  <c r="V44" i="5"/>
  <c r="V39" i="5"/>
  <c r="AD47" i="5"/>
  <c r="AD44" i="5"/>
  <c r="V36" i="5"/>
  <c r="V60" i="5"/>
  <c r="AD31" i="5"/>
  <c r="AX16" i="25"/>
  <c r="AX17" i="25"/>
  <c r="AX18" i="25"/>
  <c r="AX19" i="25"/>
  <c r="AX20" i="25"/>
  <c r="F650" i="26"/>
  <c r="F659" i="26"/>
  <c r="F657" i="26"/>
  <c r="F656" i="26"/>
  <c r="F658" i="26"/>
  <c r="F655" i="26"/>
  <c r="F654" i="26"/>
  <c r="F653" i="26"/>
  <c r="F652" i="26"/>
  <c r="F651" i="26"/>
  <c r="AO24" i="25"/>
  <c r="C53" i="4"/>
  <c r="D53" i="4"/>
  <c r="N53" i="4"/>
  <c r="O53" i="4"/>
  <c r="N62" i="4"/>
  <c r="O62" i="4"/>
  <c r="AD22" i="25" l="1"/>
  <c r="H650" i="26"/>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E560" i="11" l="1"/>
  <c r="G560" i="11" s="1"/>
  <c r="H560" i="11" s="1"/>
  <c r="D346" i="11"/>
  <c r="D391" i="11"/>
  <c r="D257" i="11"/>
  <c r="E559" i="11"/>
  <c r="G559" i="11" s="1"/>
  <c r="H559" i="11" s="1"/>
  <c r="D345" i="11"/>
  <c r="E562" i="11"/>
  <c r="G562" i="11" s="1"/>
  <c r="H562" i="11" s="1"/>
  <c r="E561" i="11"/>
  <c r="G561" i="11" s="1"/>
  <c r="H561" i="11" s="1"/>
  <c r="E396" i="11"/>
  <c r="G58" i="10"/>
  <c r="E395" i="11" l="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AA24" i="2"/>
  <c r="V588" i="11"/>
  <c r="V584" i="11"/>
  <c r="V587" i="11"/>
  <c r="V583" i="11"/>
  <c r="F631" i="11" s="1"/>
  <c r="V590" i="11"/>
  <c r="V586" i="11"/>
  <c r="V582" i="11"/>
  <c r="V589" i="11"/>
  <c r="V585" i="11"/>
  <c r="T256" i="11"/>
  <c r="T258" i="11"/>
  <c r="T236" i="11"/>
  <c r="AB24" i="2"/>
  <c r="C397" i="11" l="1"/>
  <c r="C256" i="11"/>
  <c r="C51" i="4"/>
  <c r="N43" i="4"/>
  <c r="BB32" i="4" s="1"/>
  <c r="C43" i="4"/>
  <c r="BA32" i="4" s="1"/>
  <c r="N36" i="4"/>
  <c r="C36" i="4"/>
  <c r="AY32" i="4" s="1"/>
  <c r="C392" i="11"/>
  <c r="C391" i="11"/>
  <c r="C386" i="11"/>
  <c r="C390" i="11"/>
  <c r="C389" i="11"/>
  <c r="C393" i="11"/>
  <c r="C388" i="11"/>
  <c r="C396" i="11"/>
  <c r="AN32" i="2"/>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L19" i="26" l="1"/>
  <c r="L23" i="26"/>
  <c r="L43" i="26"/>
  <c r="L59" i="26"/>
  <c r="L17" i="26"/>
  <c r="L21" i="26"/>
  <c r="L77" i="26"/>
  <c r="L34" i="26"/>
  <c r="L42" i="26"/>
  <c r="L62" i="26"/>
  <c r="L70" i="26"/>
  <c r="L16" i="26"/>
  <c r="L20" i="26"/>
  <c r="L52" i="26"/>
  <c r="L56" i="26"/>
  <c r="L68" i="26"/>
  <c r="L72" i="26"/>
  <c r="L76" i="26"/>
  <c r="L13" i="26"/>
  <c r="L25" i="26"/>
  <c r="L33" i="26"/>
  <c r="L57" i="26"/>
  <c r="L73" i="26"/>
  <c r="L81" i="26"/>
  <c r="L22" i="26"/>
  <c r="L58" i="26"/>
  <c r="L71" i="26"/>
  <c r="L69" i="26"/>
  <c r="L35" i="26"/>
  <c r="L67" i="26"/>
  <c r="N16" i="25" s="1"/>
  <c r="L12" i="26"/>
  <c r="L46" i="26"/>
  <c r="L66" i="26"/>
  <c r="L74" i="26"/>
  <c r="L27" i="26"/>
  <c r="L31" i="26"/>
  <c r="L51" i="26"/>
  <c r="L75" i="26"/>
  <c r="L79" i="26"/>
  <c r="L29" i="26"/>
  <c r="L45" i="26"/>
  <c r="L26" i="26"/>
  <c r="L50" i="26"/>
  <c r="L28" i="26"/>
  <c r="L44" i="26"/>
  <c r="L64" i="26"/>
  <c r="L80" i="26"/>
  <c r="L49" i="26"/>
  <c r="L30" i="26"/>
  <c r="L11" i="26"/>
  <c r="L15" i="26"/>
  <c r="L39" i="26"/>
  <c r="L47" i="26"/>
  <c r="L55" i="26"/>
  <c r="L61" i="26"/>
  <c r="L14" i="26"/>
  <c r="L54" i="26"/>
  <c r="L78" i="26"/>
  <c r="L10" i="26"/>
  <c r="L24" i="26"/>
  <c r="L36" i="26"/>
  <c r="L40" i="26"/>
  <c r="L60" i="26"/>
  <c r="L38"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0" i="11" l="1"/>
  <c r="W65" i="11" s="1"/>
  <c r="W63" i="1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AA874" i="11" s="1" a="1"/>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3" i="11" s="1"/>
  <c r="AC890" i="11" a="1"/>
  <c r="AC904" i="11" a="1"/>
  <c r="AC900" i="11" a="1"/>
  <c r="AC886" i="11" a="1"/>
  <c r="AC886" i="11" s="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AA877" i="11" l="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L670" i="11"/>
  <c r="AS680" i="11"/>
  <c r="AS681" i="11" s="1"/>
  <c r="AS682" i="11" s="1"/>
  <c r="AS683" i="11" s="1"/>
  <c r="AS684" i="11" s="1"/>
  <c r="AS685" i="11" s="1"/>
  <c r="AS686" i="11" s="1"/>
  <c r="BN687" i="11"/>
  <c r="BN688" i="11" s="1"/>
  <c r="BN689" i="11" s="1"/>
  <c r="BN690" i="11" s="1"/>
  <c r="BN691" i="11" s="1"/>
  <c r="BN692" i="11" s="1"/>
  <c r="BN693" i="11" s="1"/>
  <c r="BN694" i="11" s="1"/>
  <c r="AZ665" i="11"/>
  <c r="AU755" i="11" l="1"/>
  <c r="AU760" i="1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6"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<sst xmlns="http://schemas.openxmlformats.org/spreadsheetml/2006/main" count="25167" uniqueCount="10277">
  <si>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</si>
  <si>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</si>
  <si>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</si>
  <si>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</si>
  <si>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</si>
  <si>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</si>
  <si>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</si>
  <si>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</si>
  <si>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</si>
  <si>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</si>
  <si>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</si>
  <si>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</si>
  <si>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</si>
  <si>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</si>
  <si>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</si>
  <si>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</si>
  <si>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</si>
  <si>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</si>
  <si>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</si>
  <si>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</si>
  <si>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</si>
  <si>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</si>
  <si>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</si>
  <si>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</si>
  <si>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</si>
  <si>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</si>
  <si>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</si>
  <si>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</si>
  <si>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</si>
  <si>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</si>
  <si>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</si>
  <si>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</si>
  <si>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</si>
  <si>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</si>
  <si>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</si>
  <si>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</si>
  <si>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</si>
  <si>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</si>
  <si>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</si>
  <si>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</si>
  <si>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</si>
  <si>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</si>
  <si>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</si>
  <si>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</si>
  <si>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</si>
  <si>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</si>
  <si>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</si>
  <si>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</si>
  <si>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</si>
  <si>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</si>
  <si>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</si>
  <si>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</si>
  <si>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</si>
  <si>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</si>
  <si>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</si>
  <si>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</si>
  <si>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</si>
  <si>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</si>
  <si>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</si>
  <si>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</si>
  <si>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</si>
  <si>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</si>
  <si>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</si>
  <si>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</si>
  <si>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</si>
  <si>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</si>
  <si>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</si>
  <si>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</si>
  <si>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</si>
  <si>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</si>
  <si>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</si>
  <si>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</si>
  <si>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</si>
  <si>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</si>
  <si>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</si>
  <si>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</si>
  <si>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</si>
  <si>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</si>
  <si>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</si>
  <si>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</si>
  <si>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</si>
  <si>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</si>
  <si>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</si>
  <si>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</si>
  <si>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</si>
  <si>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</si>
  <si>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</si>
  <si>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</si>
  <si>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</si>
  <si>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</si>
  <si>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</si>
  <si>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</si>
  <si>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</si>
  <si>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</si>
  <si>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</si>
  <si>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</si>
  <si>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</si>
  <si>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</si>
  <si>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</si>
  <si>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</si>
  <si>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</si>
  <si>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</si>
  <si>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</si>
  <si>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</si>
  <si>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</si>
  <si>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</si>
  <si>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</si>
  <si>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</si>
  <si>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</si>
  <si>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</si>
  <si>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</si>
  <si>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</si>
  <si>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</si>
  <si>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</si>
  <si>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</si>
  <si>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</si>
  <si>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</si>
  <si>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</si>
  <si>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</si>
  <si>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</si>
  <si>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</si>
  <si>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</si>
  <si>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</si>
  <si>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</si>
  <si>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</si>
  <si>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</si>
  <si>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</si>
  <si>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</si>
  <si>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</si>
  <si>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</si>
  <si>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</si>
  <si>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</si>
  <si>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</si>
  <si>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</si>
  <si>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</si>
  <si>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</si>
  <si>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</si>
  <si>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</si>
  <si>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</si>
  <si>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</si>
  <si>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</si>
  <si>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</si>
  <si>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</si>
  <si>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</si>
  <si>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</si>
  <si>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</si>
  <si>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</si>
  <si>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</si>
  <si>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</si>
  <si>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</si>
  <si>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</si>
  <si>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</si>
  <si>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</si>
  <si>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</si>
  <si>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</si>
  <si>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</si>
  <si>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</si>
  <si>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</si>
  <si>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</si>
  <si>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</si>
  <si>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</si>
  <si>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</si>
  <si>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</si>
  <si>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</si>
  <si>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</si>
  <si>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</si>
  <si>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</si>
  <si>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</si>
  <si>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</si>
  <si>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</si>
  <si>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</si>
  <si>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</si>
  <si>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</si>
  <si>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</si>
  <si>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</si>
  <si>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</si>
  <si>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</si>
  <si>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</si>
  <si>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</si>
  <si>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</si>
  <si>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</si>
  <si>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</si>
  <si>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</si>
  <si>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</si>
  <si>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</si>
  <si>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</si>
  <si>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</si>
  <si>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</si>
  <si>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</si>
  <si>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</si>
  <si>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</si>
  <si>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</si>
  <si>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</si>
  <si>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</si>
  <si>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</si>
  <si>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</si>
  <si>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</si>
  <si>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</si>
  <si>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</si>
  <si>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</si>
  <si>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</si>
  <si>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</si>
  <si>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</si>
  <si>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</si>
  <si>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</si>
  <si>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</si>
  <si>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</si>
  <si>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</si>
  <si>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</si>
  <si>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</si>
  <si>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</si>
  <si>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</si>
  <si>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</si>
  <si>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</si>
  <si>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</si>
  <si>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</si>
  <si>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</si>
  <si>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</si>
  <si>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</si>
  <si>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</si>
  <si>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</si>
  <si>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</si>
  <si>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</si>
  <si>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</si>
  <si>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</si>
  <si>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</si>
  <si>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</si>
  <si>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</si>
  <si>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</si>
  <si>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</si>
  <si>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</si>
  <si>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</si>
  <si>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</si>
  <si>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</si>
  <si>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</si>
  <si>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</si>
  <si>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</si>
  <si>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</si>
  <si>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</si>
  <si>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</si>
  <si>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</si>
  <si>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</si>
  <si>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</si>
  <si>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</si>
  <si>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</si>
  <si>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</si>
  <si>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</si>
  <si>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</si>
  <si>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</si>
  <si>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</si>
  <si>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</si>
  <si>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</si>
  <si>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</si>
  <si>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</si>
  <si>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</si>
  <si>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</si>
  <si>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</si>
  <si>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</si>
  <si>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</si>
  <si>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</si>
  <si>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</si>
  <si>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</si>
  <si>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</si>
  <si>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</si>
  <si>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</si>
  <si>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</si>
  <si>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</si>
  <si>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</si>
  <si>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</si>
  <si>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</si>
  <si>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</si>
  <si>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</si>
  <si>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</si>
  <si>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</si>
  <si>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</si>
  <si>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</si>
  <si>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</si>
  <si>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</si>
  <si>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</si>
  <si>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</si>
  <si>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</si>
  <si>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</si>
  <si>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</si>
  <si>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</si>
  <si>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</si>
  <si>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</si>
  <si>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</si>
  <si>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</si>
  <si>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</si>
  <si>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</si>
  <si>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</si>
  <si>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</si>
  <si>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</si>
  <si>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</si>
  <si>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</si>
  <si>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</si>
  <si>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</si>
  <si>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</si>
  <si>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</si>
  <si>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</si>
  <si>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</si>
  <si>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</si>
  <si>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</si>
  <si>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</si>
  <si>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</si>
  <si>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</si>
  <si>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</si>
  <si>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</si>
  <si>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</si>
  <si>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</si>
  <si>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</si>
  <si>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</si>
  <si>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</si>
  <si>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</si>
  <si>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</si>
  <si>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</si>
  <si>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</si>
  <si>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</si>
  <si>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</si>
  <si>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</si>
  <si>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</si>
  <si>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</si>
  <si>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</si>
  <si>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</si>
  <si>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</si>
  <si>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</si>
  <si>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</si>
  <si>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</si>
  <si>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</si>
  <si>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</si>
  <si>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</si>
  <si>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</si>
  <si>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</si>
  <si>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</si>
  <si>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</si>
  <si>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</si>
  <si>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</si>
  <si>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</si>
  <si>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</si>
  <si>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</si>
  <si>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</si>
  <si>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</si>
  <si>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</si>
  <si>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</si>
  <si>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</si>
  <si>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</si>
  <si>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</si>
  <si>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</si>
  <si>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</si>
  <si>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</si>
  <si>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</si>
  <si>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</si>
  <si>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</si>
  <si>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</si>
  <si>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</si>
  <si>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</si>
  <si>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</si>
  <si>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</si>
  <si>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</si>
  <si>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</si>
  <si>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</si>
  <si>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</si>
  <si>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</si>
  <si>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</si>
  <si>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</si>
  <si>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</si>
  <si>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</si>
  <si>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</si>
  <si>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</si>
  <si>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</si>
  <si>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</si>
  <si>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</si>
  <si>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</si>
  <si>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</si>
  <si>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</si>
  <si>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</si>
  <si>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</si>
  <si>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</si>
  <si>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</si>
  <si>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</si>
  <si>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</si>
  <si>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</si>
  <si>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</si>
  <si>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</si>
  <si>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</si>
  <si>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</si>
  <si>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</si>
  <si>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</si>
  <si>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</si>
  <si>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</si>
  <si>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</si>
  <si>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</si>
  <si>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</si>
  <si>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</si>
  <si>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</si>
  <si>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</si>
  <si>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</si>
  <si>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</si>
  <si>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</si>
  <si>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</si>
  <si>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</si>
  <si>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</si>
  <si>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</si>
  <si>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</si>
  <si>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</si>
  <si>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</si>
  <si>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</si>
  <si>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</si>
  <si>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</si>
  <si>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</si>
  <si>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</si>
  <si>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</si>
  <si>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</si>
  <si>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</si>
  <si>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</si>
  <si>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</si>
  <si>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</si>
  <si>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</si>
  <si>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</si>
  <si>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</si>
  <si>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</si>
  <si>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</si>
  <si>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</si>
  <si>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</si>
  <si>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</si>
  <si>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</si>
  <si>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</si>
  <si>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</si>
  <si>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</si>
  <si>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</si>
  <si>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</si>
  <si>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</si>
  <si>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</si>
  <si>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</si>
  <si>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</si>
  <si>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</si>
  <si>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</si>
  <si>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</si>
  <si>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</si>
  <si>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</si>
  <si>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</si>
  <si>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</si>
  <si>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</si>
  <si>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</si>
  <si>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</si>
  <si>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</si>
  <si>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</si>
  <si>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</si>
  <si>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</si>
  <si>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</si>
  <si>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</si>
  <si>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</si>
  <si>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</si>
  <si>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</si>
  <si>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</si>
  <si>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</si>
  <si>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</si>
  <si>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</si>
  <si>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</si>
  <si>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</si>
  <si>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</si>
  <si>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</si>
  <si>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</si>
  <si>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</si>
  <si>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</si>
  <si>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</si>
  <si>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</si>
  <si>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</si>
  <si>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</si>
  <si>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</si>
  <si>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</si>
  <si>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</si>
  <si>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</si>
  <si>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</si>
  <si>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</si>
  <si>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</si>
  <si>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</si>
  <si>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</si>
  <si>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</si>
  <si>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</si>
  <si>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</si>
  <si>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</si>
  <si>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</si>
  <si>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</si>
  <si>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</si>
  <si>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</si>
  <si>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</si>
  <si>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</si>
  <si>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</si>
  <si>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</si>
  <si>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</si>
  <si>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</si>
  <si>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</si>
  <si>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</si>
  <si>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</si>
  <si>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</si>
  <si>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</si>
  <si>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</si>
  <si>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</si>
  <si>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</si>
  <si>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</si>
  <si>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</si>
  <si>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</si>
  <si>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</si>
  <si>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</si>
  <si>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</si>
  <si>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</si>
  <si>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</si>
  <si>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</si>
  <si>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</si>
  <si>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</si>
  <si>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</si>
  <si>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</si>
  <si>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</si>
  <si>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</si>
  <si>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</si>
  <si>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</si>
  <si>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</si>
  <si>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</si>
  <si>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</si>
  <si>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</si>
  <si>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</si>
  <si>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</si>
  <si>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</si>
  <si>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</si>
  <si>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</si>
  <si>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</si>
  <si>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</si>
  <si>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</si>
  <si>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</si>
  <si>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</si>
  <si>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</si>
  <si>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</si>
  <si>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</si>
  <si>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</si>
  <si>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</si>
  <si>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</si>
  <si>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</si>
  <si>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</si>
  <si>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</si>
  <si>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</si>
  <si>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</si>
  <si>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</si>
  <si>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</si>
  <si>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</si>
  <si>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</si>
  <si>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</si>
  <si>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</si>
  <si>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</si>
  <si>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</si>
  <si>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</si>
  <si>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</si>
  <si>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</si>
  <si>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</si>
  <si>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</si>
  <si>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</si>
  <si>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</si>
  <si>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</si>
  <si>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</si>
  <si>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</si>
  <si>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</si>
  <si>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</si>
  <si>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</si>
  <si>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</si>
  <si>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</si>
  <si>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</si>
  <si>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</si>
  <si>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</si>
  <si>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</si>
  <si>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</si>
  <si>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</si>
  <si>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</si>
  <si>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</si>
  <si>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</si>
  <si>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</si>
  <si>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</si>
  <si>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</si>
  <si>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</si>
  <si>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</si>
  <si>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</si>
  <si>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</si>
  <si>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</si>
  <si>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</si>
  <si>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</si>
  <si>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</si>
  <si>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</si>
  <si>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</si>
  <si>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</si>
  <si>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</si>
  <si>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</si>
  <si>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</si>
  <si>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</si>
  <si>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</si>
  <si>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</si>
  <si>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</si>
  <si>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</si>
  <si>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</si>
  <si>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</si>
  <si>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</si>
  <si>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</si>
  <si>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</si>
  <si>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</si>
  <si>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</si>
  <si>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</si>
  <si>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</si>
  <si>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</si>
  <si>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</si>
  <si>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</si>
  <si>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</si>
  <si>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</si>
  <si>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</si>
  <si>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</si>
  <si>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</si>
  <si>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</si>
  <si>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</si>
  <si>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</si>
  <si>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</si>
  <si>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</si>
  <si>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</si>
  <si>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</si>
  <si>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</si>
  <si>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</si>
  <si>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</si>
  <si>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</si>
  <si>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</si>
  <si>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</si>
  <si>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</si>
  <si>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</si>
  <si>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</si>
  <si>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</si>
  <si>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</si>
  <si>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</si>
  <si>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</si>
  <si>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</si>
  <si>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</si>
  <si>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</si>
  <si>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</si>
  <si>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</si>
  <si>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</si>
  <si>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</si>
  <si>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</si>
  <si>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</si>
  <si>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</si>
  <si>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</si>
  <si>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</si>
  <si>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</si>
  <si>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</si>
  <si>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</si>
  <si>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</si>
  <si>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</si>
  <si>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</si>
  <si>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</si>
  <si>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</si>
  <si>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</si>
  <si>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</si>
  <si>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</si>
  <si>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</si>
  <si>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</si>
  <si>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</si>
  <si>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</si>
  <si>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</si>
  <si>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</si>
  <si>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</si>
  <si>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</si>
  <si>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</si>
  <si>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</si>
  <si>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</si>
  <si>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</si>
  <si>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</si>
  <si>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</si>
  <si>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</si>
  <si>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</si>
  <si>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</si>
  <si>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</si>
  <si>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</si>
  <si>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</si>
  <si>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</si>
  <si>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</si>
  <si>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</si>
  <si>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</si>
  <si>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</si>
  <si>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</si>
  <si>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</si>
  <si>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</si>
  <si>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</si>
  <si>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</si>
  <si>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</si>
  <si>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</si>
  <si>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</si>
  <si>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</si>
  <si>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</si>
  <si>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</si>
  <si>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</si>
  <si>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</si>
  <si>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</si>
  <si>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</si>
  <si>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</si>
  <si>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</si>
  <si>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</si>
  <si>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</si>
  <si>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</si>
  <si>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</si>
  <si>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</si>
  <si>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</si>
  <si>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</si>
  <si>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</si>
  <si>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</si>
  <si>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</si>
  <si>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</si>
  <si>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</si>
  <si>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</si>
  <si>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</si>
  <si>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</si>
  <si>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</si>
  <si>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</si>
  <si>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</si>
  <si>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</si>
  <si>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</si>
  <si>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</si>
  <si>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</si>
  <si>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</si>
  <si>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</si>
  <si>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</si>
  <si>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</si>
  <si>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</si>
  <si>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</si>
  <si>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</si>
  <si>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</si>
  <si>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</si>
  <si>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</si>
  <si>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</si>
  <si>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</si>
  <si>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</si>
  <si>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</si>
  <si>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</si>
  <si>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</si>
  <si>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</si>
  <si>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</si>
  <si>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</si>
  <si>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</si>
  <si>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</si>
  <si>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</si>
  <si>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</si>
  <si>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</si>
  <si>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</si>
  <si>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</si>
  <si>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</si>
  <si>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</si>
  <si>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</si>
  <si>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</si>
  <si>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</si>
  <si>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</si>
  <si>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</si>
  <si>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</si>
  <si>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</si>
  <si>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</si>
  <si>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</si>
  <si>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</si>
  <si>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</si>
  <si>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</si>
  <si>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</si>
  <si>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</si>
  <si>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</si>
  <si>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</si>
  <si>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</si>
  <si>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</si>
  <si>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</si>
  <si>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</si>
  <si>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</si>
  <si>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</si>
  <si>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</si>
  <si>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</si>
  <si>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</si>
  <si>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</si>
  <si>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</si>
  <si>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</si>
  <si>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</si>
  <si>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</si>
  <si>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</si>
  <si>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</si>
  <si>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</si>
  <si>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</si>
  <si>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</si>
  <si>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</si>
  <si>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</si>
  <si>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</si>
  <si>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</si>
  <si>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</si>
  <si>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</si>
  <si>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</si>
  <si>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</si>
  <si>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</si>
  <si>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</si>
  <si>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</si>
  <si>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</si>
  <si>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</si>
  <si>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</si>
  <si>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</si>
  <si>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</si>
  <si>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</si>
  <si>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</si>
  <si>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</si>
  <si>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</si>
  <si>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</si>
  <si>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</si>
  <si>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</si>
  <si>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</si>
  <si>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</si>
  <si>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</si>
  <si>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</si>
  <si>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</si>
  <si>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</si>
  <si>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</si>
  <si>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</si>
  <si>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</si>
  <si>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</si>
  <si>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</si>
  <si>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</si>
  <si>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</si>
  <si>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</si>
  <si>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</si>
  <si>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</si>
  <si>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</si>
  <si>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</si>
  <si>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</si>
  <si>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</si>
  <si>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</si>
  <si>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</si>
  <si>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</si>
  <si>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</si>
  <si>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</si>
  <si>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</si>
  <si>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</si>
  <si>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</si>
  <si>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</si>
  <si>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</si>
  <si>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</si>
  <si>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</si>
  <si>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</si>
  <si>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</si>
  <si>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</si>
  <si>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</si>
  <si>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</si>
  <si>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</si>
  <si>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</si>
  <si>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</si>
  <si>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</si>
  <si>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</si>
  <si>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</si>
  <si>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</si>
  <si>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</si>
  <si>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</si>
  <si>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</si>
  <si>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</si>
  <si>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</si>
  <si>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</si>
  <si>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</si>
  <si>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</si>
  <si>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</si>
  <si>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</si>
  <si>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</si>
  <si>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</si>
  <si>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</si>
  <si>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</si>
  <si>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</si>
  <si>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</si>
  <si>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</si>
  <si>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</si>
  <si>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</si>
  <si>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</si>
  <si>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</si>
  <si>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</si>
  <si>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</si>
  <si>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</si>
  <si>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</si>
  <si>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</si>
  <si>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</si>
  <si>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</si>
  <si>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</si>
  <si>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</si>
  <si>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</si>
  <si>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</si>
  <si>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</si>
  <si>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</si>
  <si>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</si>
  <si>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</si>
  <si>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</si>
  <si>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</si>
  <si>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</si>
  <si>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</si>
  <si>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</si>
  <si>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</si>
  <si>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</si>
  <si>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</si>
  <si>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</si>
  <si>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</si>
  <si>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</si>
  <si>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</si>
  <si>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</si>
  <si>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</si>
  <si>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</si>
  <si>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</si>
  <si>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</si>
  <si>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</si>
  <si>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</si>
  <si>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</si>
  <si>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</si>
  <si>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</si>
  <si>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</si>
  <si>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</si>
  <si>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</si>
  <si>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</si>
  <si>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</si>
  <si>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</si>
  <si>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</si>
  <si>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</si>
  <si>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</si>
  <si>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</si>
  <si>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</si>
  <si>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</si>
  <si>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</si>
  <si>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</si>
  <si>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</si>
  <si>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</si>
  <si>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</si>
  <si>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</si>
  <si>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</si>
  <si>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</si>
  <si>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</si>
  <si>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</si>
  <si>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</si>
  <si>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</si>
  <si>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</si>
  <si>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</si>
  <si>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</si>
  <si>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</si>
  <si>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</si>
  <si>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</si>
  <si>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</si>
  <si>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</si>
  <si>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</si>
  <si>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</si>
  <si>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</si>
  <si>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</si>
  <si>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</si>
  <si>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</si>
  <si>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</si>
  <si>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</si>
  <si>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</si>
  <si>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</si>
  <si>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</si>
  <si>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</si>
  <si>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</si>
  <si>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</si>
  <si>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</si>
  <si>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</si>
  <si>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</si>
  <si>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</si>
  <si>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</si>
  <si>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</si>
  <si>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</si>
  <si>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</si>
  <si>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</si>
  <si>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</si>
  <si>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</si>
  <si>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</si>
  <si>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</si>
  <si>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</si>
  <si>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</si>
  <si>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</si>
  <si>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</si>
  <si>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</si>
  <si>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</si>
  <si>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</si>
  <si>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</si>
  <si>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</si>
  <si>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</si>
  <si>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</si>
  <si>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</si>
  <si>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</si>
  <si>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</si>
  <si>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</si>
  <si>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</si>
  <si>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</si>
  <si>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</si>
  <si>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</si>
  <si>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</si>
  <si>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</si>
  <si>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</si>
  <si>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</si>
  <si>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</si>
  <si>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</si>
  <si>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</si>
  <si>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</si>
  <si>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</si>
  <si>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</si>
  <si>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</si>
  <si>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</si>
  <si>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</si>
  <si>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</si>
  <si>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</si>
  <si>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</si>
  <si>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</si>
  <si>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</si>
  <si>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</si>
  <si>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</si>
  <si>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</si>
  <si>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</si>
  <si>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</si>
  <si>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</si>
  <si>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</si>
  <si>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</si>
  <si>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</si>
  <si>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</si>
  <si>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</si>
  <si>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</si>
  <si>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</si>
  <si>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</si>
  <si>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</si>
  <si>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</si>
  <si>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</si>
  <si>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</si>
  <si>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</si>
  <si>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</si>
  <si>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</si>
  <si>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</si>
  <si>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</si>
  <si>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</si>
  <si>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</si>
  <si>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</si>
  <si>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</si>
  <si>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</si>
  <si>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</si>
  <si>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</si>
  <si>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</si>
  <si>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</si>
  <si>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</si>
  <si>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</si>
  <si>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</si>
  <si>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</si>
  <si>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</si>
  <si>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</si>
  <si>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</si>
  <si>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</si>
  <si>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</si>
  <si>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</si>
  <si>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</si>
  <si>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</si>
  <si>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</si>
  <si>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</si>
  <si>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</si>
  <si>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</si>
  <si>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</si>
  <si>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</si>
  <si>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</si>
  <si>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</si>
  <si>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</si>
  <si>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</si>
  <si>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</si>
  <si>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</si>
  <si>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</si>
  <si>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</si>
  <si>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</si>
  <si>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</si>
  <si>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</si>
  <si>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</si>
  <si>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</si>
  <si>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</si>
  <si>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</si>
  <si>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</si>
  <si>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</si>
  <si>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</si>
  <si>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</si>
  <si>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</si>
  <si>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</si>
  <si>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</si>
  <si>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</si>
  <si>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</si>
  <si>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</si>
  <si>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</si>
  <si>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</si>
  <si>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</si>
  <si>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</si>
  <si>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</si>
  <si>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</si>
  <si>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</si>
  <si>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</si>
  <si>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</si>
  <si>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</si>
  <si>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</si>
  <si>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</si>
  <si>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</si>
  <si>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</si>
  <si>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</si>
  <si>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</si>
  <si>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</si>
  <si>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</si>
  <si>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</si>
  <si>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</si>
  <si>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</si>
  <si>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</si>
  <si>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</si>
  <si>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</si>
  <si>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</si>
  <si>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</si>
  <si>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</si>
  <si>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</si>
  <si>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</si>
  <si>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</si>
  <si>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</si>
  <si>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</si>
  <si>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</si>
  <si>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</si>
  <si>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</si>
  <si>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</si>
  <si>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</si>
  <si>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</si>
  <si>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</si>
  <si>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</si>
  <si>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</si>
  <si>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</si>
  <si>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</si>
  <si>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</si>
  <si>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</si>
  <si>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</si>
  <si>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</si>
  <si>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</si>
  <si>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</si>
  <si>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</si>
  <si>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</si>
  <si>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</si>
  <si>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</si>
  <si>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</si>
  <si>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</si>
  <si>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</si>
  <si>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</si>
  <si>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</si>
  <si>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</si>
  <si>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</si>
  <si>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</si>
  <si>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</si>
  <si>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</si>
  <si>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</si>
  <si>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</si>
  <si>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</si>
  <si>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</si>
  <si>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</si>
  <si>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</si>
  <si>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</si>
  <si>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</si>
  <si>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</si>
  <si>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</si>
  <si>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</si>
  <si>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</si>
  <si>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</si>
  <si>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</si>
  <si>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</si>
  <si>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</si>
  <si>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</si>
  <si>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</si>
  <si>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</si>
  <si>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</si>
  <si>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</si>
  <si>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</si>
  <si>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</si>
  <si>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</si>
  <si>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</si>
  <si>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</si>
  <si>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</si>
  <si>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</si>
  <si>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</si>
  <si>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</si>
  <si>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</si>
  <si>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</si>
  <si>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</si>
  <si>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</si>
  <si>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</si>
  <si>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</si>
  <si>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</si>
  <si>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</si>
  <si>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</si>
  <si>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</si>
  <si>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</si>
  <si>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</si>
  <si>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</si>
  <si>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</si>
  <si>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</si>
  <si>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</si>
  <si>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</si>
  <si>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</si>
  <si>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</si>
  <si>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</si>
  <si>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</si>
  <si>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</si>
  <si>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</si>
  <si>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</si>
  <si>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</si>
  <si>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</si>
  <si>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</si>
  <si>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</si>
  <si>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</si>
  <si>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</si>
  <si>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</si>
  <si>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</si>
  <si>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</si>
  <si>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</si>
  <si>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</si>
  <si>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</si>
  <si>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</si>
  <si>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</si>
  <si>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</si>
  <si>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</si>
  <si>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</si>
  <si>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</si>
  <si>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</si>
  <si>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</si>
  <si>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</si>
  <si>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</si>
  <si>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</si>
  <si>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</si>
  <si>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</si>
  <si>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</si>
  <si>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</si>
  <si>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</si>
  <si>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</si>
  <si>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</si>
  <si>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</si>
  <si>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</si>
  <si>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</si>
  <si>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</si>
  <si>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</si>
  <si>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</si>
  <si>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</si>
  <si>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</si>
  <si>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</si>
  <si>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</si>
  <si>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</si>
  <si>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</si>
  <si>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</si>
  <si>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</si>
  <si>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</si>
  <si>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</si>
  <si>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</si>
  <si>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</si>
  <si>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</si>
  <si>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</si>
  <si>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</si>
  <si>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</si>
  <si>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</si>
  <si>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</si>
  <si>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</si>
  <si>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</si>
  <si>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</si>
  <si>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</si>
  <si>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</si>
  <si>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</si>
  <si>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</si>
  <si>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</si>
  <si>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</si>
  <si>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</si>
  <si>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</si>
  <si>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</si>
  <si>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</si>
  <si>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</si>
  <si>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</si>
  <si>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</si>
  <si>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</si>
  <si>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</si>
  <si>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</si>
  <si>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</si>
  <si>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</si>
  <si>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</si>
  <si>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</si>
  <si>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</si>
  <si>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</si>
  <si>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</si>
  <si>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</si>
  <si>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</si>
  <si>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</si>
  <si>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</si>
  <si>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</si>
  <si>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</si>
  <si>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</si>
  <si>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</si>
  <si>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</si>
  <si>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</si>
  <si>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</si>
  <si>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</si>
  <si>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</si>
  <si>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</si>
  <si>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</si>
  <si>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</si>
  <si>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</si>
  <si>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</si>
  <si>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</si>
  <si>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</si>
  <si>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</si>
  <si>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</si>
  <si>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</si>
  <si>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</si>
  <si>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</si>
  <si>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</si>
  <si>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</si>
  <si>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</si>
  <si>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</si>
  <si>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</si>
  <si>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</si>
  <si>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</si>
  <si>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</si>
  <si>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</si>
  <si>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</si>
  <si>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</si>
  <si>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</si>
  <si>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</si>
  <si>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</si>
  <si>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</si>
  <si>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</si>
  <si>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</si>
  <si>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</si>
  <si>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</si>
  <si>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</si>
  <si>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</si>
  <si>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</si>
  <si>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</si>
  <si>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</si>
  <si>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</si>
  <si>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</si>
  <si>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</si>
  <si>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</si>
  <si>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</si>
  <si>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</si>
  <si>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</si>
  <si>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</si>
  <si>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</si>
  <si>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</si>
  <si>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</si>
  <si>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</si>
  <si>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</si>
  <si>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</si>
  <si>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</si>
  <si>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</si>
  <si>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</si>
  <si>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</si>
  <si>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</si>
  <si>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</si>
  <si>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</si>
  <si>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</si>
  <si>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</si>
  <si>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</si>
  <si>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</si>
  <si>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</si>
  <si>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</si>
  <si>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</si>
  <si>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</si>
  <si>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</si>
  <si>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</si>
  <si>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</si>
  <si>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</si>
  <si>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</si>
  <si>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</si>
  <si>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</si>
  <si>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</si>
  <si>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</si>
  <si>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</si>
  <si>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</si>
  <si>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</si>
  <si>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</si>
  <si>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</si>
  <si>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</si>
  <si>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</si>
  <si>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</si>
  <si>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</si>
  <si>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</si>
  <si>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</si>
  <si>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</si>
  <si>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</si>
  <si>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</si>
  <si>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</si>
  <si>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</si>
  <si>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</si>
  <si>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</si>
  <si>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</si>
  <si>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</si>
  <si>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</si>
  <si>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</si>
  <si>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</si>
  <si>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</si>
  <si>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</si>
  <si>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</si>
  <si>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</si>
  <si>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</si>
  <si>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</si>
  <si>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</si>
  <si>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</si>
  <si>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</si>
  <si>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</si>
  <si>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</si>
  <si>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</si>
  <si>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</si>
  <si>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</si>
  <si>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</si>
  <si>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</si>
  <si>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</si>
  <si>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</si>
  <si>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</si>
  <si>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</si>
  <si>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</si>
  <si>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</si>
  <si>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</si>
  <si>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</si>
  <si>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</si>
  <si>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</si>
  <si>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</si>
  <si>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</si>
  <si>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</si>
  <si>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</si>
  <si>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</si>
  <si>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</si>
  <si>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</si>
  <si>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</si>
  <si>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</si>
  <si>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</si>
  <si>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</si>
  <si>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</si>
  <si>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</si>
  <si>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</si>
  <si>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</si>
  <si>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</si>
  <si>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</si>
  <si>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</si>
  <si>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</si>
  <si>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</si>
  <si>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</si>
  <si>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</si>
  <si>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</si>
  <si>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</si>
  <si>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</si>
  <si>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</si>
  <si>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</si>
  <si>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</si>
  <si>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</si>
  <si>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</si>
  <si>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</si>
  <si>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</si>
  <si>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</si>
  <si>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</si>
  <si>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</si>
  <si>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</si>
  <si>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</si>
  <si>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</si>
  <si>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</si>
  <si>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</si>
  <si>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</si>
  <si>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</si>
  <si>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</si>
  <si>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</si>
  <si>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</si>
  <si>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</si>
  <si>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</si>
  <si>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</si>
  <si>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</si>
  <si>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</si>
  <si>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</si>
  <si>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</si>
  <si>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</si>
  <si>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</si>
  <si>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</si>
  <si>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</si>
  <si>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</si>
  <si>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</si>
  <si>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</si>
  <si>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</si>
  <si>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</si>
  <si>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</si>
  <si>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</si>
  <si>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</si>
  <si>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</si>
  <si>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</si>
  <si>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</si>
  <si>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</si>
  <si>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</si>
  <si>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</si>
  <si>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</si>
  <si>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</si>
  <si>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</si>
  <si>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</si>
  <si>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</si>
  <si>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</si>
  <si>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</si>
  <si>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</si>
  <si>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</si>
  <si>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</si>
  <si>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</si>
  <si>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</si>
  <si>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</si>
  <si>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</si>
  <si>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</si>
  <si>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</si>
  <si>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</si>
  <si>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</si>
  <si>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</si>
  <si>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</si>
  <si>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</si>
  <si>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</si>
  <si>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</si>
  <si>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</si>
  <si>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</si>
  <si>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</si>
  <si>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</si>
  <si>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</si>
  <si>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</si>
  <si>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</si>
  <si>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</si>
  <si>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</si>
  <si>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</si>
  <si>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</si>
  <si>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</si>
  <si>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</si>
  <si>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</si>
  <si>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</si>
  <si>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</si>
  <si>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</si>
  <si>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</si>
  <si>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</si>
  <si>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</si>
  <si>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</si>
  <si>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</si>
  <si>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</si>
  <si>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</si>
  <si>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</si>
  <si>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</si>
  <si>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</si>
  <si>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</si>
  <si>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</si>
  <si>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</si>
  <si>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</si>
  <si>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</si>
  <si>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</si>
  <si>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</si>
  <si>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</si>
  <si>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</si>
  <si>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</si>
  <si>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</si>
  <si>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</si>
  <si>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</si>
  <si>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</si>
  <si>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</si>
  <si>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</si>
  <si>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</si>
  <si>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</si>
  <si>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</si>
  <si>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</si>
  <si>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</si>
  <si>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</si>
  <si>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</si>
  <si>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</si>
  <si>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</si>
  <si>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</si>
  <si>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</si>
  <si>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</si>
  <si>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</si>
  <si>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</si>
  <si>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</si>
  <si>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</si>
  <si>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</si>
  <si>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</si>
  <si>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</si>
  <si>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</si>
  <si>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</si>
  <si>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</si>
  <si>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</si>
  <si>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</si>
  <si>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</si>
  <si>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</si>
  <si>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</si>
  <si>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</si>
  <si>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</si>
  <si>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</si>
  <si>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</si>
  <si>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</si>
  <si>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</si>
  <si>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</si>
  <si>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</si>
  <si>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</si>
  <si>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</si>
  <si>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</si>
  <si>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</si>
  <si>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</si>
  <si>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</si>
  <si>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</si>
  <si>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</si>
  <si>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</si>
  <si>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</si>
  <si>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</si>
  <si>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</si>
  <si>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</si>
  <si>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</si>
  <si>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</si>
  <si>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</si>
  <si>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</si>
  <si>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</si>
  <si>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</si>
  <si>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</si>
  <si>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</si>
  <si>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</si>
  <si>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</si>
  <si>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</si>
  <si>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</si>
  <si>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</si>
  <si>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</si>
  <si>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</si>
  <si>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</si>
  <si>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</si>
  <si>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</si>
  <si>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</si>
  <si>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</si>
  <si>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</si>
  <si>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</si>
  <si>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</si>
  <si>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</si>
  <si>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</si>
  <si>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</si>
  <si>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</si>
  <si>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</si>
  <si>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</si>
  <si>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</si>
  <si>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</si>
  <si>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</si>
  <si>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</si>
  <si>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</si>
  <si>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</si>
  <si>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</si>
  <si>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</si>
  <si>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</si>
  <si>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</si>
  <si>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</si>
  <si>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</si>
  <si>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</si>
  <si>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</si>
  <si>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</si>
  <si>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</si>
  <si>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</si>
  <si>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</si>
  <si>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</si>
  <si>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</si>
  <si>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</si>
  <si>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</si>
  <si>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</si>
  <si>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</si>
  <si>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</si>
  <si>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</si>
  <si>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</si>
  <si>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</si>
  <si>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</si>
  <si>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</si>
  <si>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</si>
  <si>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</si>
  <si>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</si>
  <si>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</si>
  <si>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</si>
  <si>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</si>
  <si>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</si>
  <si>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</si>
  <si>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</si>
  <si>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</si>
  <si>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</si>
  <si>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</si>
  <si>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</si>
  <si>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</si>
  <si>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</si>
  <si>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</si>
  <si>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</si>
  <si>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</si>
  <si>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</si>
  <si>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</si>
  <si>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</si>
  <si>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</si>
  <si>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</si>
  <si>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</si>
  <si>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</si>
  <si>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</si>
  <si>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</si>
  <si>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</si>
  <si>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</si>
  <si>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</si>
  <si>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</si>
  <si>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</si>
  <si>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</si>
  <si>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</si>
  <si>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</si>
  <si>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</si>
  <si>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</si>
  <si>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</si>
  <si>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</si>
  <si>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</si>
  <si>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</si>
  <si>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</si>
  <si>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</si>
  <si>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</si>
  <si>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</si>
  <si>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</si>
  <si>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</si>
  <si>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</si>
  <si>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</si>
  <si>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</si>
  <si>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</si>
  <si>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</si>
  <si>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</si>
  <si>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</si>
  <si>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</si>
  <si>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</si>
  <si>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</si>
  <si>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</si>
  <si>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</si>
  <si>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</si>
  <si>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</si>
  <si>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</si>
  <si>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</si>
  <si>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</si>
  <si>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</si>
  <si>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</si>
  <si>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</si>
  <si>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</si>
  <si>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</si>
  <si>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</si>
  <si>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</si>
  <si>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</si>
  <si>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</si>
  <si>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</si>
  <si>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</si>
  <si>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</si>
  <si>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</si>
  <si>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</si>
  <si>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</si>
  <si>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</si>
  <si>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</si>
  <si>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</si>
  <si>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</si>
  <si>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</si>
  <si>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</si>
  <si>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</si>
  <si>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</si>
  <si>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</si>
  <si>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</si>
  <si>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</si>
  <si>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</si>
  <si>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</si>
  <si>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</si>
  <si>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</si>
  <si>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</si>
  <si>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</si>
  <si>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</si>
  <si>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</si>
  <si>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</si>
  <si>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</si>
  <si>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</si>
  <si>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</si>
  <si>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</si>
  <si>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</si>
  <si>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</si>
  <si>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</si>
  <si>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</si>
  <si>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</si>
  <si>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</si>
  <si>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</si>
  <si>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</si>
  <si>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</si>
  <si>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</si>
  <si>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</si>
  <si>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</si>
  <si>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</si>
  <si>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</si>
  <si>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</si>
  <si>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</si>
  <si>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</si>
  <si>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</si>
  <si>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</si>
  <si>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</si>
  <si>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</si>
  <si>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</si>
  <si>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</si>
  <si>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</si>
  <si>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</si>
  <si>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</si>
  <si>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</si>
  <si>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</si>
  <si>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</si>
  <si>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</si>
  <si>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</si>
  <si>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</si>
  <si>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</si>
  <si>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</si>
  <si>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</si>
  <si>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</si>
  <si>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</si>
  <si>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</si>
  <si>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</si>
  <si>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</si>
  <si>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</si>
  <si>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</si>
  <si>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</si>
  <si>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</si>
  <si>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</si>
  <si>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</si>
  <si>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</si>
  <si>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</si>
  <si>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</si>
  <si>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</si>
  <si>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</si>
  <si>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</si>
  <si>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</si>
  <si>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</si>
  <si>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</si>
  <si>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</si>
  <si>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</si>
  <si>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</si>
  <si>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</si>
  <si>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</si>
  <si>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</si>
  <si>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</si>
  <si>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</si>
  <si>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</si>
  <si>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</si>
  <si>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</si>
  <si>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</si>
  <si>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</si>
  <si>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</si>
  <si>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</si>
  <si>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</si>
  <si>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</si>
  <si>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</si>
  <si>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</si>
  <si>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</si>
  <si>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</si>
  <si>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</si>
  <si>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</si>
  <si>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</si>
  <si>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</si>
  <si>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</si>
  <si>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</si>
  <si>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</si>
  <si>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</si>
  <si>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</si>
  <si>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</si>
  <si>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</si>
  <si>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</si>
  <si>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</si>
  <si>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</si>
  <si>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</si>
  <si>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</si>
  <si>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</si>
  <si>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</si>
  <si>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</si>
  <si>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</si>
  <si>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</si>
  <si>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</si>
  <si>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</si>
  <si>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</si>
  <si>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</si>
  <si>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</si>
  <si>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</si>
  <si>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</si>
  <si>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</si>
  <si>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</si>
  <si>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</si>
  <si>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</si>
  <si>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</si>
  <si>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</si>
  <si>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</si>
  <si>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</si>
  <si>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</si>
  <si>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</si>
  <si>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</si>
  <si>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</si>
  <si>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</si>
  <si>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</si>
  <si>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</si>
  <si>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</si>
  <si>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</si>
  <si>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</si>
  <si>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</si>
  <si>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</si>
  <si>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</si>
  <si>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</si>
  <si>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</si>
  <si>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</si>
  <si>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</si>
  <si>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</si>
  <si>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</si>
  <si>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</si>
  <si>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</si>
  <si>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</si>
  <si>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</si>
  <si>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</si>
  <si>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</si>
  <si>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</si>
  <si>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</si>
  <si>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</si>
  <si>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</si>
  <si>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</si>
  <si>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</si>
  <si>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</si>
  <si>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</si>
  <si>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</si>
  <si>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</si>
  <si>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</si>
  <si>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</si>
  <si>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</si>
  <si>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</si>
  <si>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</si>
  <si>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</si>
  <si>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</si>
  <si>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</si>
  <si>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</si>
  <si>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</si>
  <si>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</si>
  <si>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</si>
  <si>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</si>
  <si>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</si>
  <si>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</si>
  <si>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</si>
  <si>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</si>
  <si>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</si>
  <si>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</si>
  <si>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</si>
  <si>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</si>
  <si>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</si>
  <si>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</si>
  <si>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</si>
  <si>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</si>
  <si>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</si>
  <si>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</si>
  <si>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</si>
  <si>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</si>
  <si>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</si>
  <si>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</si>
  <si>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</si>
  <si>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</si>
  <si>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</si>
  <si>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</si>
  <si>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</si>
  <si>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</si>
  <si>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</si>
  <si>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</si>
  <si>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</si>
  <si>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</si>
  <si>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</si>
  <si>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</si>
  <si>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</si>
  <si>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</si>
  <si>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</si>
  <si>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</si>
  <si>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</si>
  <si>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</si>
  <si>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</si>
  <si>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</si>
  <si>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</si>
  <si>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</si>
  <si>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</si>
  <si>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</si>
  <si>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</si>
  <si>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</si>
  <si>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</si>
  <si>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</si>
  <si>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</si>
  <si>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</si>
  <si>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</si>
  <si>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</si>
  <si>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</si>
  <si>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</si>
  <si>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</si>
  <si>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</si>
  <si>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</si>
  <si>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</si>
  <si>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</si>
  <si>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</si>
  <si>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</si>
  <si>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</si>
  <si>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</si>
  <si>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</si>
  <si>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</si>
  <si>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</si>
  <si>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</si>
  <si>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</si>
  <si>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</si>
  <si>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</si>
  <si>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</si>
  <si>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</si>
  <si>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</si>
  <si>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</si>
  <si>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</si>
  <si>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</si>
  <si>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</si>
  <si>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</si>
  <si>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</si>
  <si>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</si>
  <si>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</si>
  <si>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</si>
  <si>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</si>
  <si>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</si>
  <si>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</si>
  <si>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</si>
  <si>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</si>
  <si>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</si>
  <si>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</si>
  <si>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</si>
  <si>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</si>
  <si>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</si>
  <si>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</si>
  <si>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</si>
  <si>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</si>
  <si>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</si>
  <si>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</si>
  <si>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</si>
  <si>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</si>
  <si>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</si>
  <si>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</si>
  <si>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</si>
  <si>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</si>
  <si>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</si>
  <si>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</si>
  <si>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</si>
  <si>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</si>
  <si>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</si>
  <si>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</si>
  <si>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</si>
  <si>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</si>
  <si>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</si>
  <si>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</si>
  <si>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</si>
  <si>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</si>
  <si>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</si>
  <si>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</si>
  <si>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</si>
  <si>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</si>
  <si>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</si>
  <si>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</si>
  <si>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</si>
  <si>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</si>
  <si>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</si>
  <si>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</si>
  <si>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</si>
  <si>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</si>
  <si>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</si>
  <si>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</si>
  <si>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</si>
  <si>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</si>
  <si>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</si>
  <si>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</si>
  <si>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</si>
  <si>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</si>
  <si>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</si>
  <si>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</si>
  <si>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</si>
  <si>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</si>
  <si>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</si>
  <si>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</si>
  <si>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</si>
  <si>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</si>
  <si>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</si>
  <si>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</si>
  <si>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</si>
  <si>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</si>
  <si>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</si>
  <si>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</si>
  <si>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</si>
  <si>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</si>
  <si>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</si>
  <si>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</si>
  <si>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</si>
  <si>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</si>
  <si>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</si>
  <si>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</si>
  <si>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</si>
  <si>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</si>
  <si>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</si>
  <si>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</si>
  <si>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</si>
  <si>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</si>
  <si>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</si>
  <si>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</si>
  <si>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</si>
  <si>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</si>
  <si>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</si>
  <si>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</si>
  <si>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</si>
  <si>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</si>
  <si>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</si>
  <si>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</si>
  <si>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</si>
  <si>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</si>
  <si>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</si>
  <si>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</si>
  <si>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</si>
  <si>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</si>
  <si>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</si>
  <si>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</si>
  <si>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</si>
  <si>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</si>
  <si>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</si>
  <si>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</si>
  <si>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</si>
  <si>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</si>
  <si>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</si>
  <si>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</si>
  <si>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</si>
  <si>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</si>
  <si>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</si>
  <si>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</si>
  <si>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</si>
  <si>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</si>
  <si>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</si>
  <si>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</si>
  <si>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</si>
  <si>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</si>
  <si>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</si>
  <si>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</si>
  <si>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</si>
  <si>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</si>
  <si>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</si>
  <si>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</si>
  <si>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</si>
  <si>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</si>
  <si>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</si>
  <si>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</si>
  <si>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</si>
  <si>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</si>
  <si>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</si>
  <si>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</si>
  <si>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</si>
  <si>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</si>
  <si>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</si>
  <si>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</si>
  <si>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</si>
  <si>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</si>
  <si>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</si>
  <si>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</si>
  <si>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</si>
  <si>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</si>
  <si>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</si>
  <si>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</si>
  <si>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</si>
  <si>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</si>
  <si>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</si>
  <si>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</si>
  <si>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</si>
  <si>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</si>
  <si>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</si>
  <si>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</si>
  <si>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</si>
  <si>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</si>
  <si>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</si>
  <si>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</si>
  <si>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</si>
  <si>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</si>
  <si>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</si>
  <si>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</si>
  <si>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</si>
  <si>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</si>
  <si>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</si>
  <si>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</si>
  <si>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</si>
  <si>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</si>
  <si>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</si>
  <si>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</si>
  <si>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</si>
  <si>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</si>
  <si>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</si>
  <si>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</si>
  <si>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</si>
  <si>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</si>
  <si>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</si>
  <si>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</si>
  <si>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</si>
  <si>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</si>
  <si>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</si>
  <si>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</si>
  <si>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</si>
  <si>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</si>
  <si>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</si>
  <si>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</si>
  <si>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</si>
  <si>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</si>
  <si>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</si>
  <si>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</si>
  <si>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</si>
  <si>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</si>
  <si>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</si>
  <si>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</si>
  <si>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</si>
  <si>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</si>
  <si>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</si>
  <si>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</si>
  <si>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</si>
  <si>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</si>
  <si>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</si>
  <si>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</si>
  <si>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</si>
  <si>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</si>
  <si>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</si>
  <si>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</si>
  <si>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</si>
  <si>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</si>
  <si>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</si>
  <si>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</si>
  <si>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</si>
  <si>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</si>
  <si>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</si>
  <si>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</si>
  <si>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</si>
  <si>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</si>
  <si>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</si>
  <si>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</si>
  <si>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</si>
  <si>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</si>
  <si>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</si>
  <si>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</si>
  <si>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</si>
  <si>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</si>
  <si>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</si>
  <si>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</si>
  <si>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</si>
  <si>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</si>
  <si>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</si>
  <si>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</si>
  <si>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</si>
  <si>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</si>
  <si>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</si>
  <si>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</si>
  <si>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</si>
  <si>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</si>
  <si>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</si>
  <si>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</si>
  <si>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</si>
  <si>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</si>
  <si>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</si>
  <si>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</si>
  <si>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</si>
  <si>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</si>
  <si>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</si>
  <si>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</si>
  <si>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</si>
  <si>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</si>
  <si>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</si>
  <si>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</si>
  <si>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</si>
  <si>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</si>
  <si>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</si>
  <si>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</si>
  <si>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</si>
  <si>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</si>
  <si>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</si>
  <si>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</si>
  <si>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</si>
  <si>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</si>
  <si>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</si>
  <si>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</si>
  <si>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</si>
  <si>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</si>
  <si>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</si>
  <si>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</si>
  <si>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</si>
  <si>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</si>
  <si>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</si>
  <si>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</si>
  <si>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</si>
  <si>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</si>
  <si>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</si>
  <si>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</si>
  <si>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</si>
  <si>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</si>
  <si>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</si>
  <si>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</si>
  <si>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</si>
  <si>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</si>
  <si>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</si>
  <si>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</si>
  <si>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</si>
  <si>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</si>
  <si>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</si>
  <si>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</si>
  <si>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</si>
  <si>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</si>
  <si>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</si>
  <si>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</si>
  <si>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</si>
  <si>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</si>
  <si>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</si>
  <si>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</si>
  <si>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</si>
  <si>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</si>
  <si>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</si>
  <si>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</si>
  <si>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</si>
  <si>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</si>
  <si>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</si>
  <si>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</si>
  <si>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</si>
  <si>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</si>
  <si>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</si>
  <si>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</si>
  <si>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</si>
  <si>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</si>
  <si>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</si>
  <si>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</si>
  <si>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</si>
  <si>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</si>
  <si>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</si>
  <si>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</si>
  <si>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</si>
  <si>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</si>
  <si>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</si>
  <si>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</si>
  <si>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</si>
  <si>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</si>
  <si>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</si>
  <si>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</si>
  <si>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</si>
  <si>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</si>
  <si>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</si>
  <si>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</si>
  <si>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</si>
  <si>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</si>
  <si>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</si>
  <si>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</si>
  <si>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</si>
  <si>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</si>
  <si>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</si>
  <si>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</si>
  <si>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</si>
  <si>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</si>
  <si>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</si>
  <si>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</si>
  <si>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</si>
  <si>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</si>
  <si>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</si>
  <si>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</si>
  <si>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</si>
  <si>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</si>
  <si>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</si>
  <si>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</si>
  <si>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</si>
  <si>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</si>
  <si>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</si>
  <si>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</si>
  <si>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</si>
  <si>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</si>
  <si>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</si>
  <si>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</si>
  <si>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</si>
  <si>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</si>
  <si>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</si>
  <si>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</si>
  <si>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</si>
  <si>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</si>
  <si>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</si>
  <si>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</si>
  <si>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</si>
  <si>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</si>
  <si>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</si>
  <si>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</si>
  <si>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</si>
  <si>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</si>
  <si>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</si>
  <si>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</si>
  <si>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</si>
  <si>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</si>
  <si>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</si>
  <si>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</si>
  <si>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</si>
  <si>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</si>
  <si>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</si>
  <si>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</si>
  <si>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</si>
  <si>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</si>
  <si>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</si>
  <si>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</si>
  <si>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</si>
  <si>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</si>
  <si>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</si>
  <si>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</si>
  <si>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</si>
  <si>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</si>
  <si>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</si>
  <si>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</si>
  <si>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</si>
  <si>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</si>
  <si>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</si>
  <si>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</si>
  <si>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</si>
  <si>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</si>
  <si>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</si>
  <si>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</si>
  <si>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</si>
  <si>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</si>
  <si>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</si>
  <si>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</si>
  <si>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</si>
  <si>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</si>
  <si>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</si>
  <si>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</si>
  <si>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</si>
  <si>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</si>
  <si>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</si>
  <si>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</si>
  <si>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</si>
  <si>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</si>
  <si>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</si>
  <si>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</si>
  <si>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</si>
  <si>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</si>
  <si>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</si>
  <si>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</si>
  <si>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</si>
  <si>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</si>
  <si>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</si>
  <si>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</si>
  <si>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</si>
  <si>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</si>
  <si>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</si>
  <si>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</si>
  <si>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</si>
  <si>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</si>
  <si>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</si>
  <si>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</si>
  <si>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</si>
  <si>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</si>
  <si>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</si>
  <si>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</si>
  <si>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</si>
  <si>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</si>
  <si>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</si>
  <si>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</si>
  <si>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</si>
  <si>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</si>
  <si>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</si>
  <si>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</si>
  <si>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</si>
  <si>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</si>
  <si>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</si>
  <si>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</si>
  <si>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</si>
  <si>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</si>
  <si>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</si>
  <si>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</si>
  <si>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</si>
  <si>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</si>
  <si>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</si>
  <si>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</si>
  <si>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</si>
  <si>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</si>
  <si>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</si>
  <si>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</si>
  <si>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</si>
  <si>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</si>
  <si>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</si>
  <si>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</si>
  <si>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</si>
  <si>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</si>
  <si>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</si>
  <si>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</si>
  <si>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</si>
  <si>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</si>
  <si>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</si>
  <si>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</si>
  <si>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</si>
  <si>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</si>
  <si>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</si>
  <si>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</si>
  <si>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</si>
  <si>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</si>
  <si>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</si>
  <si>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</si>
  <si>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</si>
  <si>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</si>
  <si>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</si>
  <si>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</si>
  <si>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</si>
  <si>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</si>
  <si>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</si>
  <si>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</si>
  <si>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</si>
  <si>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</si>
  <si>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</si>
  <si>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</si>
  <si>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</si>
  <si>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</si>
  <si>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</si>
  <si>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</si>
  <si>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</si>
  <si>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</si>
  <si>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</si>
  <si>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</si>
  <si>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</si>
  <si>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</si>
  <si>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</si>
  <si>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</si>
  <si>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</si>
  <si>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</si>
  <si>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</si>
  <si>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</si>
  <si>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</si>
  <si>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</si>
  <si>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</si>
  <si>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</si>
  <si>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</si>
  <si>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</si>
  <si>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</si>
  <si>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</si>
  <si>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</si>
  <si>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</si>
  <si>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</si>
  <si>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</si>
  <si>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</si>
  <si>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</si>
  <si>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</si>
  <si>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</si>
  <si>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</si>
  <si>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</si>
  <si>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</si>
  <si>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</si>
  <si>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</si>
  <si>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</si>
  <si>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</si>
  <si>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</si>
  <si>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</si>
  <si>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</si>
  <si>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</si>
  <si>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</si>
  <si>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</si>
  <si>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</si>
  <si>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</si>
  <si>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</si>
  <si>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</si>
  <si>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</si>
  <si>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</si>
  <si>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</si>
  <si>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</si>
  <si>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</si>
  <si>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</si>
  <si>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</si>
  <si>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</si>
  <si>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</si>
  <si>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</si>
  <si>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</si>
  <si>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</si>
  <si>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</si>
  <si>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</si>
  <si>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</si>
  <si>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</si>
  <si>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</si>
  <si>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</si>
  <si>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</si>
  <si>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</si>
  <si>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</si>
  <si>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</si>
  <si>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</si>
  <si>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</si>
  <si>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</si>
  <si>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</si>
  <si>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</si>
  <si>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</si>
  <si>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</si>
  <si>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</si>
  <si>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</si>
  <si>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</si>
  <si>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</si>
  <si>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</si>
  <si>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</si>
  <si>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</si>
  <si>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</si>
  <si>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</si>
  <si>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</si>
  <si>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</si>
  <si>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</si>
  <si>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</si>
  <si>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</si>
  <si>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</si>
  <si>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</si>
  <si>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</si>
  <si>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</si>
  <si>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</si>
  <si>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</si>
  <si>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</si>
  <si>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</si>
  <si>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</si>
  <si>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</si>
  <si>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</si>
  <si>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</si>
  <si>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</si>
  <si>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</si>
  <si>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</si>
  <si>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</si>
  <si>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</si>
  <si>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</si>
  <si>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</si>
  <si>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</si>
  <si>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</si>
  <si>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</si>
  <si>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</si>
  <si>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</si>
  <si>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</si>
  <si>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</si>
  <si>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</si>
  <si>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</si>
  <si>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</si>
  <si>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</si>
  <si>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</si>
  <si>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</si>
  <si>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</si>
  <si>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</si>
  <si>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</si>
  <si>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</si>
  <si>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</si>
  <si>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</si>
  <si>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</si>
  <si>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</si>
  <si>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</si>
  <si>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</si>
  <si>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</si>
  <si>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</si>
  <si>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</si>
  <si>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</si>
  <si>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</si>
  <si>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</si>
  <si>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</si>
  <si>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</si>
  <si>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</si>
  <si>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</si>
  <si>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</si>
  <si>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</si>
  <si>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</si>
  <si>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</si>
  <si>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</si>
  <si>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</si>
  <si>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</si>
  <si>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</si>
  <si>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</si>
  <si>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</si>
  <si>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</si>
  <si>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</si>
  <si>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</si>
  <si>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</si>
  <si>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</si>
  <si>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</si>
  <si>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</si>
  <si>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</si>
  <si>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</si>
  <si>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</si>
  <si>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</si>
  <si>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</si>
  <si>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</si>
  <si>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</si>
  <si>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</si>
  <si>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</si>
  <si>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</si>
  <si>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</si>
  <si>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</si>
  <si>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</si>
  <si>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</si>
  <si>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</si>
  <si>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</si>
  <si>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</si>
  <si>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</si>
  <si>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</si>
  <si>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</si>
  <si>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</si>
  <si>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</si>
  <si>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</si>
  <si>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</si>
  <si>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</si>
  <si>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</si>
  <si>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</si>
  <si>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</si>
  <si>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</si>
  <si>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</si>
  <si>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</si>
  <si>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</si>
  <si>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</si>
  <si>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</si>
  <si>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</si>
  <si>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</si>
  <si>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</si>
  <si>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</si>
  <si>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</si>
  <si>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</si>
  <si>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</si>
  <si>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</si>
  <si>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</si>
  <si>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</si>
  <si>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</si>
  <si>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</si>
  <si>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</si>
  <si>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</si>
  <si>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</si>
  <si>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</si>
  <si>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</si>
  <si>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</si>
  <si>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</si>
  <si>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</si>
  <si>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</si>
  <si>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</si>
  <si>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</si>
  <si>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</si>
  <si>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</si>
  <si>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</si>
  <si>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</si>
  <si>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</si>
  <si>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</si>
  <si>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</si>
  <si>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</si>
  <si>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</si>
  <si>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</si>
  <si>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</si>
  <si>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</si>
  <si>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</si>
  <si>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</si>
  <si>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</si>
  <si>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</si>
  <si>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</si>
  <si>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</si>
  <si>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</si>
  <si>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</si>
  <si>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</si>
  <si>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</si>
  <si>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</si>
  <si>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</si>
  <si>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</si>
  <si>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</si>
  <si>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</si>
  <si>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</si>
  <si>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</si>
  <si>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</si>
  <si>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</si>
  <si>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</si>
  <si>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</si>
  <si>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</si>
  <si>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</si>
  <si>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</si>
  <si>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</si>
  <si>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</si>
  <si>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</si>
  <si>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</si>
  <si>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</si>
  <si>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</si>
  <si>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</si>
  <si>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</si>
  <si>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</si>
  <si>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</si>
  <si>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</si>
  <si>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</si>
  <si>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</si>
  <si>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</si>
  <si>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</si>
  <si>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</si>
  <si>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</si>
  <si>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</si>
  <si>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</si>
  <si>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</si>
  <si>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</si>
  <si>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</si>
  <si>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</si>
  <si>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</si>
  <si>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</si>
  <si>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</si>
  <si>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</si>
  <si>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</si>
  <si>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</si>
  <si>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</si>
  <si>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</si>
  <si>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</si>
  <si>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</si>
  <si>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</si>
  <si>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</si>
  <si>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</si>
  <si>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</si>
  <si>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</si>
  <si>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</si>
  <si>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</si>
  <si>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</si>
  <si>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</si>
  <si>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</si>
  <si>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</si>
  <si>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</si>
  <si>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</si>
  <si>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</si>
  <si>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</si>
  <si>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</si>
  <si>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</si>
  <si>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</si>
  <si>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</si>
  <si>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</si>
  <si>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</si>
  <si>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</si>
  <si>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</si>
  <si>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</si>
  <si>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</si>
  <si>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</si>
  <si>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</si>
  <si>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</si>
  <si>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</si>
  <si>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</si>
  <si>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</si>
  <si>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</si>
  <si>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</si>
  <si>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</si>
  <si>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</si>
  <si>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</si>
  <si>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</si>
  <si>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</si>
  <si>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</si>
  <si>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</si>
  <si>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</si>
  <si>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</si>
  <si>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</si>
  <si>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</si>
  <si>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</si>
  <si>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</si>
  <si>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</si>
  <si>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</si>
  <si>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</si>
  <si>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</si>
  <si>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</si>
  <si>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</si>
  <si>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</si>
  <si>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</si>
  <si>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</si>
  <si>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</si>
  <si>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</si>
  <si>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</si>
  <si>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</si>
  <si>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</si>
  <si>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</si>
  <si>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</si>
  <si>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</si>
  <si>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</si>
  <si>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</si>
  <si>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</si>
  <si>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</si>
  <si>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</si>
  <si>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</si>
  <si>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</si>
  <si>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</si>
  <si>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</si>
  <si>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</si>
  <si>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</si>
  <si>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</si>
  <si>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</si>
  <si>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</si>
  <si>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</si>
  <si>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</si>
  <si>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</si>
  <si>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</si>
  <si>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</si>
  <si>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</si>
  <si>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</si>
  <si>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</si>
  <si>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</si>
  <si>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</si>
  <si>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</si>
  <si>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</si>
  <si>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</si>
  <si>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</si>
  <si>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</si>
  <si>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</si>
  <si>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</si>
  <si>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</si>
  <si>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</si>
  <si>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</si>
  <si>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</si>
  <si>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</si>
  <si>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</si>
  <si>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</si>
  <si>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</si>
  <si>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</si>
  <si>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</si>
  <si>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</si>
  <si>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</si>
  <si>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</si>
  <si>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</si>
  <si>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</si>
  <si>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</si>
  <si>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</si>
  <si>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</si>
  <si>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</si>
  <si>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</si>
  <si>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</si>
  <si>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</si>
  <si>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</si>
  <si>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</si>
  <si>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</si>
  <si>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</si>
  <si>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</si>
  <si>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</si>
  <si>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</si>
  <si>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</si>
  <si>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</si>
  <si>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</si>
  <si>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</si>
  <si>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</si>
  <si>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</si>
  <si>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</si>
  <si>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</si>
  <si>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</si>
  <si>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</si>
  <si>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</si>
  <si>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</si>
  <si>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</si>
  <si>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</si>
  <si>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</si>
  <si>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</si>
  <si>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</si>
  <si>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</si>
  <si>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</si>
  <si>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</si>
  <si>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</si>
  <si>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</si>
  <si>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</si>
  <si>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</si>
  <si>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</si>
  <si>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</si>
  <si>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</si>
  <si>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</si>
  <si>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</si>
  <si>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</si>
  <si>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</si>
  <si>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</si>
  <si>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</si>
  <si>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</si>
  <si>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</si>
  <si>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</si>
  <si>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</si>
  <si>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</si>
  <si>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</si>
  <si>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</si>
  <si>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</si>
  <si>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</si>
  <si>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</si>
  <si>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</si>
  <si>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</si>
  <si>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</si>
  <si>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</si>
  <si>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</si>
  <si>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</si>
  <si>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</si>
  <si>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</si>
  <si>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</si>
  <si>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</si>
  <si>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</si>
  <si>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</si>
  <si>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</si>
  <si>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</si>
  <si>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</si>
  <si>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</si>
  <si>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</si>
  <si>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</si>
  <si>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</si>
  <si>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</si>
  <si>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</si>
  <si>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</si>
  <si>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</si>
  <si>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</si>
  <si>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</si>
  <si>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</si>
  <si>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</si>
  <si>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</si>
  <si>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</si>
  <si>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</si>
  <si>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</si>
  <si>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</si>
  <si>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</si>
  <si>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</si>
  <si>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</si>
  <si>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</si>
  <si>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</si>
  <si>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</si>
  <si>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</si>
  <si>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</si>
  <si>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</si>
  <si>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</si>
  <si>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</si>
  <si>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</si>
  <si>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</si>
  <si>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</si>
  <si>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</si>
  <si>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</si>
  <si>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</si>
  <si>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</si>
  <si>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</si>
  <si>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</si>
  <si>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</si>
  <si>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</si>
  <si>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</si>
  <si>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</si>
  <si>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</si>
  <si>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</si>
  <si>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</si>
  <si>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</si>
  <si>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</si>
  <si>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</si>
  <si>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</si>
  <si>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</si>
  <si>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</si>
  <si>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</si>
  <si>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</si>
  <si>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</si>
  <si>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</si>
  <si>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</si>
  <si>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</si>
  <si>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</si>
  <si>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</si>
  <si>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</si>
  <si>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</si>
  <si>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</si>
  <si>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</si>
  <si>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</si>
  <si>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</si>
  <si>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</si>
  <si>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</si>
  <si>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</si>
  <si>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</si>
  <si>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</si>
  <si>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</si>
  <si>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</si>
  <si>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</si>
  <si>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</si>
  <si>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</si>
  <si>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</si>
  <si>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</si>
  <si>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</si>
  <si>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</si>
  <si>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</si>
  <si>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</si>
  <si>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</si>
  <si>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</si>
  <si>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</si>
  <si>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</si>
  <si>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</si>
  <si>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</si>
  <si>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</si>
  <si>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</si>
  <si>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</si>
  <si>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</si>
  <si>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</si>
  <si>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</si>
  <si>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</si>
  <si>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</si>
  <si>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</si>
  <si>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</si>
  <si>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</si>
  <si>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</si>
  <si>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</si>
  <si>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</si>
  <si>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</si>
  <si>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</si>
  <si>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</si>
  <si>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</si>
  <si>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</si>
  <si>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</si>
  <si>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</si>
  <si>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</si>
  <si>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</si>
  <si>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</si>
  <si>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</si>
  <si>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</si>
  <si>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</si>
  <si>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</si>
  <si>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</si>
  <si>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</si>
  <si>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</si>
  <si>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</si>
  <si>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</si>
  <si>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</si>
  <si>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</si>
  <si>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</si>
  <si>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</si>
  <si>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</si>
  <si>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</si>
  <si>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</si>
  <si>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</si>
  <si>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</si>
  <si>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</si>
  <si>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</si>
  <si>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</si>
  <si>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</si>
  <si>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</si>
  <si>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</si>
  <si>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</si>
  <si>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</si>
  <si>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</si>
  <si>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</si>
  <si>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</si>
  <si>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</si>
  <si>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</si>
  <si>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</si>
  <si>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</si>
  <si>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</si>
  <si>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</si>
  <si>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</si>
  <si>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</si>
  <si>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</si>
  <si>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</si>
  <si>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</si>
  <si>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</si>
  <si>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</si>
  <si>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</si>
  <si>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</si>
  <si>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</si>
  <si>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</si>
  <si>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</si>
  <si>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</si>
  <si>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</si>
  <si>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</si>
  <si>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</si>
  <si>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</si>
  <si>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</si>
  <si>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</si>
  <si>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</si>
  <si>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</si>
  <si>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</si>
  <si>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</si>
  <si>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</si>
  <si>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</si>
  <si>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</si>
  <si>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</si>
  <si>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</si>
  <si>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</si>
  <si>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</si>
  <si>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</si>
  <si>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</si>
  <si>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</si>
  <si>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</si>
  <si>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</si>
  <si>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</si>
  <si>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</si>
  <si>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</si>
  <si>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</si>
  <si>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</si>
  <si>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</si>
  <si>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</si>
  <si>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</si>
  <si>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</si>
  <si>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</si>
  <si>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</si>
  <si>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</si>
  <si>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</si>
  <si>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</si>
  <si>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</si>
  <si>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</si>
  <si>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</si>
  <si>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</si>
  <si>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</si>
  <si>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</si>
  <si>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</si>
  <si>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</si>
  <si>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</si>
  <si>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</si>
  <si>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</si>
  <si>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</si>
  <si>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</si>
  <si>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</si>
  <si>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</si>
  <si>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</si>
  <si>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</si>
  <si>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</si>
  <si>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</si>
  <si>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</si>
  <si>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</si>
  <si>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</si>
  <si>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</si>
  <si>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</si>
  <si>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</si>
  <si>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</si>
  <si>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</si>
  <si>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</si>
  <si>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</si>
  <si>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</si>
  <si>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</si>
  <si>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</si>
  <si>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</si>
  <si>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</si>
  <si>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</si>
  <si>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</si>
  <si>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</si>
  <si>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</si>
  <si>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</si>
  <si>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</si>
  <si>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</si>
  <si>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</si>
  <si>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</si>
  <si>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</si>
  <si>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</si>
  <si>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</si>
  <si>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</si>
  <si>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</si>
  <si>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</si>
  <si>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</si>
  <si>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</si>
  <si>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</si>
  <si>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</si>
  <si>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</si>
  <si>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</si>
  <si>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</si>
  <si>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</si>
  <si>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</si>
  <si>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</si>
  <si>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</si>
  <si>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</si>
  <si>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</si>
  <si>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</si>
  <si>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</si>
  <si>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</si>
  <si>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</si>
  <si>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</si>
  <si>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</si>
  <si>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</si>
  <si>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</si>
  <si>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</si>
  <si>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</si>
  <si>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</si>
  <si>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</si>
  <si>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</si>
  <si>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</si>
  <si>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</si>
  <si>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</si>
  <si>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</si>
  <si>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</si>
  <si>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</si>
  <si>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</si>
  <si>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</si>
  <si>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</si>
  <si>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</si>
  <si>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</si>
  <si>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</si>
  <si>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</si>
  <si>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</si>
  <si>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</si>
  <si>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</si>
  <si>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</si>
  <si>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</si>
  <si>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</si>
  <si>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</si>
  <si>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</si>
  <si>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</si>
  <si>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</si>
  <si>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</si>
  <si>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</si>
  <si>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</si>
  <si>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</si>
  <si>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</si>
  <si>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</si>
  <si>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</si>
  <si>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</si>
  <si>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</si>
  <si>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</si>
  <si>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</si>
  <si>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</si>
  <si>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</si>
  <si>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</si>
  <si>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</si>
  <si>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</si>
  <si>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</si>
  <si>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</si>
  <si>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</si>
  <si>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</si>
  <si>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</si>
  <si>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</si>
  <si>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</si>
  <si>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</si>
  <si>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</si>
  <si>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</si>
  <si>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</si>
  <si>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</si>
  <si>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</si>
  <si>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</si>
  <si>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</si>
  <si>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</si>
  <si>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</si>
  <si>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</si>
  <si>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</si>
  <si>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</si>
  <si>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</si>
  <si>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</si>
  <si>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</si>
  <si>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</si>
  <si>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</si>
  <si>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</si>
  <si>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</si>
  <si>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</si>
  <si>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</si>
  <si>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</si>
  <si>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</si>
  <si>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</si>
  <si>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</si>
  <si>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</si>
  <si>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</si>
  <si>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</si>
  <si>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</si>
  <si>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</si>
  <si>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</si>
  <si>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</si>
  <si>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</si>
  <si>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</si>
  <si>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</si>
  <si>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</si>
  <si>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</si>
  <si>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</si>
  <si>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</si>
  <si>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</si>
  <si>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</si>
  <si>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</si>
  <si>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</si>
  <si>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</si>
  <si>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</si>
  <si>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</si>
  <si>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</si>
  <si>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</si>
  <si>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</si>
  <si>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</si>
  <si>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</si>
  <si>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</si>
  <si>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</si>
  <si>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</si>
  <si>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</si>
  <si>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</si>
  <si>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</si>
  <si>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</si>
  <si>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</si>
  <si>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</si>
  <si>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</si>
  <si>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</si>
  <si>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</si>
  <si>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</si>
  <si>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</si>
  <si>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</si>
  <si>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</si>
  <si>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</si>
  <si>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</si>
  <si>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</si>
  <si>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</si>
  <si>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</si>
  <si>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</si>
  <si>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</si>
  <si>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</si>
  <si>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</si>
  <si>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</si>
  <si>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</si>
  <si>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</si>
  <si>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</si>
  <si>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</si>
  <si>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</si>
  <si>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</si>
  <si>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</si>
  <si>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</si>
  <si>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</si>
  <si>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</si>
  <si>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</si>
  <si>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</si>
  <si>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</si>
  <si>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</si>
  <si>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</si>
  <si>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</si>
  <si>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</si>
  <si>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</si>
  <si>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</si>
  <si>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</si>
  <si>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</si>
  <si>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</si>
  <si>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</si>
  <si>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</si>
  <si>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</si>
  <si>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</si>
  <si>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</si>
  <si>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</si>
  <si>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</si>
  <si>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</si>
  <si>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</si>
  <si>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</si>
  <si>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</si>
  <si>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</si>
  <si>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</si>
  <si>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</si>
  <si>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</si>
  <si>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</si>
  <si>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</si>
  <si>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</si>
  <si>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</si>
  <si>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</si>
  <si>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</si>
  <si>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</si>
  <si>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</si>
  <si>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</si>
  <si>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</si>
  <si>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</si>
  <si>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</si>
  <si>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</si>
  <si>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</si>
  <si>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</si>
  <si>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</si>
  <si>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</si>
  <si>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</si>
  <si>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</si>
  <si>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</si>
  <si>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</si>
  <si>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</si>
  <si>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</si>
  <si>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</si>
  <si>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</si>
  <si>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</si>
  <si>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</si>
  <si>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</si>
  <si>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</si>
  <si>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</si>
  <si>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</si>
  <si>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</si>
  <si>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</si>
  <si>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</si>
  <si>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</si>
  <si>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</si>
  <si>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</si>
  <si>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</si>
  <si>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</si>
  <si>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</si>
  <si>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</si>
  <si>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</si>
  <si>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</si>
  <si>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</si>
  <si>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</si>
  <si>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</si>
  <si>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</si>
  <si>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</si>
  <si>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</si>
  <si>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</si>
  <si>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</si>
  <si>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</si>
  <si>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</si>
  <si>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</si>
  <si>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</si>
  <si>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</si>
  <si>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</si>
  <si>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</si>
  <si>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</si>
  <si>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</si>
  <si>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</si>
  <si>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</si>
  <si>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</si>
  <si>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</si>
  <si>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</si>
  <si>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</si>
  <si>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</si>
  <si>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</si>
  <si>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</si>
  <si>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</si>
  <si>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</si>
  <si>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</si>
  <si>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</si>
  <si>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</si>
  <si>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</si>
  <si>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</si>
  <si>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</si>
  <si>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</si>
  <si>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</si>
  <si>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</si>
  <si>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</si>
  <si>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</si>
  <si>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</si>
  <si>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</si>
  <si>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</si>
  <si>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</si>
  <si>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</si>
  <si>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</si>
  <si>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</si>
  <si>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</si>
  <si>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</si>
  <si>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</si>
  <si>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</si>
  <si>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</si>
  <si>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</si>
  <si>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</si>
  <si>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</si>
  <si>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</si>
  <si>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</si>
  <si>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</si>
  <si>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</si>
  <si>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</si>
  <si>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</si>
  <si>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</si>
  <si>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</si>
  <si>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</si>
  <si>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</si>
  <si>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</si>
  <si>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</si>
  <si>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</si>
  <si>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</si>
  <si>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</si>
  <si>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</si>
  <si>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</si>
  <si>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</si>
  <si>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</si>
  <si>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</si>
  <si>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</si>
  <si>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</si>
  <si>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</si>
  <si>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</si>
  <si>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</si>
  <si>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</si>
  <si>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</si>
  <si>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</si>
  <si>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</si>
  <si>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</si>
  <si>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</si>
  <si>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</si>
  <si>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</si>
  <si>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</si>
  <si>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</si>
  <si>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</si>
  <si>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</si>
  <si>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</si>
  <si>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</si>
  <si>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</si>
  <si>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</si>
  <si>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</si>
  <si>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</si>
  <si>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</si>
  <si>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</si>
  <si>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</si>
  <si>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</si>
  <si>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</si>
  <si>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</si>
  <si>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</si>
  <si>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</si>
  <si>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</si>
  <si>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</si>
  <si>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</si>
  <si>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</si>
  <si>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</si>
  <si>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</si>
  <si>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</si>
  <si>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</si>
  <si>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</si>
  <si>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</si>
  <si>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</si>
  <si>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</si>
  <si>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</si>
  <si>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</si>
  <si>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</si>
  <si>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</si>
  <si>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</si>
  <si>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</si>
  <si>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</si>
  <si>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</si>
  <si>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</si>
  <si>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</si>
  <si>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</si>
  <si>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</si>
  <si>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</si>
  <si>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</si>
  <si>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</si>
  <si>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</si>
  <si>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</si>
  <si>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</si>
  <si>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</si>
  <si>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</si>
  <si>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</si>
  <si>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</si>
  <si>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</si>
  <si>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</si>
  <si>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</si>
  <si>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</si>
  <si>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</si>
  <si>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</si>
  <si>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</si>
  <si>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</si>
  <si>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</si>
  <si>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</si>
  <si>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</si>
  <si>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</si>
  <si>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</si>
  <si>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</si>
  <si>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</si>
  <si>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</si>
  <si>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</si>
  <si>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</si>
  <si>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</si>
  <si>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</si>
  <si>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</si>
  <si>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</si>
  <si>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</si>
  <si>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</si>
  <si>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</si>
  <si>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</si>
  <si>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</si>
  <si>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</si>
  <si>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</si>
  <si>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</si>
  <si>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</si>
  <si>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</si>
  <si>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</si>
  <si>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</si>
  <si>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</si>
  <si>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</si>
  <si>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</si>
  <si>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</si>
  <si>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</si>
  <si>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</si>
  <si>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</si>
  <si>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</si>
  <si>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</si>
  <si>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</si>
  <si>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</si>
  <si>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</si>
  <si>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</si>
  <si>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</si>
  <si>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</si>
  <si>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</si>
  <si>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</si>
  <si>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</si>
  <si>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</si>
  <si>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</si>
  <si>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</si>
  <si>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</si>
  <si>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</si>
  <si>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</si>
  <si>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</si>
  <si>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</si>
  <si>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</si>
  <si>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</si>
  <si>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</si>
  <si>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</si>
  <si>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</si>
  <si>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</si>
  <si>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</si>
  <si>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</si>
  <si>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</si>
  <si>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</si>
  <si>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</si>
  <si>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</si>
  <si>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</si>
  <si>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</si>
  <si>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</si>
  <si>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</si>
  <si>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</si>
  <si>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</si>
  <si>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</si>
  <si>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</si>
  <si>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</si>
  <si>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</si>
  <si>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</si>
  <si>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</si>
  <si>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</si>
  <si>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</si>
  <si>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</si>
  <si>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</si>
  <si>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</si>
  <si>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</si>
  <si>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</si>
  <si>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</si>
  <si>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</si>
  <si>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</si>
  <si>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</si>
  <si>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</si>
  <si>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</si>
  <si>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</si>
  <si>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</si>
  <si>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</si>
  <si>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</si>
  <si>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</si>
  <si>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</si>
  <si>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</si>
  <si>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</si>
  <si>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</si>
  <si>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</si>
  <si>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</si>
  <si>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</si>
  <si>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</si>
  <si>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</si>
  <si>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</si>
  <si>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</si>
  <si>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</si>
  <si>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</si>
  <si>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</si>
  <si>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</si>
  <si>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</si>
  <si>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</si>
  <si>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</si>
  <si>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</si>
  <si>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</si>
  <si>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</si>
  <si>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</si>
  <si>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</si>
  <si>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</si>
  <si>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</si>
  <si>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</si>
  <si>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</si>
  <si>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</si>
  <si>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</si>
  <si>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</si>
  <si>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</si>
  <si>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</si>
  <si>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</si>
  <si>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</si>
  <si>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</si>
  <si>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</si>
  <si>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</si>
  <si>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</si>
  <si>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</si>
  <si>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</si>
  <si>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</si>
  <si>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</si>
  <si>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</si>
  <si>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</si>
  <si>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</si>
  <si>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</si>
  <si>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</si>
  <si>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</si>
  <si>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</si>
  <si>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</si>
  <si>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</si>
  <si>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</si>
  <si>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</si>
  <si>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</si>
  <si>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</si>
  <si>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</si>
  <si>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</si>
  <si>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</si>
  <si>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</si>
  <si>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</si>
  <si>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</si>
  <si>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</si>
  <si>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</si>
  <si>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</si>
  <si>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</si>
  <si>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</si>
  <si>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</si>
  <si>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</si>
  <si>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</si>
  <si>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</si>
  <si>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</si>
  <si>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</si>
  <si>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</si>
  <si>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</si>
  <si>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</si>
  <si>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</si>
  <si>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</si>
  <si>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</si>
  <si>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</si>
  <si>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</si>
  <si>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</si>
  <si>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</si>
  <si>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</si>
  <si>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</si>
  <si>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</si>
  <si>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</si>
  <si>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</si>
  <si>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</si>
  <si>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</si>
  <si>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</si>
  <si>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</si>
  <si>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</si>
  <si>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</si>
  <si>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</si>
  <si>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</si>
  <si>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</si>
  <si>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</si>
  <si>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</si>
  <si>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</si>
  <si>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</si>
  <si>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</si>
  <si>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</si>
  <si>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</si>
  <si>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</si>
  <si>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</si>
  <si>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</si>
  <si>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</si>
  <si>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</si>
  <si>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</si>
  <si>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</si>
  <si>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</si>
  <si>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</si>
  <si>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</si>
  <si>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</si>
  <si>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</si>
  <si>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</si>
  <si>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</si>
  <si>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</si>
  <si>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</si>
  <si>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</si>
  <si>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</si>
  <si>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</si>
  <si>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</si>
  <si>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</si>
  <si>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</si>
  <si>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</si>
  <si>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</si>
  <si>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</si>
  <si>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</si>
  <si>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</si>
  <si>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</si>
  <si>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</si>
  <si>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</si>
  <si>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</si>
  <si>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</si>
  <si>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</si>
  <si>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</si>
  <si>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</si>
  <si>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</si>
  <si>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</si>
  <si>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</si>
  <si>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</si>
  <si>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</si>
  <si>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</si>
  <si>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</si>
  <si>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</si>
  <si>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</si>
  <si>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</si>
  <si>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</si>
  <si>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</si>
  <si>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</si>
  <si>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</si>
  <si>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</si>
  <si>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</si>
  <si>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</si>
  <si>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</si>
  <si>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</si>
  <si>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</si>
  <si>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</si>
  <si>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</si>
  <si>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</si>
  <si>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</si>
  <si>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</si>
  <si>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</si>
  <si>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</si>
  <si>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</si>
  <si>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</si>
  <si>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</si>
  <si>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</si>
  <si>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</si>
  <si>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</si>
  <si>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</si>
  <si>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</si>
  <si>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</si>
  <si>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</si>
  <si>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</si>
  <si>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</si>
  <si>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</si>
  <si>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</si>
  <si>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</si>
  <si>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</si>
  <si>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</si>
  <si>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</si>
  <si>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</si>
  <si>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</si>
  <si>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</si>
  <si>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</si>
  <si>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</si>
  <si>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</si>
  <si>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</si>
  <si>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</si>
  <si>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</si>
  <si>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</si>
  <si>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</si>
  <si>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</si>
  <si>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</si>
  <si>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</si>
  <si>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</si>
  <si>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</si>
  <si>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</si>
  <si>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</si>
  <si>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</si>
  <si>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</si>
  <si>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</si>
  <si>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</si>
  <si>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</si>
  <si>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</si>
  <si>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</si>
  <si>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</si>
  <si>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</si>
  <si>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</si>
  <si>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</si>
  <si>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</si>
  <si>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</si>
  <si>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</si>
  <si>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</si>
  <si>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</si>
  <si>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</si>
  <si>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</si>
  <si>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</si>
  <si>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</si>
  <si>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</si>
  <si>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</si>
  <si>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</si>
  <si>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</si>
  <si>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</si>
  <si>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</si>
  <si>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</si>
  <si>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</si>
  <si>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</si>
  <si>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</si>
  <si>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</si>
  <si>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</si>
  <si>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</si>
  <si>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</si>
  <si>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</si>
  <si>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</si>
  <si>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</si>
  <si>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</si>
  <si>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</si>
  <si>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</si>
  <si>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</si>
  <si>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</si>
  <si>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</si>
  <si>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</si>
  <si>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</si>
  <si>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</si>
  <si>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</si>
  <si>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</si>
  <si>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</si>
  <si>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</si>
  <si>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</si>
  <si>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</si>
  <si>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</si>
  <si>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</si>
  <si>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</si>
  <si>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</si>
  <si>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</si>
  <si>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</si>
  <si>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</si>
  <si>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</si>
  <si>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</si>
  <si>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</si>
  <si>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</si>
  <si>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</si>
  <si>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</si>
  <si>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</si>
  <si>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</si>
  <si>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</si>
  <si>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</si>
  <si>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</si>
  <si>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</si>
  <si>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</si>
  <si>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</si>
  <si>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</si>
  <si>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</si>
  <si>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</si>
  <si>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</si>
  <si>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</si>
  <si>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</si>
  <si>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</si>
  <si>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</si>
  <si>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</si>
  <si>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</si>
  <si>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</si>
  <si>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</si>
  <si>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</si>
  <si>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</si>
  <si>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</si>
  <si>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</si>
  <si>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</si>
  <si>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</si>
  <si>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</si>
  <si>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</si>
  <si>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</si>
  <si>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</si>
  <si>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</si>
  <si>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</si>
  <si>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</si>
  <si>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</si>
  <si>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</si>
  <si>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</si>
  <si>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</si>
  <si>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</si>
  <si>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</si>
  <si>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</si>
  <si>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</si>
  <si>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</si>
  <si>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</si>
  <si>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</si>
  <si>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</si>
  <si>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</si>
  <si>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</si>
  <si>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</si>
  <si>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</si>
  <si>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</si>
  <si>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</si>
  <si>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</si>
  <si>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</si>
  <si>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</si>
  <si>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</si>
  <si>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</si>
  <si>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</si>
  <si>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</si>
  <si>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</si>
  <si>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</si>
  <si>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</si>
  <si>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</si>
  <si>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</si>
  <si>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</si>
  <si>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</si>
  <si>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</si>
  <si>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</si>
  <si>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</si>
  <si>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</si>
  <si>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</si>
  <si>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</si>
  <si>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</si>
  <si>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</si>
  <si>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</si>
  <si>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</si>
  <si>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</si>
  <si>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</si>
  <si>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</si>
  <si>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</si>
  <si>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</si>
  <si>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</si>
  <si>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</si>
  <si>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</si>
  <si>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</si>
  <si>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</si>
  <si>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</si>
  <si>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</si>
  <si>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</si>
  <si>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</si>
  <si>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</si>
  <si>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</si>
  <si>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</si>
  <si>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</si>
  <si>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</si>
  <si>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</si>
  <si>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</si>
  <si>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</si>
  <si>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</si>
  <si>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</si>
  <si>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</si>
  <si>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</si>
  <si>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</si>
  <si>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</si>
  <si>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</si>
  <si>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</si>
  <si>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</si>
  <si>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</si>
  <si>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</si>
  <si>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</si>
  <si>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</si>
  <si>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</si>
  <si>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</si>
  <si>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</si>
  <si>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</si>
  <si>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</si>
  <si>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</si>
  <si>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</si>
  <si>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</si>
  <si>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</si>
  <si>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</si>
  <si>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</si>
  <si>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</si>
  <si>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</si>
  <si>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</si>
  <si>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</si>
  <si>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</si>
  <si>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</si>
  <si>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</si>
  <si>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</si>
  <si>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</si>
  <si>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</si>
  <si>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</si>
  <si>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</si>
  <si>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</si>
  <si>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</si>
  <si>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</si>
  <si>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</si>
  <si>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</si>
  <si>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</si>
  <si>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</si>
  <si>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</si>
  <si>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</si>
  <si>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</si>
  <si>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</si>
  <si>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</si>
  <si>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</si>
  <si>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</si>
  <si>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</si>
  <si>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</si>
  <si>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</si>
  <si>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</si>
  <si>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</si>
  <si>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</si>
  <si>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</si>
  <si>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</si>
  <si>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</si>
  <si>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</si>
  <si>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</si>
  <si>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</si>
  <si>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</si>
  <si>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</si>
  <si>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</si>
  <si>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</si>
  <si>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</si>
  <si>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</si>
  <si>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</si>
  <si>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</si>
  <si>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</si>
  <si>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</si>
  <si>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</si>
  <si>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</si>
  <si>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</si>
  <si>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</si>
  <si>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</si>
  <si>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</si>
  <si>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</si>
  <si>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</si>
  <si>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</si>
  <si>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</si>
  <si>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</si>
  <si>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</si>
  <si>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</si>
  <si>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</si>
  <si>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</si>
  <si>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</si>
  <si>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</si>
  <si>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</si>
  <si>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</si>
  <si>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</si>
  <si>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</si>
  <si>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</si>
  <si>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</si>
  <si>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</si>
  <si>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</si>
  <si>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</si>
  <si>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</si>
  <si>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</si>
  <si>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</si>
  <si>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</si>
  <si>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</si>
  <si>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</si>
  <si>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</si>
  <si>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</si>
  <si>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</si>
  <si>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</si>
  <si>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</si>
  <si>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</si>
  <si>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</si>
  <si>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</si>
  <si>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</si>
  <si>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</si>
  <si>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</si>
  <si>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</si>
  <si>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</si>
  <si>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</si>
  <si>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</si>
  <si>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</si>
  <si>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</si>
  <si>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</si>
  <si>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</si>
  <si>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</si>
  <si>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</si>
  <si>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</si>
  <si>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</si>
  <si>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</si>
  <si>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</si>
  <si>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</si>
  <si>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</si>
  <si>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</si>
  <si>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</si>
  <si>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</si>
  <si>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</si>
  <si>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</si>
  <si>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</si>
  <si>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</si>
  <si>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</si>
  <si>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</si>
  <si>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</si>
  <si>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</si>
  <si>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</si>
  <si>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</si>
  <si>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</si>
  <si>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</si>
  <si>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</si>
  <si>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</si>
  <si>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</si>
  <si>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</si>
  <si>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</si>
  <si>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</si>
  <si>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</si>
  <si>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</si>
  <si>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</si>
  <si>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</si>
  <si>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</si>
  <si>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</si>
  <si>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</si>
  <si>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</si>
  <si>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</si>
  <si>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</si>
  <si>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</si>
  <si>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</si>
  <si>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</si>
  <si>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</si>
  <si>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</si>
  <si>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</si>
  <si>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</si>
  <si>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</si>
  <si>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</si>
  <si>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</si>
  <si>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</si>
  <si>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</si>
  <si>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</si>
  <si>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</si>
  <si>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</si>
  <si>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</si>
  <si>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</si>
  <si>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</si>
  <si>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</si>
  <si>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</si>
  <si>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</si>
  <si>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</si>
  <si>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</si>
  <si>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</si>
  <si>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</si>
  <si>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</si>
  <si>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</si>
  <si>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</si>
  <si>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</si>
  <si>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</si>
  <si>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</si>
  <si>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</si>
  <si>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</si>
  <si>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</si>
  <si>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</si>
  <si>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</si>
  <si>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</si>
  <si>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</si>
  <si>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</si>
  <si>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</si>
  <si>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</si>
  <si>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</si>
  <si>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</si>
  <si>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</si>
  <si>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</si>
  <si>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</si>
  <si>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</si>
  <si>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</si>
  <si>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</si>
  <si>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</si>
  <si>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</si>
  <si>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</si>
  <si>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</si>
  <si>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</si>
  <si>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</si>
  <si>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</si>
  <si>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</si>
  <si>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</si>
  <si>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</si>
  <si>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</si>
  <si>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</si>
  <si>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</si>
  <si>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</si>
  <si>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</si>
  <si>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</si>
  <si>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</si>
  <si>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</si>
  <si>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</si>
  <si>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</si>
  <si>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</si>
  <si>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</si>
  <si>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</si>
  <si>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</si>
  <si>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</si>
  <si>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</si>
  <si>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</si>
  <si>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</si>
  <si>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</si>
  <si>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</si>
  <si>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</si>
  <si>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</si>
  <si>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</si>
  <si>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</si>
  <si>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</si>
  <si>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</si>
  <si>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</si>
  <si>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</si>
  <si>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</si>
  <si>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</si>
  <si>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</si>
  <si>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</si>
  <si>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</si>
  <si>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</si>
  <si>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</si>
  <si>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</si>
  <si>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</si>
  <si>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</si>
  <si>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</si>
  <si>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</si>
  <si>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</si>
  <si>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</si>
  <si>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</si>
  <si>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</si>
  <si>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</si>
  <si>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</si>
  <si>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</si>
  <si>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</si>
  <si>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</si>
  <si>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</si>
  <si>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</si>
  <si>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</si>
  <si>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</si>
  <si>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</si>
  <si>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</si>
  <si>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</si>
  <si>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</si>
  <si>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</si>
  <si>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</si>
  <si>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</si>
  <si>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</si>
  <si>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</si>
  <si>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</si>
  <si>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</si>
  <si>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</si>
  <si>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</si>
  <si>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</si>
  <si>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</si>
  <si>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</si>
  <si>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</si>
  <si>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</si>
  <si>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</si>
  <si>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</si>
  <si>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</si>
  <si>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</si>
  <si>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</si>
  <si>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</si>
  <si>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</si>
  <si>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</si>
  <si>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</si>
  <si>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</si>
  <si>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</si>
  <si>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</si>
  <si>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</si>
  <si>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</si>
  <si>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</si>
  <si>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</si>
  <si>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</si>
  <si>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</si>
  <si>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</si>
  <si>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</si>
  <si>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</si>
  <si>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</si>
  <si>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</si>
  <si>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</si>
  <si>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</si>
  <si>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</si>
  <si>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</si>
  <si>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</si>
  <si>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</si>
  <si>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</si>
  <si>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</si>
  <si>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</si>
  <si>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</si>
  <si>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</si>
  <si>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</si>
  <si>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</si>
  <si>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</si>
  <si>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</si>
  <si>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</si>
  <si>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</si>
  <si>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</si>
  <si>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</si>
  <si>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</si>
  <si>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</si>
  <si>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</si>
  <si>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</si>
  <si>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</si>
  <si>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</si>
  <si>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</si>
  <si>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</si>
  <si>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</si>
  <si>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</si>
  <si>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</si>
  <si>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</si>
  <si>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</si>
  <si>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</si>
  <si>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</si>
  <si>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</si>
  <si>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</si>
  <si>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</si>
  <si>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</si>
  <si>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</si>
  <si>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</si>
  <si>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</si>
  <si>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</si>
  <si>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</si>
  <si>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</si>
  <si>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</si>
  <si>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</si>
  <si>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</si>
  <si>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</si>
  <si>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</si>
  <si>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</si>
  <si>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</si>
  <si>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</si>
  <si>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</si>
  <si>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</si>
  <si>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</si>
  <si>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</si>
  <si>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</si>
  <si>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</si>
  <si>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</si>
  <si>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</si>
  <si>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</si>
  <si>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</si>
  <si>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</si>
  <si>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</si>
  <si>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</si>
  <si>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</si>
  <si>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</si>
  <si>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</si>
  <si>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</si>
  <si>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</si>
  <si>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</si>
  <si>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</si>
  <si>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</si>
  <si>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</si>
  <si>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</si>
  <si>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</si>
  <si>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</si>
  <si>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</si>
  <si>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</si>
  <si>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</si>
  <si>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</si>
  <si>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</si>
  <si>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</si>
  <si>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</si>
  <si>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</si>
  <si>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</si>
  <si>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</si>
  <si>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</si>
  <si>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</si>
  <si>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</si>
  <si>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</si>
  <si>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</si>
  <si>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</si>
  <si>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</si>
  <si>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</si>
  <si>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</si>
  <si>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</si>
  <si>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</si>
  <si>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</si>
  <si>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</si>
  <si>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</si>
  <si>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</si>
  <si>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</si>
  <si>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</si>
  <si>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</si>
  <si>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</si>
  <si>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</si>
  <si>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</si>
  <si>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</si>
  <si>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</si>
  <si>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</si>
  <si>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</si>
  <si>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</si>
  <si>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</si>
  <si>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</si>
  <si>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</si>
  <si>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</si>
  <si>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</si>
  <si>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</si>
  <si>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</si>
  <si>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</si>
  <si>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</si>
  <si>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</si>
  <si>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</si>
  <si>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</si>
  <si>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</si>
  <si>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</si>
  <si>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</si>
  <si>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</si>
  <si>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</si>
  <si>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</si>
  <si>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</si>
  <si>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</si>
  <si>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</si>
  <si>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</si>
  <si>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</si>
  <si>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</si>
  <si>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</si>
  <si>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</si>
  <si>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</si>
  <si>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</si>
  <si>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</si>
  <si>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</si>
  <si>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</si>
  <si>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</si>
  <si>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</si>
  <si>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</si>
  <si>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</si>
  <si>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</si>
  <si>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</si>
  <si>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</si>
  <si>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</si>
  <si>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</si>
  <si>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</si>
  <si>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</si>
  <si>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</si>
  <si>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</si>
  <si>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</si>
  <si>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</si>
  <si>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</si>
  <si>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</si>
  <si>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</si>
  <si>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</si>
  <si>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</si>
  <si>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</si>
  <si>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</si>
  <si>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</si>
  <si>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</si>
  <si>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</si>
  <si>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</si>
  <si>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</si>
  <si>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</si>
  <si>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</si>
  <si>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</si>
  <si>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</si>
  <si>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</si>
  <si>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</si>
  <si>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</si>
  <si>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</si>
  <si>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</si>
  <si>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</si>
  <si>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</si>
  <si>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</si>
  <si>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</si>
  <si>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</si>
  <si>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</si>
  <si>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</si>
  <si>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</si>
  <si>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</si>
  <si>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</si>
  <si>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</si>
  <si>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</si>
  <si>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</si>
  <si>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</si>
  <si>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</si>
  <si>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</si>
  <si>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</si>
  <si>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</si>
  <si>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</si>
  <si>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</si>
  <si>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</si>
  <si>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</si>
  <si>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</si>
  <si>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</si>
  <si>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</si>
  <si>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</si>
  <si>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</si>
  <si>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</si>
  <si>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</si>
  <si>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</si>
  <si>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</si>
  <si>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</si>
  <si>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</si>
  <si>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</si>
  <si>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</si>
  <si>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</si>
  <si>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</si>
  <si>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</si>
  <si>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</si>
  <si>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</si>
  <si>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</si>
  <si>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</si>
  <si>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</si>
  <si>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</si>
  <si>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</si>
  <si>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</si>
  <si>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</si>
  <si>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</si>
  <si>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</si>
  <si>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</si>
  <si>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</si>
  <si>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</si>
  <si>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</si>
  <si>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</si>
  <si>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</si>
  <si>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</si>
  <si>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</si>
  <si>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</si>
  <si>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</si>
  <si>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</si>
  <si>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</si>
  <si>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</si>
  <si>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</si>
  <si>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</si>
  <si>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</si>
  <si>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</si>
  <si>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</si>
  <si>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</si>
  <si>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</si>
  <si>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</si>
  <si>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</si>
  <si>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</si>
  <si>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</si>
  <si>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</si>
  <si>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</si>
  <si>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</si>
  <si>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</si>
  <si>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</si>
  <si>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</si>
  <si>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</si>
  <si>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</si>
  <si>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</si>
  <si>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</si>
  <si>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</si>
  <si>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</si>
  <si>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</si>
  <si>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</si>
  <si>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</si>
  <si>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</si>
  <si>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</si>
  <si>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</si>
  <si>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</si>
  <si>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</si>
  <si>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</si>
  <si>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</si>
  <si>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</si>
  <si>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</si>
  <si>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</si>
  <si>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</si>
  <si>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</si>
  <si>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</si>
  <si>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</si>
  <si>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</si>
  <si>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</si>
  <si>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</si>
  <si>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</si>
  <si>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</si>
  <si>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</si>
  <si>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</si>
  <si>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</si>
  <si>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</si>
  <si>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</si>
  <si>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</si>
  <si>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</si>
  <si>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</si>
  <si>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</si>
  <si>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</si>
  <si>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</si>
  <si>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</si>
  <si>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</si>
  <si>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</si>
  <si>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</si>
  <si>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</si>
  <si>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</si>
  <si>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</si>
  <si>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</si>
  <si>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</si>
  <si>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</si>
  <si>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</si>
  <si>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</si>
  <si>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</si>
  <si>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</si>
  <si>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</si>
  <si>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</si>
  <si>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</si>
  <si>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</si>
  <si>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</si>
  <si>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</si>
  <si>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</si>
  <si>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</si>
  <si>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</si>
  <si>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</si>
  <si>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</si>
  <si>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</si>
  <si>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</si>
  <si>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</si>
  <si>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</si>
  <si>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</si>
  <si>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</si>
  <si>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</si>
  <si>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</si>
  <si>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</si>
  <si>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</si>
  <si>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</si>
  <si>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</si>
  <si>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</si>
  <si>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</si>
  <si>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</si>
  <si>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</si>
  <si>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</si>
  <si>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</si>
  <si>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</si>
  <si>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</si>
  <si>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</si>
  <si>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</si>
  <si>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</si>
  <si>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</si>
  <si>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</si>
  <si>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</si>
  <si>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</si>
  <si>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</si>
  <si>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</si>
  <si>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</si>
  <si>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</si>
  <si>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</si>
  <si>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</si>
  <si>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</si>
  <si>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</si>
  <si>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</si>
  <si>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</si>
  <si>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</si>
  <si>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</si>
  <si>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</si>
  <si>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</si>
  <si>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</si>
  <si>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</si>
  <si>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</si>
  <si>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</si>
  <si>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</si>
  <si>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</si>
  <si>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</si>
  <si>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</si>
  <si>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</si>
  <si>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</si>
  <si>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</si>
  <si>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</si>
  <si>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</si>
  <si>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</si>
  <si>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</si>
  <si>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</si>
  <si>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</si>
  <si>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</si>
  <si>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</si>
  <si>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</si>
  <si>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</si>
  <si>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</si>
  <si>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</si>
  <si>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</si>
  <si>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</si>
  <si>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</si>
  <si>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</si>
  <si>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</si>
  <si>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</si>
  <si>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</si>
  <si>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</si>
  <si>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</si>
  <si>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</si>
  <si>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</si>
  <si>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</si>
  <si>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</si>
  <si>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</si>
  <si>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</si>
  <si>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</si>
  <si>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</si>
  <si>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</si>
  <si>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</si>
  <si>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</si>
  <si>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</si>
  <si>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</si>
  <si>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</si>
  <si>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</si>
  <si>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</si>
  <si>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</si>
  <si>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</si>
  <si>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</si>
  <si>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</si>
  <si>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</si>
  <si>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</si>
  <si>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</si>
  <si>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</si>
  <si>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</si>
  <si>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</si>
  <si>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</si>
  <si>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</si>
  <si>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</si>
  <si>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</si>
  <si>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</si>
  <si>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</si>
  <si>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</si>
  <si>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</si>
  <si>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</si>
  <si>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</si>
  <si>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</si>
  <si>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</si>
  <si>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</si>
  <si>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</si>
  <si>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</si>
  <si>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</si>
  <si>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</si>
  <si>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</si>
  <si>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</si>
  <si>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</si>
  <si>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</si>
  <si>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</si>
  <si>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</si>
  <si>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</si>
  <si>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</si>
  <si>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</si>
  <si>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</si>
  <si>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</si>
  <si>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</si>
  <si>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</si>
  <si>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</si>
  <si>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</si>
  <si>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</si>
  <si>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</si>
  <si>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</si>
  <si>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</si>
  <si>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</si>
  <si>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</si>
  <si>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</si>
  <si>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</si>
  <si>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</si>
  <si>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</si>
  <si>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</si>
  <si>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</si>
  <si>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</si>
  <si>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</si>
  <si>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</si>
  <si>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</si>
  <si>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</si>
  <si>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</si>
  <si>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</si>
  <si>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</si>
  <si>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</si>
  <si>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</si>
  <si>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</si>
  <si>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</si>
  <si>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</si>
  <si>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</si>
  <si>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</si>
  <si>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</si>
  <si>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</si>
  <si>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</si>
  <si>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</si>
  <si>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</si>
  <si>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</si>
  <si>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</si>
  <si>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</si>
  <si>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</si>
  <si>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</si>
  <si>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</si>
  <si>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</si>
  <si>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</si>
  <si>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</si>
  <si>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</si>
  <si>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</si>
  <si>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</si>
  <si>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</si>
  <si>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</si>
  <si>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</si>
  <si>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</si>
  <si>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</si>
  <si>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</si>
  <si>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</si>
  <si>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</si>
  <si>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</si>
  <si>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</si>
  <si>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</si>
  <si>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</si>
  <si>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</si>
  <si>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</si>
  <si>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</si>
  <si>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</si>
  <si>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</si>
  <si>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</si>
  <si>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</si>
  <si>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</si>
  <si>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</si>
  <si>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</si>
  <si>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</si>
  <si>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</si>
  <si>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</si>
  <si>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</si>
  <si>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</si>
  <si>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</si>
  <si>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</si>
  <si>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</si>
  <si>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</si>
  <si>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</si>
  <si>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</si>
  <si>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</si>
  <si>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</si>
  <si>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</si>
  <si>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</si>
  <si>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</si>
  <si>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</si>
  <si>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</si>
  <si>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</si>
  <si>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</si>
  <si>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</si>
  <si>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</si>
  <si>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</si>
  <si>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</si>
  <si>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</si>
  <si>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</si>
  <si>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</si>
  <si>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</si>
  <si>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</si>
  <si>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</si>
  <si>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</si>
  <si>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</si>
  <si>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</si>
  <si>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</si>
  <si>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</si>
  <si>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</si>
  <si>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</si>
  <si>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</si>
  <si>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</si>
  <si>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</si>
  <si>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</si>
  <si>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</si>
  <si>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</si>
  <si>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</si>
  <si>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</si>
  <si>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</si>
  <si>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</si>
  <si>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</si>
  <si>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</si>
  <si>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</si>
  <si>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</si>
  <si>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</si>
  <si>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</si>
  <si>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</si>
  <si>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</si>
  <si>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</si>
  <si>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</si>
  <si>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</si>
  <si>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</si>
  <si>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</si>
  <si>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</si>
  <si>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</si>
  <si>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</si>
  <si>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</si>
  <si>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</si>
  <si>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</si>
  <si>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</si>
  <si>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</si>
  <si>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</si>
  <si>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</si>
  <si>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</si>
  <si>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</si>
  <si>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</si>
  <si>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</si>
  <si>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</si>
  <si>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</si>
  <si>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</si>
  <si>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</si>
  <si>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</si>
  <si>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</si>
  <si>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</si>
  <si>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</si>
  <si>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</si>
  <si>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</si>
  <si>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</si>
  <si>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</si>
  <si>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</si>
  <si>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</si>
  <si>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</si>
  <si>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</si>
  <si>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</si>
  <si>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</si>
  <si>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</si>
  <si>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</si>
  <si>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</si>
  <si>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</si>
  <si>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</si>
  <si>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</si>
  <si>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</si>
  <si>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</si>
  <si>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</si>
  <si>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</si>
  <si>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</si>
  <si>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</si>
  <si>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</si>
  <si>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</si>
  <si>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</si>
  <si>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</si>
  <si>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</si>
  <si>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</si>
  <si>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</si>
  <si>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</si>
  <si>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</si>
  <si>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</si>
  <si>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</si>
  <si>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</si>
  <si>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</si>
  <si>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</si>
  <si>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</si>
  <si>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</si>
  <si>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</si>
  <si>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</si>
  <si>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</si>
  <si>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</si>
  <si>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</si>
  <si>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</si>
  <si>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</si>
  <si>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</si>
  <si>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</si>
  <si>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</si>
  <si>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</si>
  <si>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</si>
  <si>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</si>
  <si>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</si>
  <si>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</si>
  <si>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</si>
  <si>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</si>
  <si>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</si>
  <si>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</si>
  <si>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</si>
  <si>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</si>
  <si>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</si>
  <si>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</si>
  <si>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</si>
  <si>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</si>
  <si>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</si>
  <si>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</si>
  <si>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</si>
  <si>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</si>
  <si>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</si>
  <si>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</si>
  <si>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</si>
  <si>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</si>
  <si>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</si>
  <si>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</si>
  <si>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</si>
  <si>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</si>
  <si>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</si>
  <si>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</si>
  <si>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</si>
  <si>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</si>
  <si>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</si>
  <si>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</si>
  <si>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</si>
  <si>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</si>
  <si>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</si>
  <si>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</si>
  <si>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</si>
  <si>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</si>
  <si>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</si>
  <si>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</si>
  <si>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</si>
  <si>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</si>
  <si>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</si>
  <si>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</si>
  <si>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</si>
  <si>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</si>
  <si>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</si>
  <si>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</si>
  <si>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</si>
  <si>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</si>
  <si>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</si>
  <si>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</si>
  <si>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</si>
  <si>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</si>
  <si>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</si>
  <si>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</si>
  <si>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</si>
  <si>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</si>
  <si>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</si>
  <si>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</si>
  <si>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</si>
  <si>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</si>
  <si>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</si>
  <si>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</si>
  <si>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</si>
  <si>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</si>
  <si>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</si>
  <si>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</si>
  <si>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</si>
  <si>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</si>
  <si>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</si>
  <si>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</si>
  <si>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</si>
  <si>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</si>
  <si>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</si>
  <si>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</si>
  <si>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</si>
  <si>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</si>
  <si>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</si>
  <si>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</si>
  <si>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</si>
  <si>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</si>
  <si>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</si>
  <si>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</si>
  <si>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</si>
  <si>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</si>
  <si>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</si>
  <si>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</si>
  <si>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</si>
  <si>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</si>
  <si>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</si>
  <si>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</si>
  <si>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</si>
  <si>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</si>
  <si>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</si>
  <si>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</si>
  <si>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</si>
  <si>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</si>
  <si>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</si>
  <si>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</si>
  <si>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</si>
  <si>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</si>
  <si>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</si>
  <si>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</si>
  <si>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</si>
  <si>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</si>
  <si>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</si>
  <si>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</si>
  <si>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</si>
  <si>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</si>
  <si>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</si>
  <si>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</si>
  <si>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</si>
  <si>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</si>
  <si>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</si>
  <si>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</si>
  <si>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</si>
  <si>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</si>
  <si>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</si>
  <si>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</si>
  <si>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</si>
  <si>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</si>
  <si>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</si>
  <si>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</si>
  <si>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</si>
  <si>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</si>
  <si>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</si>
  <si>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</si>
  <si>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</si>
  <si>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</si>
  <si>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</si>
  <si>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</si>
  <si>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</si>
  <si>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</si>
  <si>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</si>
  <si>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</si>
  <si>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</si>
  <si>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</si>
  <si>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</si>
  <si>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</si>
  <si>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</si>
  <si>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</si>
  <si>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</si>
  <si>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</si>
  <si>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</si>
  <si>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</si>
  <si>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</si>
  <si>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</si>
  <si>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</si>
  <si>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</si>
  <si>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</si>
  <si>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</si>
  <si>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</si>
  <si>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</si>
  <si>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</si>
  <si>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</si>
  <si>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</si>
  <si>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</si>
  <si>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</si>
  <si>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</si>
  <si>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</si>
  <si>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</si>
  <si>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</si>
  <si>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</si>
  <si>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</si>
  <si>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</si>
  <si>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</si>
  <si>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</si>
  <si>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</si>
  <si>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</si>
  <si>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</si>
  <si>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</si>
  <si>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</si>
  <si>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</si>
  <si>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</si>
  <si>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</si>
  <si>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</si>
  <si>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</si>
  <si>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</si>
  <si>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</si>
  <si>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</si>
  <si>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</si>
  <si>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</si>
  <si>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</si>
  <si>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</si>
  <si>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</si>
  <si>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</si>
  <si>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</si>
  <si>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</si>
  <si>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</si>
  <si>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</si>
  <si>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</si>
  <si>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</si>
  <si>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</si>
  <si>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</si>
  <si>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</si>
  <si>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</si>
  <si>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</si>
  <si>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</si>
  <si>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</si>
  <si>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</si>
  <si>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</si>
  <si>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</si>
  <si>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</si>
  <si>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</si>
  <si>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</si>
  <si>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</si>
  <si>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</si>
  <si>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</si>
  <si>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</si>
  <si>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</si>
  <si>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</si>
  <si>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</si>
  <si>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</si>
  <si>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</si>
  <si>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</si>
  <si>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</si>
  <si>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</si>
  <si>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</si>
  <si>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</si>
  <si>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</si>
  <si>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</si>
  <si>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</si>
  <si>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</si>
  <si>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</si>
  <si>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</si>
  <si>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</si>
  <si>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</si>
  <si>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</si>
  <si>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</si>
  <si>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</si>
  <si>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</si>
  <si>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</si>
  <si>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</si>
  <si>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</si>
  <si>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</si>
  <si>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</si>
  <si>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</si>
  <si>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</si>
  <si>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</si>
  <si>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</si>
  <si>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</si>
  <si>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</si>
  <si>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</si>
  <si>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</si>
  <si>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</si>
  <si>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</si>
  <si>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</si>
  <si>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</si>
  <si>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</si>
  <si>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</si>
  <si>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</si>
  <si>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</si>
  <si>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</si>
  <si>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</si>
  <si>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</si>
  <si>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</si>
  <si>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</si>
  <si>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</si>
  <si>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</si>
  <si>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</si>
  <si>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</si>
  <si>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</si>
  <si>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</si>
  <si>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</si>
  <si>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</si>
  <si>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</si>
  <si>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</si>
  <si>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</si>
  <si>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</si>
  <si>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</si>
  <si>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</si>
  <si>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</si>
  <si>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</si>
  <si>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</si>
  <si>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</si>
  <si>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</si>
  <si>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</si>
  <si>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</si>
  <si>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</si>
  <si>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</si>
  <si>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</si>
  <si>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</si>
  <si>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</si>
  <si>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</si>
  <si>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</si>
  <si>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</si>
  <si>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</si>
  <si>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</si>
  <si>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</si>
  <si>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</si>
  <si>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</si>
  <si>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</si>
  <si>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</si>
  <si>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</si>
  <si>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</si>
  <si>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</si>
  <si>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</si>
  <si>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</si>
  <si>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</si>
  <si>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</si>
  <si>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</si>
  <si>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</si>
  <si>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</si>
  <si>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</si>
  <si>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</si>
  <si>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</si>
  <si>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</si>
  <si>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</si>
  <si>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</si>
  <si>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</si>
  <si>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</si>
  <si>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</si>
  <si>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</si>
  <si>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</si>
  <si>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</si>
  <si>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</si>
  <si>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</si>
  <si>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</si>
  <si>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</si>
  <si>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</si>
  <si>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</si>
  <si>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</si>
  <si>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</si>
  <si>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</si>
  <si>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</si>
  <si>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</si>
  <si>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</si>
  <si>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</si>
  <si>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</si>
  <si>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</si>
  <si>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</si>
  <si>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</si>
  <si>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</si>
  <si>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</si>
  <si>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</si>
  <si>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</si>
  <si>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</si>
  <si>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</si>
  <si>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</si>
  <si>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</si>
  <si>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</si>
  <si>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</si>
  <si>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</si>
  <si>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</si>
  <si>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</si>
  <si>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</si>
  <si>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</si>
  <si>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</si>
  <si>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</si>
  <si>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</si>
  <si>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</si>
  <si>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</si>
  <si>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</si>
  <si>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</si>
  <si>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</si>
  <si>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</si>
  <si>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</si>
  <si>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</si>
  <si>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</si>
  <si>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</si>
  <si>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</si>
  <si>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</si>
  <si>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</si>
  <si>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</si>
  <si>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</si>
  <si>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</si>
  <si>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</si>
  <si>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</si>
  <si>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</si>
  <si>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</si>
  <si>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</si>
  <si>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</si>
  <si>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</si>
  <si>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</si>
  <si>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</si>
  <si>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</si>
  <si>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</si>
  <si>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</si>
  <si>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</si>
  <si>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</si>
  <si>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</si>
  <si>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</si>
  <si>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</si>
  <si>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</si>
  <si>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</si>
  <si>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</si>
  <si>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</si>
  <si>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</si>
  <si>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</si>
  <si>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</si>
  <si>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</si>
  <si>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</si>
  <si>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</si>
  <si>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</si>
  <si>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</si>
  <si>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</si>
  <si>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</si>
  <si>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</si>
  <si>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</si>
  <si>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</si>
  <si>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</si>
  <si>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</si>
  <si>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</si>
  <si>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</si>
  <si>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</si>
  <si>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</si>
  <si>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</si>
  <si>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</si>
  <si>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</si>
  <si>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</si>
  <si>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</si>
  <si>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</si>
  <si>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</si>
  <si>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</si>
  <si>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</si>
  <si>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</si>
  <si>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</si>
  <si>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</si>
  <si>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</si>
  <si>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</si>
  <si>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</si>
  <si>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</si>
  <si>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</si>
  <si>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</si>
  <si>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</si>
  <si>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</si>
  <si>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</si>
  <si>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</si>
  <si>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</si>
  <si>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</si>
  <si>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</si>
  <si>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</si>
  <si>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</si>
  <si>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</si>
  <si>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</si>
  <si>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</si>
  <si>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</si>
  <si>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</si>
  <si>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</si>
  <si>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</si>
  <si>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</si>
  <si>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</si>
  <si>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</si>
  <si>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</si>
  <si>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</si>
  <si>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</si>
  <si>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</si>
  <si>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</si>
  <si>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</si>
  <si>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</si>
  <si>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</si>
  <si>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</si>
  <si>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</si>
  <si>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</si>
  <si>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</si>
  <si>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</si>
  <si>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</si>
  <si>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</si>
  <si>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</si>
  <si>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</si>
  <si>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</si>
  <si>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</si>
  <si>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</si>
  <si>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</si>
  <si>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</si>
  <si>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</si>
  <si>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</si>
  <si>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</si>
  <si>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</si>
  <si>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</si>
  <si>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</si>
  <si>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</si>
  <si>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</si>
  <si>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</si>
  <si>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</si>
  <si>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</si>
  <si>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</si>
  <si>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</si>
  <si>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</si>
  <si>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</si>
  <si>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</si>
  <si>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</si>
  <si>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</si>
  <si>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</si>
  <si>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</si>
  <si>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</si>
  <si>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</si>
  <si>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</si>
  <si>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</si>
  <si>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</si>
  <si>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</si>
  <si>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</si>
  <si>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</si>
  <si>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</si>
  <si>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</si>
  <si>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</si>
  <si>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</si>
  <si>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</si>
  <si>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</si>
  <si>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</si>
  <si>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</si>
  <si>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</si>
  <si>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</si>
  <si>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</si>
  <si>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</si>
  <si>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</si>
  <si>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</si>
  <si>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</si>
  <si>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</si>
  <si>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</si>
  <si>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</si>
  <si>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</si>
  <si>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</si>
  <si>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</si>
  <si>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</si>
  <si>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</si>
  <si>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</si>
  <si>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</si>
  <si>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</si>
  <si>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</si>
  <si>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</si>
  <si>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</si>
  <si>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</si>
  <si>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</si>
  <si>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</si>
  <si>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</si>
  <si>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</si>
  <si>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</si>
  <si>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</si>
  <si>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</si>
  <si>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</si>
  <si>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</si>
  <si>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</si>
  <si>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</si>
  <si>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</si>
  <si>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</si>
  <si>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</si>
  <si>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</si>
  <si>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</si>
  <si>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</si>
  <si>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</si>
  <si>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</si>
  <si>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</si>
  <si>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</si>
  <si>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</si>
  <si>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</si>
  <si>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</si>
  <si>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</si>
  <si>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</si>
  <si>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</si>
  <si>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</si>
  <si>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</si>
  <si>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</si>
  <si>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</si>
  <si>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</si>
  <si>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</si>
  <si>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</si>
  <si>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</si>
  <si>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</si>
  <si>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</si>
  <si>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</si>
  <si>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</si>
  <si>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</si>
  <si>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</si>
  <si>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</si>
  <si>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</si>
  <si>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</si>
  <si>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</si>
  <si>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</si>
  <si>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</si>
  <si>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</si>
  <si>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</si>
  <si>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</si>
  <si>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</si>
  <si>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</si>
  <si>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</si>
  <si>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</si>
  <si>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</si>
  <si>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</si>
  <si>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</si>
  <si>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</si>
  <si>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</si>
  <si>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</si>
  <si>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</si>
  <si>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</si>
  <si>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</si>
  <si>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</si>
  <si>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</si>
  <si>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</si>
  <si>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</si>
  <si>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</si>
  <si>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</si>
  <si>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</si>
  <si>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</si>
  <si>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</si>
  <si>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</si>
  <si>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</si>
  <si>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</si>
  <si>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</si>
  <si>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</si>
  <si>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</si>
  <si>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</si>
  <si>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</si>
  <si>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</si>
  <si>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</si>
  <si>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</si>
  <si>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</si>
  <si>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</si>
  <si>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</si>
  <si>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</si>
  <si>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</si>
  <si>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</si>
  <si>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</si>
  <si>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</si>
  <si>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</si>
  <si>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</si>
  <si>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</si>
  <si>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</si>
  <si>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</si>
  <si>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</si>
  <si>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</si>
  <si>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</si>
  <si>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</si>
  <si>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</si>
  <si>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</si>
  <si>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</si>
  <si>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</si>
  <si>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</si>
  <si>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</si>
  <si>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</si>
  <si>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</si>
  <si>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</si>
  <si>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</si>
  <si>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</si>
  <si>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</si>
  <si>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</si>
  <si>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</si>
  <si>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</si>
  <si>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</si>
  <si>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</si>
  <si>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</si>
  <si>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</si>
  <si>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</si>
  <si>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</si>
  <si>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</si>
  <si>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</si>
  <si>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</si>
  <si>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</si>
  <si>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</si>
  <si>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</si>
  <si>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</si>
  <si>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</si>
  <si>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</si>
  <si>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</si>
  <si>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</si>
  <si>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</si>
  <si>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</si>
  <si>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</si>
  <si>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</si>
  <si>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</si>
  <si>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</si>
  <si>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</si>
  <si>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</si>
  <si>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</si>
  <si>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</si>
  <si>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</si>
  <si>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</si>
  <si>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</si>
  <si>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</si>
  <si>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</si>
  <si>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</si>
  <si>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</si>
  <si>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</si>
  <si>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</si>
  <si>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</si>
  <si>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</si>
  <si>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</si>
  <si>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</si>
  <si>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</si>
  <si>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</si>
  <si>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</si>
  <si>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</si>
  <si>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</si>
  <si>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</si>
  <si>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</si>
  <si>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</si>
  <si>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</si>
  <si>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</si>
  <si>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</si>
  <si>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</si>
  <si>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</si>
  <si>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</si>
  <si>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</si>
  <si>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</si>
  <si>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</si>
  <si>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</si>
  <si>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</si>
  <si>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</si>
  <si>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</si>
  <si>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</si>
  <si>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</si>
  <si>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</si>
  <si>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</si>
  <si>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</si>
  <si>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</si>
  <si>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</si>
  <si>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</si>
  <si>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</si>
  <si>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</si>
  <si>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</si>
  <si>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</si>
  <si>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</si>
  <si>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</si>
  <si>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</si>
  <si>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</si>
  <si>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</si>
  <si>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</si>
  <si>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</si>
  <si>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</si>
  <si>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</si>
  <si>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</si>
  <si>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</si>
  <si>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</si>
  <si>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</si>
  <si>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</si>
  <si>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</si>
  <si>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</si>
  <si>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</si>
  <si>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</si>
  <si>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</si>
  <si>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</si>
  <si>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</si>
  <si>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</si>
  <si>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</si>
  <si>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</si>
  <si>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</si>
  <si>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</si>
  <si>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</si>
  <si>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</si>
  <si>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</si>
  <si>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</si>
  <si>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</si>
  <si>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</si>
  <si>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</si>
  <si>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</si>
  <si>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</si>
  <si>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</si>
  <si>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</si>
  <si>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</si>
  <si>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</si>
  <si>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</si>
  <si>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</si>
  <si>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</si>
  <si>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</si>
  <si>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</si>
  <si>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</si>
  <si>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</si>
  <si>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</si>
  <si>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</si>
  <si>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</si>
  <si>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</si>
  <si>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</si>
  <si>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</si>
  <si>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</si>
  <si>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</si>
  <si>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</si>
  <si>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</si>
  <si>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</si>
  <si>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</si>
  <si>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</si>
  <si>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</si>
  <si>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</si>
  <si>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</si>
  <si>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</si>
  <si>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</si>
  <si>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</si>
  <si>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</si>
  <si>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</si>
  <si>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</si>
  <si>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</si>
  <si>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</si>
  <si>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</si>
  <si>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</si>
  <si>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</si>
  <si>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</si>
  <si>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</si>
  <si>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</si>
  <si>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</si>
  <si>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</si>
  <si>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</si>
  <si>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</si>
  <si>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</si>
  <si>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</si>
  <si>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</si>
  <si>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</si>
  <si>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</si>
  <si>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</si>
  <si>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</si>
  <si>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</si>
  <si>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</si>
  <si>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</si>
  <si>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</si>
  <si>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</si>
  <si>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</si>
  <si>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</si>
  <si>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</si>
  <si>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</si>
  <si>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</si>
  <si>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</si>
  <si>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</si>
  <si>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</si>
  <si>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</si>
  <si>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</si>
  <si>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</si>
  <si>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</si>
  <si>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</si>
  <si>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</si>
  <si>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</si>
  <si>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</si>
  <si>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</si>
  <si>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</si>
  <si>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</si>
  <si>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</si>
  <si>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</si>
  <si>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</si>
  <si>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</si>
  <si>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</si>
  <si>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</si>
  <si>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</si>
  <si>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</si>
  <si>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</si>
  <si>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</si>
  <si>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</si>
  <si>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</si>
  <si>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</si>
  <si>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</si>
  <si>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</si>
  <si>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</si>
  <si>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</si>
  <si>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</si>
  <si>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</si>
  <si>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</si>
  <si>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</si>
  <si>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</si>
  <si>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</si>
  <si>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</si>
  <si>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</si>
  <si>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</si>
  <si>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</si>
  <si>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</si>
  <si>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</si>
  <si>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</si>
  <si>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</si>
  <si>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</si>
  <si>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</si>
  <si>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</si>
  <si>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</si>
  <si>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</si>
  <si>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</si>
  <si>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</si>
  <si>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</si>
  <si>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</si>
  <si>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</si>
  <si>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</si>
  <si>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</si>
  <si>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</si>
  <si>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</si>
  <si>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</si>
  <si>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</si>
  <si>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</si>
  <si>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</si>
  <si>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</si>
  <si>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</si>
  <si>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</si>
  <si>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</si>
  <si>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</si>
  <si>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</si>
  <si>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</si>
  <si>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</si>
  <si>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</si>
  <si>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</si>
  <si>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</si>
  <si>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</si>
  <si>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</si>
  <si>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</si>
  <si>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</si>
  <si>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</si>
  <si>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</si>
  <si>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</si>
  <si>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</si>
  <si>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</si>
  <si>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</si>
  <si>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</si>
  <si>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</si>
  <si>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</si>
  <si>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</si>
  <si>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</si>
  <si>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</si>
  <si>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</si>
  <si>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</si>
  <si>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</si>
  <si>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</si>
  <si>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</si>
  <si>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</si>
  <si>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</si>
  <si>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</si>
  <si>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</si>
  <si>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</si>
  <si>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</si>
  <si>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</si>
  <si>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</si>
  <si>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</si>
  <si>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</si>
  <si>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</si>
  <si>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</si>
  <si>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</si>
  <si>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</si>
  <si>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</si>
  <si>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</si>
  <si>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</si>
  <si>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</si>
  <si>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</si>
  <si>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</si>
  <si>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</si>
  <si>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</si>
  <si>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</si>
  <si>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</si>
  <si>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</si>
  <si>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</si>
  <si>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</si>
  <si>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</si>
  <si>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</si>
  <si>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</si>
  <si>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</si>
  <si>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</si>
  <si>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</si>
  <si>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</si>
  <si>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</si>
  <si>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</si>
  <si>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</si>
  <si>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</si>
  <si>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</si>
  <si>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</si>
  <si>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</si>
  <si>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</si>
  <si>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</si>
  <si>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</si>
  <si>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</si>
  <si>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</si>
  <si>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</si>
  <si>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</si>
  <si>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</si>
  <si>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</si>
  <si>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</si>
  <si>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</si>
  <si>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</si>
  <si>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</si>
  <si>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</si>
  <si>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</si>
  <si>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</si>
  <si>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</si>
  <si>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</si>
  <si>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</si>
  <si>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</si>
  <si>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</si>
  <si>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</si>
  <si>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</si>
  <si>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</si>
  <si>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</si>
  <si>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</si>
  <si>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</si>
  <si>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</si>
  <si>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</si>
  <si>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</si>
  <si>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</si>
  <si>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</si>
  <si>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</si>
  <si>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</si>
  <si>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</si>
  <si>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</si>
  <si>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</si>
  <si>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</si>
  <si>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</si>
  <si>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</si>
  <si>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</si>
  <si>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</si>
  <si>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</si>
  <si>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</si>
  <si>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</si>
  <si>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</si>
  <si>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</si>
  <si>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</si>
  <si>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</si>
  <si>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</si>
  <si>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</si>
  <si>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</si>
  <si>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</si>
  <si>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</si>
  <si>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</si>
  <si>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</si>
  <si>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</si>
  <si>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</si>
  <si>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</si>
  <si>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</si>
  <si>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</si>
  <si>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</si>
  <si>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</si>
  <si>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</si>
  <si>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</si>
  <si>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</si>
  <si>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</si>
  <si>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</si>
  <si>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</si>
  <si>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</si>
  <si>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</si>
  <si>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</si>
  <si>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</si>
  <si>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</si>
  <si>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</si>
  <si>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</si>
  <si>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</si>
  <si>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</si>
  <si>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</si>
  <si>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</si>
  <si>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</si>
  <si>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</si>
  <si>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</si>
  <si>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</si>
  <si>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</si>
  <si>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</si>
  <si>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</si>
  <si>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</si>
  <si>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</si>
  <si>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</si>
  <si>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</si>
  <si>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</si>
  <si>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</si>
  <si>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</si>
  <si>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</si>
  <si>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</si>
  <si>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</si>
  <si>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</si>
  <si>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</si>
  <si>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</si>
  <si>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</si>
  <si>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</si>
  <si>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</si>
  <si>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</si>
  <si>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</si>
  <si>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</si>
  <si>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</si>
  <si>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</si>
  <si>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</si>
  <si>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</si>
  <si>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</si>
  <si>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</si>
  <si>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</si>
  <si>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</si>
  <si>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</si>
  <si>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</si>
  <si>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</si>
  <si>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</si>
  <si>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</si>
  <si>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</si>
  <si>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</si>
  <si>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</si>
  <si>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</si>
  <si>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</si>
  <si>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</si>
  <si>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</si>
  <si>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</si>
  <si>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</si>
  <si>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</si>
  <si>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</si>
  <si>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</si>
  <si>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</si>
  <si>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</si>
  <si>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</si>
  <si>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</si>
  <si>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</si>
  <si>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</si>
  <si>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</si>
  <si>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</si>
  <si>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</si>
  <si>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</si>
  <si>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</si>
  <si>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</si>
  <si>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</si>
  <si>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</si>
  <si>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</si>
  <si>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</si>
  <si>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</si>
  <si>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</si>
  <si>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</si>
  <si>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</si>
  <si>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</si>
  <si>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</si>
  <si>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</si>
  <si>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</si>
  <si>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</si>
  <si>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</si>
  <si>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</si>
  <si>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</si>
  <si>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</si>
  <si>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</si>
  <si>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</si>
  <si>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</si>
  <si>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</si>
  <si>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</si>
  <si>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</si>
  <si>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</si>
  <si>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</si>
  <si>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</si>
  <si>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</si>
  <si>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</si>
  <si>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</si>
  <si>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</si>
  <si>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</si>
  <si>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</si>
  <si>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</si>
  <si>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</si>
  <si>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</si>
  <si>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</si>
  <si>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</si>
  <si>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</si>
  <si>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</si>
  <si>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</si>
  <si>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</si>
  <si>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</si>
  <si>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</si>
  <si>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</si>
  <si>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</si>
  <si>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</si>
  <si>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</si>
  <si>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</si>
  <si>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</si>
  <si>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</si>
  <si>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</si>
  <si>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</si>
  <si>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</si>
  <si>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</si>
  <si>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</si>
  <si>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</si>
  <si>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</si>
  <si>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</si>
  <si>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</si>
  <si>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</si>
  <si>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</si>
  <si>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</si>
  <si>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</si>
  <si>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</si>
  <si>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</si>
  <si>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</si>
  <si>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</si>
  <si>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</si>
  <si>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</si>
  <si>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</si>
  <si>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</si>
  <si>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</si>
  <si>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</si>
  <si>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</si>
  <si>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</si>
  <si>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</si>
  <si>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</si>
  <si>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</si>
  <si>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</si>
  <si>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</si>
  <si>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</si>
  <si>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</si>
  <si>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</si>
  <si>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</si>
  <si>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</si>
  <si>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</si>
  <si>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</si>
  <si>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</si>
  <si>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</si>
  <si>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</si>
  <si>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</si>
  <si>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</si>
  <si>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</si>
  <si>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</si>
  <si>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</si>
  <si>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</si>
  <si>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</si>
  <si>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</si>
  <si>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</si>
  <si>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</si>
  <si>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</si>
  <si>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</si>
  <si>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</si>
  <si>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</si>
  <si>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</si>
  <si>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</si>
  <si>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</si>
  <si>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</si>
  <si>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</si>
  <si>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</si>
  <si>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</si>
  <si>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</si>
  <si>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</si>
  <si>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</si>
  <si>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</si>
  <si>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</si>
  <si>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</si>
  <si>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</si>
  <si>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</si>
  <si>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</si>
  <si>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</si>
  <si>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</si>
  <si>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</si>
  <si>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</si>
  <si>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</si>
  <si>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</si>
  <si>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</si>
  <si>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</si>
  <si>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</si>
  <si>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</si>
  <si>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</si>
  <si>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</si>
  <si>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</si>
  <si>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</si>
  <si>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</si>
  <si>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</si>
  <si>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</si>
  <si>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</si>
  <si>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</si>
  <si>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</si>
  <si>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</si>
  <si>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</si>
  <si>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</si>
  <si>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</si>
  <si>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</si>
  <si>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</si>
  <si>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</si>
  <si>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</si>
  <si>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</si>
  <si>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</si>
  <si>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</si>
  <si>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</si>
  <si>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</si>
  <si>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</si>
  <si>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</si>
  <si>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</si>
  <si>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</si>
  <si>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</si>
  <si>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</si>
  <si>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</si>
  <si>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</si>
  <si>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</si>
  <si>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</si>
  <si>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</si>
  <si>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</si>
  <si>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</si>
  <si>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</si>
  <si>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</si>
  <si>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</si>
  <si>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</si>
  <si>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</si>
  <si>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</si>
  <si>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</si>
  <si>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</si>
  <si>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</si>
  <si>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</si>
  <si>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</si>
  <si>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</si>
  <si>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</si>
  <si>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</si>
  <si>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</si>
  <si>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</si>
  <si>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</si>
  <si>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</si>
  <si>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</si>
  <si>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</si>
  <si>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</si>
  <si>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</si>
  <si>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</si>
  <si>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</si>
  <si>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</si>
  <si>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</si>
  <si>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</si>
  <si>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</si>
  <si>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</si>
  <si>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</si>
  <si>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</si>
  <si>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</si>
  <si>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</si>
  <si>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</si>
  <si>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</si>
  <si>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</si>
  <si>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</si>
  <si>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</si>
  <si>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</si>
  <si>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</si>
  <si>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</si>
  <si>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</si>
  <si>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</si>
  <si>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</si>
  <si>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</si>
  <si>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</si>
  <si>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</si>
  <si>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</si>
  <si>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</si>
  <si>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</si>
  <si>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</si>
  <si>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</si>
  <si>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</si>
  <si>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</si>
  <si>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</si>
  <si>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</si>
  <si>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</si>
  <si>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</si>
  <si>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</si>
  <si>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</si>
  <si>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</si>
  <si>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</si>
  <si>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</si>
  <si>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</si>
  <si>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</si>
  <si>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</si>
  <si>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</si>
  <si>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</si>
  <si>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</si>
  <si>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</si>
  <si>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</si>
  <si>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</si>
  <si>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</si>
  <si>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</si>
  <si>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</si>
  <si>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</si>
  <si>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</si>
  <si>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</si>
  <si>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</si>
  <si>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</si>
  <si>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</si>
  <si>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</si>
  <si>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</si>
  <si>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</si>
  <si>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</si>
  <si>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</si>
  <si>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</si>
  <si>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</si>
  <si>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</si>
  <si>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</si>
  <si>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</si>
  <si>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</si>
  <si>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</si>
  <si>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</si>
  <si>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</si>
  <si>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</si>
  <si>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</si>
  <si>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</si>
  <si>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</si>
  <si>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</si>
  <si>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</si>
  <si>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</si>
  <si>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</si>
  <si>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</si>
  <si>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</si>
  <si>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</si>
  <si>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</si>
  <si>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</si>
  <si>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</si>
  <si>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</si>
  <si>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</si>
  <si>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</si>
  <si>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</si>
  <si>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</si>
  <si>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</si>
  <si>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</si>
  <si>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</si>
  <si>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</si>
  <si>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</si>
  <si>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</si>
  <si>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</si>
  <si>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</si>
  <si>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</si>
  <si>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</si>
  <si>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</si>
  <si>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</si>
  <si>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</si>
  <si>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</si>
  <si>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</si>
  <si>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</si>
  <si>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</si>
  <si>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</si>
  <si>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</si>
  <si>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</si>
  <si>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</si>
  <si>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</si>
  <si>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</si>
  <si>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</si>
  <si>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</si>
  <si>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</si>
  <si>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</si>
  <si>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</si>
  <si>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</si>
  <si>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</si>
  <si>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</si>
  <si>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</si>
  <si>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</si>
  <si>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</si>
  <si>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</si>
  <si>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</si>
  <si>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</si>
  <si>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</si>
  <si>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</si>
  <si>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</si>
  <si>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</si>
  <si>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</si>
  <si>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</si>
  <si>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</si>
  <si>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</si>
  <si>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</si>
  <si>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</si>
  <si>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</si>
  <si>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</si>
  <si>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</si>
  <si>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</si>
  <si>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</si>
  <si>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</si>
  <si>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</si>
  <si>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</si>
  <si>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</si>
  <si>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</si>
  <si>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</si>
  <si>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</si>
  <si>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</si>
  <si>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</si>
  <si>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</si>
  <si>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</si>
  <si>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</si>
  <si>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</si>
  <si>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</si>
  <si>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</si>
  <si>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</si>
  <si>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</si>
  <si>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</si>
  <si>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</si>
  <si>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</si>
  <si>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</si>
  <si>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</si>
  <si>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</si>
  <si>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</si>
  <si>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</si>
  <si>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</si>
  <si>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</si>
  <si>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</si>
  <si>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</si>
  <si>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</si>
  <si>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</si>
  <si>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</si>
  <si>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</si>
  <si>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</si>
  <si>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</si>
  <si>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</si>
  <si>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</si>
  <si>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</si>
  <si>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</si>
  <si>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</si>
  <si>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</si>
  <si>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</si>
  <si>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</si>
  <si>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</si>
  <si>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</si>
  <si>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</si>
  <si>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</si>
  <si>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</si>
  <si>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</si>
  <si>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</si>
  <si>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</si>
  <si>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</si>
  <si>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</si>
  <si>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</si>
  <si>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</si>
  <si>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</si>
  <si>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</si>
  <si>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</si>
  <si>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</si>
  <si>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</si>
  <si>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</si>
  <si>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</si>
  <si>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</si>
  <si>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</si>
  <si>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</si>
  <si>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</si>
  <si>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</si>
  <si>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</si>
  <si>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</si>
  <si>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</si>
  <si>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</si>
  <si>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</si>
  <si>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</si>
  <si>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</si>
  <si>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</si>
  <si>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</si>
  <si>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</si>
  <si>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</si>
  <si>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</si>
  <si>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</si>
  <si>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</si>
  <si>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</si>
  <si>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</si>
  <si>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</si>
  <si>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</si>
  <si>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</si>
  <si>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</si>
  <si>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</si>
  <si>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</si>
  <si>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</si>
  <si>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</si>
  <si>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</si>
  <si>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</si>
  <si>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</si>
  <si>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</si>
  <si>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</si>
  <si>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</si>
  <si>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</si>
  <si>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</si>
  <si>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</si>
  <si>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</si>
  <si>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</si>
  <si>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</si>
  <si>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</si>
  <si>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</si>
  <si>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</si>
  <si>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</si>
  <si>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</si>
  <si>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</si>
  <si>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</si>
  <si>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</si>
  <si>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</si>
  <si>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</si>
  <si>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</si>
  <si>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</si>
  <si>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</si>
  <si>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</si>
  <si>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</si>
  <si>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</si>
  <si>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</si>
  <si>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</si>
  <si>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</si>
  <si>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</si>
  <si>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</si>
  <si>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</si>
  <si>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</si>
  <si>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</si>
  <si>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</si>
  <si>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</si>
  <si>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</si>
  <si>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</si>
  <si>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</si>
  <si>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</si>
  <si>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</si>
  <si>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</si>
  <si>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</si>
  <si>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</si>
  <si>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</si>
  <si>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</si>
  <si>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</si>
  <si>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</si>
  <si>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</si>
  <si>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</si>
  <si>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</si>
  <si>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</si>
  <si>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</si>
  <si>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</si>
  <si>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</si>
  <si>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</si>
  <si>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</si>
  <si>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</si>
  <si>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</si>
  <si>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</si>
  <si>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</si>
  <si>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</si>
  <si>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</si>
  <si>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</si>
  <si>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</si>
  <si>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</si>
  <si>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</si>
  <si>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</si>
  <si>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</si>
  <si>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</si>
  <si>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</si>
  <si>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</si>
  <si>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</si>
  <si>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</si>
  <si>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</si>
  <si>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</si>
  <si>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</si>
  <si>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</si>
  <si>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</si>
  <si>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</si>
  <si>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</si>
  <si>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</si>
  <si>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</si>
  <si>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</si>
  <si>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</si>
  <si>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</si>
  <si>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</si>
  <si>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</si>
  <si>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</si>
  <si>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</si>
  <si>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</si>
  <si>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</si>
  <si>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</si>
  <si>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</si>
  <si>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</si>
  <si>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</si>
  <si>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</si>
  <si>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</si>
  <si>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</si>
  <si>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</si>
  <si>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</si>
  <si>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</si>
  <si>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</si>
  <si>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</si>
  <si>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</si>
  <si>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</si>
  <si>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</si>
  <si>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</si>
  <si>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</si>
  <si>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</si>
  <si>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</si>
  <si>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</si>
  <si>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</si>
  <si>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</si>
  <si>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</si>
  <si>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</si>
  <si>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</si>
  <si>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</si>
  <si>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</si>
  <si>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</si>
  <si>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</si>
  <si>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</si>
  <si>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</si>
  <si>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</si>
  <si>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</si>
  <si>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</si>
  <si>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</si>
  <si>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</si>
  <si>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</si>
  <si>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</si>
  <si>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</si>
  <si>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</si>
  <si>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</si>
  <si>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</si>
  <si>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</si>
  <si>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</si>
  <si>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</si>
  <si>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</si>
  <si>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</si>
  <si>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</si>
  <si>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</si>
  <si>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</si>
  <si>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</si>
  <si>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</si>
  <si>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</si>
  <si>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</si>
  <si>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</si>
  <si>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</si>
  <si>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</si>
  <si>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</si>
  <si>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</si>
  <si>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</si>
  <si>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</si>
  <si>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</si>
  <si>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</si>
  <si>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</si>
  <si>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</si>
  <si>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</si>
  <si>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</si>
  <si>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</si>
  <si>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</si>
  <si>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</si>
  <si>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</si>
  <si>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</si>
  <si>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</si>
  <si>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</si>
  <si>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</si>
  <si>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</si>
  <si>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</si>
  <si>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</si>
  <si>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</si>
  <si>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</si>
  <si>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</si>
  <si>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</si>
  <si>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</si>
  <si>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</si>
  <si>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</si>
  <si>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</si>
  <si>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</si>
  <si>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</si>
  <si>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</si>
  <si>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</si>
  <si>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</si>
  <si>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</si>
  <si>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</si>
  <si>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</si>
  <si>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</si>
  <si>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</si>
  <si>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</si>
  <si>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</si>
  <si>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</si>
  <si>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</si>
  <si>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</si>
  <si>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</si>
  <si>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</si>
  <si>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</si>
  <si>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</si>
  <si>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</si>
  <si>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</si>
  <si>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</si>
  <si>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</si>
  <si>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</si>
  <si>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</si>
  <si>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</si>
  <si>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</si>
  <si>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</si>
  <si>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</si>
  <si>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</si>
  <si>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</si>
  <si>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</si>
  <si>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</si>
  <si>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</si>
  <si>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</si>
  <si>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</si>
  <si>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</si>
  <si>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</si>
  <si>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</si>
  <si>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</si>
  <si>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</si>
  <si>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</si>
  <si>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</si>
  <si>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</si>
  <si>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</si>
  <si>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</si>
  <si>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</si>
  <si>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</si>
  <si>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</si>
  <si>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</si>
  <si>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</si>
  <si>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</si>
  <si>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</si>
  <si>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</si>
  <si>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</si>
  <si>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</si>
  <si>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</si>
  <si>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</si>
  <si>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</si>
  <si>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</si>
  <si>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</si>
  <si>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</si>
  <si>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</si>
  <si>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</si>
  <si>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</si>
  <si>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</si>
  <si>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</si>
  <si>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</si>
  <si>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</si>
  <si>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</si>
  <si>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</si>
  <si>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</si>
  <si>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</si>
  <si>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</si>
  <si>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</si>
  <si>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</si>
  <si>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</si>
  <si>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</si>
  <si>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</si>
  <si>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</si>
  <si>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</si>
  <si>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</si>
  <si>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</si>
  <si>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</si>
  <si>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</si>
  <si>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</si>
  <si>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</si>
  <si>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</si>
  <si>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</si>
  <si>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</si>
  <si>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</si>
  <si>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</si>
  <si>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</si>
  <si>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</si>
  <si>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</si>
  <si>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</si>
  <si>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</si>
  <si>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</si>
  <si>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</si>
  <si>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</si>
  <si>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</si>
  <si>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</si>
  <si>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</si>
  <si>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</si>
  <si>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</si>
  <si>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</si>
  <si>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</si>
  <si>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</si>
  <si>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</si>
  <si>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</si>
  <si>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</si>
  <si>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</si>
  <si>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</si>
  <si>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</si>
  <si>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</si>
  <si>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</si>
  <si>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</si>
  <si>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</si>
  <si>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</si>
  <si>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</si>
  <si>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</si>
  <si>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</si>
  <si>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</si>
  <si>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</si>
  <si>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</si>
  <si>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</si>
  <si>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</si>
  <si>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</si>
  <si>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</si>
  <si>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</si>
  <si>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</si>
  <si>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</si>
  <si>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</si>
  <si>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</si>
  <si>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</si>
  <si>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</si>
  <si>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</si>
  <si>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</si>
  <si>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</si>
  <si>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</si>
  <si>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</si>
  <si>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</si>
  <si>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</si>
  <si>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</si>
  <si>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</si>
  <si>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</si>
  <si>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</si>
  <si>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</si>
  <si>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</si>
  <si>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</si>
  <si>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</si>
  <si>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</si>
  <si>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</si>
  <si>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</si>
  <si>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</si>
  <si>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</si>
  <si>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</si>
  <si>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</si>
  <si>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</si>
  <si>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</si>
  <si>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</si>
  <si>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</si>
  <si>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</si>
  <si>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</si>
  <si>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</si>
  <si>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</si>
  <si>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</si>
  <si>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</si>
  <si>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</si>
  <si>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</si>
  <si>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</si>
  <si>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</si>
  <si>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</si>
  <si>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</si>
  <si>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</si>
  <si>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</si>
  <si>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</si>
  <si>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</si>
  <si>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</si>
  <si>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</si>
  <si>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</si>
  <si>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</si>
  <si>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</si>
  <si>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</si>
  <si>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</si>
  <si>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</si>
  <si>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</si>
  <si>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</si>
  <si>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</si>
  <si>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</si>
  <si>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</si>
  <si>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</si>
  <si>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</si>
  <si>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</si>
  <si>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</si>
  <si>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</si>
  <si>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</si>
  <si>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</si>
  <si>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</si>
  <si>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</si>
  <si>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</si>
  <si>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</si>
  <si>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</si>
  <si>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</si>
  <si>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</si>
  <si>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</si>
  <si>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</si>
  <si>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</si>
  <si>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</si>
  <si>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</si>
  <si>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</si>
  <si>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</si>
  <si>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</si>
  <si>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</si>
  <si>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</si>
  <si>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</si>
  <si>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</si>
  <si>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</si>
  <si>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</si>
  <si>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</si>
  <si>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</si>
  <si>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</si>
  <si>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</si>
  <si>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</si>
  <si>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</si>
  <si>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</si>
  <si>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</si>
  <si>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</si>
  <si>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</si>
  <si>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</si>
  <si>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</si>
  <si>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</si>
  <si>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</si>
  <si>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</si>
  <si>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</si>
  <si>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</si>
  <si>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</si>
  <si>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</si>
  <si>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</si>
  <si>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</si>
  <si>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</si>
  <si>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</si>
  <si>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</si>
  <si>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</si>
  <si>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</si>
  <si>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</si>
  <si>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</si>
  <si>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</si>
  <si>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</si>
  <si>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</si>
  <si>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</si>
  <si>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</si>
  <si>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</si>
  <si>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</si>
  <si>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</si>
  <si>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</si>
  <si>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</si>
  <si>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</si>
  <si>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</si>
  <si>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</si>
  <si>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</si>
  <si>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</si>
  <si>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</si>
  <si>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</si>
  <si>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</si>
  <si>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</si>
  <si>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</si>
  <si>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</si>
  <si>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</si>
  <si>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</si>
  <si>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</si>
  <si>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</si>
  <si>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</si>
  <si>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</si>
  <si>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</si>
  <si>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</si>
  <si>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</si>
  <si>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</si>
  <si>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</si>
  <si>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</si>
  <si>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</si>
  <si>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</si>
  <si>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</si>
  <si>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</si>
  <si>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</si>
  <si>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</si>
  <si>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</si>
  <si>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</si>
  <si>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</si>
  <si>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</si>
  <si>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</si>
  <si>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</si>
  <si>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</si>
  <si>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</si>
  <si>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</si>
  <si>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</si>
  <si>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</si>
  <si>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</si>
  <si>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</si>
  <si>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</si>
  <si>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</si>
  <si>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</si>
  <si>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</si>
  <si>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</si>
  <si>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</si>
  <si>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</si>
  <si>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</si>
  <si>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</si>
  <si>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</si>
  <si>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</si>
  <si>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</si>
  <si>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</si>
  <si>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</si>
  <si>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</si>
  <si>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</si>
  <si>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</si>
  <si>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</si>
  <si>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</si>
  <si>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</si>
  <si>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</si>
  <si>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</si>
  <si>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</si>
  <si>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</si>
  <si>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</si>
  <si>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</si>
  <si>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</si>
  <si>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</si>
  <si>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</si>
  <si>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</si>
  <si>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</si>
  <si>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</si>
  <si>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</si>
  <si>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</si>
  <si>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</si>
  <si>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</si>
  <si>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</si>
  <si>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</si>
  <si>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</si>
  <si>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</si>
  <si>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</si>
  <si>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</si>
  <si>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</si>
  <si>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</si>
  <si>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</si>
  <si>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</si>
  <si>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</si>
  <si>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</si>
  <si>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</si>
  <si>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</si>
  <si>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</si>
  <si>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</si>
  <si>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</si>
  <si>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</si>
  <si>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</si>
  <si>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</si>
  <si>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</si>
  <si>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</si>
  <si>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</si>
  <si>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</si>
  <si>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</si>
  <si>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</si>
  <si>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</si>
  <si>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</si>
  <si>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</si>
  <si>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</si>
  <si>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</si>
  <si>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</si>
  <si>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</si>
  <si>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</si>
  <si>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</si>
  <si>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</si>
  <si>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</si>
  <si>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</si>
  <si>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</si>
  <si>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</si>
  <si>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</si>
  <si>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</si>
  <si>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</si>
  <si>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</si>
  <si>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</si>
  <si>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</si>
  <si>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</si>
  <si>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</si>
  <si>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</si>
  <si>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</si>
  <si>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</si>
  <si>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</si>
  <si>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</si>
  <si>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</si>
  <si>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</si>
  <si>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</si>
  <si>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</si>
  <si>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</si>
  <si>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</si>
  <si>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</si>
  <si>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</si>
  <si>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</si>
  <si>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</si>
  <si>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</si>
  <si>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</si>
  <si>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</si>
  <si>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</si>
  <si>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</si>
  <si>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</si>
  <si>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</si>
  <si>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</si>
  <si>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</si>
  <si>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</si>
  <si>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</si>
  <si>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</si>
  <si>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</si>
  <si>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</si>
  <si>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</si>
  <si>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</si>
  <si>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</si>
  <si>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</si>
  <si>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</si>
  <si>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</si>
  <si>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</si>
  <si>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</si>
  <si>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</si>
  <si>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</si>
  <si>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</si>
  <si>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</si>
  <si>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</si>
  <si>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</si>
  <si>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</si>
  <si>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</si>
  <si>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</si>
  <si>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</si>
  <si>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</si>
  <si>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</si>
  <si>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</si>
  <si>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</si>
  <si>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</si>
  <si>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</si>
  <si>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</si>
  <si>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</si>
  <si>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</si>
  <si>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</si>
  <si>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</si>
  <si>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</si>
  <si>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</si>
  <si>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</si>
  <si>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</si>
  <si>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</si>
  <si>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</si>
  <si>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</si>
  <si>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</si>
  <si>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</si>
  <si>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</si>
  <si>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</si>
  <si>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</si>
  <si>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</si>
  <si>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</si>
  <si>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</si>
  <si>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</si>
  <si>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</si>
  <si>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</si>
  <si>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</si>
  <si>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</si>
  <si>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</si>
  <si>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</si>
  <si>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</si>
  <si>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</si>
  <si>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</si>
  <si>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</si>
  <si>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</si>
  <si>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</si>
  <si>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</si>
  <si>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</si>
  <si>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</si>
  <si>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</si>
  <si>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</si>
  <si>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</si>
  <si>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</si>
  <si>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</si>
  <si>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</si>
  <si>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</si>
  <si>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</si>
  <si>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</si>
  <si>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</si>
  <si>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</si>
  <si>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</si>
  <si>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</si>
  <si>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</si>
  <si>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</si>
  <si>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</si>
  <si>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</si>
  <si>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</si>
  <si>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</si>
  <si>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</si>
  <si>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</si>
  <si>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</si>
  <si>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</si>
  <si>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</si>
  <si>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</si>
  <si>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</si>
  <si>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</si>
  <si>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</si>
  <si>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</si>
  <si>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</si>
  <si>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</si>
  <si>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</si>
  <si>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</si>
  <si>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</si>
  <si>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</si>
  <si>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</si>
  <si>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</si>
  <si>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</si>
  <si>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</si>
  <si>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</si>
  <si>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</si>
  <si>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</si>
  <si>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</si>
  <si>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</si>
  <si>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</si>
  <si>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</si>
  <si>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</si>
  <si>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</si>
  <si>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</si>
  <si>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</si>
  <si>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</si>
  <si>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</si>
  <si>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</si>
  <si>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</si>
  <si>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</si>
  <si>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</si>
  <si>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</si>
  <si>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</si>
  <si>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</si>
  <si>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</si>
  <si>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</si>
  <si>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</si>
  <si>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</si>
  <si>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</si>
  <si>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</si>
  <si>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</si>
  <si>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</si>
  <si>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</si>
  <si>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</si>
  <si>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</si>
  <si>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</si>
  <si>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</si>
  <si>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</si>
  <si>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</si>
  <si>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</si>
  <si>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</si>
  <si>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</si>
  <si>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</si>
  <si>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</si>
  <si>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</si>
  <si>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</si>
  <si>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</si>
  <si>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</si>
  <si>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</si>
  <si>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</si>
  <si>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</si>
  <si>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</si>
  <si>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</si>
  <si>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</si>
  <si>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</si>
  <si>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</si>
  <si>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</si>
  <si>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</si>
  <si>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</si>
  <si>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</si>
  <si>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</si>
  <si>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</si>
  <si>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</si>
  <si>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</si>
  <si>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</si>
  <si>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</si>
  <si>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</si>
  <si>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</si>
  <si>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</si>
  <si>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</si>
  <si>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</si>
  <si>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</si>
  <si>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</si>
  <si>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</si>
  <si>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</si>
  <si>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</si>
  <si>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</si>
  <si>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</si>
  <si>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</si>
  <si>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</si>
  <si>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</si>
  <si>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</si>
  <si>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</si>
  <si>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</si>
  <si>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</si>
  <si>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</si>
  <si>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</si>
  <si>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</si>
  <si>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</si>
  <si>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</si>
  <si>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</si>
  <si>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</si>
  <si>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</si>
  <si>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</si>
  <si>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</si>
  <si>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</si>
  <si>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</si>
  <si>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</si>
  <si>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</si>
  <si>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</si>
  <si>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</si>
  <si>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</si>
  <si>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</si>
  <si>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</si>
  <si>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</si>
  <si>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</si>
  <si>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</si>
  <si>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</si>
  <si>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</si>
  <si>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</si>
  <si>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</si>
  <si>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</si>
  <si>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</si>
  <si>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</si>
  <si>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</si>
  <si>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</si>
  <si>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</si>
  <si>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</si>
  <si>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</si>
  <si>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</si>
  <si>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</si>
  <si>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</si>
  <si>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</si>
  <si>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</si>
  <si>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</si>
  <si>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</si>
  <si>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</si>
  <si>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</si>
  <si>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</si>
  <si>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</si>
  <si>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</si>
  <si>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</si>
  <si>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</si>
  <si>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</si>
  <si>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</si>
  <si>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</si>
  <si>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</si>
  <si>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</si>
  <si>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</si>
  <si>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</si>
  <si>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</si>
  <si>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</si>
  <si>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</si>
  <si>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</si>
  <si>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</si>
  <si>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</si>
  <si>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</si>
  <si>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</si>
  <si>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</si>
  <si>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</si>
  <si>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</si>
  <si>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</si>
  <si>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</si>
  <si>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</si>
  <si>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</si>
  <si>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</si>
  <si>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</si>
  <si>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</si>
  <si>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</si>
  <si>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</si>
  <si>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</si>
  <si>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</si>
  <si>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</si>
  <si>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</si>
  <si>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</si>
  <si>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</si>
  <si>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</si>
  <si>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</si>
  <si>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</si>
  <si>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</si>
  <si>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</si>
  <si>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</si>
  <si>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</si>
  <si>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</si>
  <si>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</si>
  <si>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</si>
  <si>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</si>
  <si>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</si>
  <si>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</si>
  <si>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</si>
  <si>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</si>
  <si>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</si>
  <si>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</si>
  <si>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</si>
  <si>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</si>
  <si>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</si>
  <si>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</si>
  <si>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</si>
  <si>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</si>
  <si>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</si>
  <si>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</si>
  <si>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</si>
  <si>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</si>
  <si>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</si>
  <si>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</si>
  <si>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</si>
  <si>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</si>
  <si>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</si>
  <si>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</si>
  <si>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</si>
  <si>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</si>
  <si>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</si>
  <si>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</si>
  <si>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</si>
  <si>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</si>
  <si>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</si>
  <si>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</si>
  <si>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</si>
  <si>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</si>
  <si>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</si>
  <si>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</si>
  <si>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</si>
  <si>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</si>
  <si>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</si>
  <si>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</si>
  <si>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</si>
  <si>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</si>
  <si>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</si>
  <si>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</si>
  <si>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</si>
  <si>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</si>
  <si>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</si>
  <si>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</si>
  <si>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</si>
  <si>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</si>
  <si>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</si>
  <si>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</si>
  <si>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</si>
  <si>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</si>
  <si>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</si>
  <si>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</si>
  <si>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</si>
  <si>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</si>
  <si>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</si>
  <si>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</si>
  <si>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</si>
  <si>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</si>
  <si>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</si>
  <si>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</si>
  <si>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</si>
  <si>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</si>
  <si>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</si>
  <si>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</si>
  <si>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</si>
  <si>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</si>
  <si>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</si>
  <si>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</si>
  <si>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</si>
  <si>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</si>
  <si>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</si>
  <si>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</si>
  <si>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</si>
  <si>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</si>
  <si>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</si>
  <si>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</si>
  <si>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</si>
  <si>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</si>
  <si>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</si>
  <si>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</si>
  <si>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</si>
  <si>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</si>
  <si>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</si>
  <si>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</si>
  <si>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</si>
  <si>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</si>
  <si>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</si>
  <si>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</si>
  <si>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</si>
  <si>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</si>
  <si>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</si>
  <si>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</si>
  <si>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</si>
  <si>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</si>
  <si>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</si>
  <si>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</si>
  <si>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</si>
  <si>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</si>
  <si>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</si>
  <si>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</si>
  <si>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</si>
  <si>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</si>
  <si>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</si>
  <si>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</si>
  <si>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</si>
  <si>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</si>
  <si>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</si>
  <si>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</si>
  <si>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</si>
  <si>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</si>
  <si>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</si>
  <si>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</si>
  <si>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</si>
  <si>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</si>
  <si>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</si>
  <si>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</si>
  <si>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</si>
  <si>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</si>
  <si>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</si>
  <si>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</si>
  <si>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</si>
  <si>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</si>
  <si>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</si>
  <si>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</si>
  <si>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</si>
  <si>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</si>
  <si>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</si>
  <si>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</si>
  <si>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</si>
  <si>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</si>
  <si>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</si>
  <si>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</si>
  <si>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</si>
  <si>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</si>
  <si>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</si>
  <si>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</si>
  <si>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</si>
  <si>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</si>
  <si>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</si>
  <si>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</si>
  <si>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</si>
  <si>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</si>
  <si>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</si>
  <si>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</si>
  <si>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</si>
  <si>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</si>
  <si>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</si>
  <si>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</si>
  <si>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</si>
  <si>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</si>
  <si>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</si>
  <si>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</si>
  <si>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</si>
  <si>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</si>
  <si>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</si>
  <si>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</si>
  <si>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</si>
  <si>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</si>
  <si>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</si>
  <si>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</si>
  <si>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</si>
  <si>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</si>
  <si>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</si>
  <si>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</si>
  <si>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</si>
  <si>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</si>
  <si>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</si>
  <si>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</si>
  <si>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</si>
  <si>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</si>
  <si>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</si>
  <si>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</si>
  <si>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</si>
  <si>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</si>
  <si>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</si>
  <si>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</si>
  <si>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</si>
  <si>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</si>
  <si>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</si>
  <si>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</si>
  <si>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</si>
  <si>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</si>
  <si>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</si>
  <si>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</si>
  <si>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</si>
  <si>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</si>
  <si>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</si>
  <si>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</si>
  <si>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</si>
  <si>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</si>
  <si>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</si>
  <si>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</si>
  <si>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</si>
  <si>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</si>
  <si>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</si>
  <si>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</si>
  <si>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</si>
  <si>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</si>
  <si>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</si>
  <si>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</si>
  <si>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</si>
  <si>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</si>
  <si>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</si>
  <si>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</si>
  <si>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</si>
  <si>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</si>
  <si>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</si>
  <si>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</si>
  <si>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</si>
  <si>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</si>
  <si>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</si>
  <si>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</si>
  <si>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</si>
  <si>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</si>
  <si>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</si>
  <si>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</si>
  <si>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</si>
  <si>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</si>
  <si>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</si>
  <si>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</si>
  <si>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</si>
  <si>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</si>
  <si>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</si>
  <si>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</si>
  <si>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</si>
  <si>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</si>
  <si>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</si>
  <si>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</si>
  <si>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</si>
  <si>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</si>
  <si>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</si>
  <si>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</si>
  <si>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</si>
  <si>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</si>
  <si>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</si>
  <si>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</si>
  <si>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</si>
  <si>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</si>
  <si>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</si>
  <si>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</si>
  <si>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</si>
  <si>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</si>
  <si>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</si>
  <si>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</si>
  <si>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</si>
  <si>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</si>
  <si>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</si>
  <si>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</si>
  <si>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</si>
  <si>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</si>
  <si>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</si>
  <si>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</si>
  <si>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</si>
  <si>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</si>
  <si>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</si>
  <si>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</si>
  <si>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</si>
  <si>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</si>
  <si>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</si>
  <si>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</si>
  <si>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</si>
  <si>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</si>
  <si>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</si>
  <si>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</si>
  <si>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</si>
  <si>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</si>
  <si>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</si>
  <si>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</si>
  <si>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</si>
  <si>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</si>
  <si>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</si>
  <si>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</si>
  <si>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</si>
  <si>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</si>
  <si>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</si>
  <si>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</si>
  <si>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</si>
  <si>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</si>
  <si>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</si>
  <si>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</si>
  <si>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</si>
  <si>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</si>
  <si>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</si>
  <si>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</si>
  <si>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</si>
  <si>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</si>
  <si>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</si>
  <si>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</si>
  <si>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</si>
  <si>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</si>
  <si>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</si>
  <si>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</si>
  <si>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</si>
  <si>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</si>
  <si>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</si>
  <si>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</si>
  <si>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</si>
  <si>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</si>
  <si>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</si>
  <si>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</si>
  <si>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</si>
  <si>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</si>
  <si>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</si>
  <si>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</si>
  <si>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</si>
  <si>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</si>
  <si>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</si>
  <si>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</si>
  <si>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</si>
  <si>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</si>
  <si>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</si>
  <si>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</si>
  <si>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</si>
  <si>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</si>
  <si>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</si>
  <si>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</si>
  <si>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</si>
  <si>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</si>
  <si>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</si>
  <si>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</si>
  <si>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</si>
  <si>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</si>
  <si>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</si>
  <si>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</si>
  <si>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</si>
  <si>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</si>
  <si>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</si>
  <si>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</si>
  <si>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</si>
  <si>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</si>
  <si>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</si>
  <si>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</si>
  <si>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</si>
  <si>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</si>
  <si>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</si>
  <si>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</si>
  <si>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</si>
  <si>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</si>
  <si>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</si>
  <si>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</si>
  <si>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</si>
  <si>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</si>
  <si>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</si>
  <si>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</si>
  <si>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</si>
  <si>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</si>
  <si>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</si>
  <si>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</si>
  <si>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</si>
  <si>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</si>
  <si>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</si>
  <si>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</si>
  <si>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</si>
  <si>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</si>
  <si>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</si>
  <si>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</si>
  <si>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</si>
  <si>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</si>
  <si>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</si>
  <si>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</si>
  <si>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</si>
  <si>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</si>
  <si>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</si>
  <si>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</si>
  <si>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</si>
  <si>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</si>
  <si>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</si>
  <si>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</si>
  <si>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</si>
  <si>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</si>
  <si>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</si>
  <si>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</si>
  <si>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</si>
  <si>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</si>
  <si>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</si>
  <si>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</si>
  <si>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</si>
  <si>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</si>
  <si>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</si>
  <si>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</si>
  <si>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</si>
  <si>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</si>
  <si>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</si>
  <si>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</si>
  <si>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</si>
  <si>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</si>
  <si>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</si>
  <si>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</si>
  <si>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</si>
  <si>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</si>
  <si>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</si>
  <si>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</si>
  <si>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</si>
  <si>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</si>
  <si>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</si>
  <si>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</si>
  <si>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</si>
  <si>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</si>
  <si>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</si>
  <si>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</si>
  <si>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</si>
  <si>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</si>
  <si>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</si>
  <si>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</si>
  <si>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</si>
  <si>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</si>
  <si>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</si>
  <si>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</si>
  <si>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</si>
  <si>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</si>
  <si>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</si>
  <si>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</si>
  <si>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</si>
  <si>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</si>
  <si>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</si>
  <si>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</si>
  <si>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</si>
  <si>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</si>
  <si>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</si>
  <si>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</si>
  <si>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</si>
  <si>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</si>
  <si>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</si>
  <si>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</si>
  <si>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</si>
  <si>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</si>
  <si>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</si>
  <si>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</si>
  <si>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</si>
  <si>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</si>
  <si>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</si>
  <si>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</si>
  <si>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</si>
  <si>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</si>
  <si>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</si>
  <si>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</si>
  <si>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</si>
  <si>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</si>
  <si>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</si>
  <si>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</si>
  <si>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</si>
  <si>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</si>
  <si>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</si>
  <si>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</si>
  <si>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</si>
  <si>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</si>
  <si>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</si>
  <si>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</si>
  <si>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</si>
  <si>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</si>
  <si>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</si>
  <si>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</si>
  <si>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</si>
  <si>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</si>
  <si>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</si>
  <si>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</si>
  <si>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</si>
  <si>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</si>
  <si>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</si>
  <si>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</si>
  <si>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</si>
  <si>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</si>
  <si>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</si>
  <si>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</si>
  <si>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</si>
  <si>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</si>
  <si>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</si>
  <si>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</si>
  <si>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</si>
  <si>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</si>
  <si>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</si>
  <si>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</si>
  <si>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</si>
  <si>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</si>
  <si>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</si>
  <si>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</si>
  <si>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</si>
  <si>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</si>
  <si>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</si>
  <si>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</si>
  <si>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</si>
  <si>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</si>
  <si>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</si>
  <si>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</si>
  <si>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</si>
  <si>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</si>
  <si>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</si>
  <si>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</si>
  <si>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</si>
  <si>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</si>
  <si>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</si>
  <si>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</si>
  <si>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</si>
  <si>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</si>
  <si>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</si>
  <si>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</si>
  <si>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</si>
  <si>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</si>
  <si>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</si>
  <si>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</si>
  <si>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</si>
  <si>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</si>
  <si>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</si>
  <si>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</si>
  <si>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</si>
  <si>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</si>
  <si>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</si>
  <si>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</si>
  <si>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</si>
  <si>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</si>
  <si>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</si>
  <si>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</si>
  <si>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</si>
  <si>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</si>
  <si>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</si>
  <si>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</si>
  <si>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</si>
  <si>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</si>
  <si>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</si>
  <si>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</si>
  <si>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</si>
  <si>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</si>
  <si>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</si>
  <si>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</si>
  <si>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</si>
  <si>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</si>
  <si>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</si>
  <si>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</si>
  <si>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</si>
  <si>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</si>
  <si>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</si>
  <si>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</si>
  <si>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</si>
  <si>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</si>
  <si>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</si>
  <si>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</si>
  <si>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</si>
  <si>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</si>
  <si>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</si>
  <si>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</si>
  <si>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</si>
  <si>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</si>
  <si>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</si>
  <si>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</si>
  <si>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</si>
  <si>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</si>
  <si>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</si>
  <si>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</si>
  <si>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</si>
  <si>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</si>
  <si>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</si>
  <si>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</si>
  <si>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</si>
  <si>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</si>
  <si>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</si>
  <si>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</si>
  <si>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</si>
  <si>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</si>
  <si>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</si>
  <si>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</si>
  <si>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</si>
  <si>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</si>
  <si>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</si>
  <si>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</si>
  <si>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</si>
  <si>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</si>
  <si>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</si>
  <si>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</si>
  <si>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</si>
  <si>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</si>
  <si>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</si>
  <si>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</si>
  <si>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</si>
  <si>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</si>
  <si>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</si>
  <si>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</si>
  <si>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</si>
  <si>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</si>
  <si>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</si>
  <si>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</si>
  <si>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</si>
  <si>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</si>
  <si>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</si>
  <si>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</si>
  <si>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</si>
  <si>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</si>
  <si>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</si>
  <si>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</si>
  <si>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</si>
  <si>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</si>
  <si>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</si>
  <si>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</si>
  <si>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</si>
  <si>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</si>
  <si>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</si>
  <si>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</si>
  <si>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</si>
  <si>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</si>
  <si>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</si>
  <si>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</si>
  <si>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</si>
  <si>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</si>
  <si>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</si>
  <si>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</si>
  <si>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</si>
  <si>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</si>
  <si>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</si>
  <si>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</si>
  <si>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</si>
  <si>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</si>
  <si>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</si>
  <si>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</si>
  <si>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</si>
  <si>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</si>
  <si>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</si>
  <si>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</si>
  <si>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</si>
  <si>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</si>
  <si>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</si>
  <si>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</si>
  <si>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</si>
  <si>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</si>
  <si>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</si>
  <si>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</si>
  <si>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</si>
  <si>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</si>
  <si>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</si>
  <si>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</si>
  <si>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</si>
  <si>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</si>
  <si>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</si>
  <si>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</si>
  <si>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</si>
  <si>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</si>
  <si>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</si>
  <si>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</si>
  <si>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</si>
  <si>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</si>
  <si>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</si>
  <si>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</si>
  <si>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</si>
  <si>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</si>
  <si>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</si>
  <si>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</si>
  <si>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</si>
  <si>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</si>
  <si>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</si>
  <si>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</si>
  <si>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</si>
  <si>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</si>
  <si>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</si>
  <si>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</si>
  <si>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</si>
  <si>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</si>
  <si>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</si>
  <si>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</si>
  <si>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</si>
  <si>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</si>
  <si>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</si>
  <si>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</si>
  <si>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</si>
  <si>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</si>
  <si>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</si>
  <si>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</si>
  <si>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</si>
  <si>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</si>
  <si>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</si>
  <si>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</si>
  <si>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</si>
  <si>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</si>
  <si>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</si>
  <si>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</si>
  <si>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</si>
  <si>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</si>
  <si>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</si>
  <si>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</si>
  <si>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</si>
  <si>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</si>
  <si>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</si>
  <si>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</si>
  <si>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</si>
  <si>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</si>
  <si>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</si>
  <si>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</si>
  <si>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</si>
  <si>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</si>
  <si>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</si>
  <si>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</si>
  <si>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</si>
  <si>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</si>
  <si>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</si>
  <si>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</si>
  <si>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</si>
  <si>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</si>
  <si>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</si>
  <si>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</si>
  <si>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</si>
  <si>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</si>
  <si>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</si>
  <si>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</si>
  <si>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</si>
  <si>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</si>
  <si>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</si>
  <si>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</si>
  <si>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</si>
  <si>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</si>
  <si>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</si>
  <si>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</si>
  <si>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</si>
  <si>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</si>
  <si>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</si>
  <si>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</si>
  <si>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</si>
  <si>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</si>
  <si>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</si>
  <si>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</si>
  <si>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</si>
  <si>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</si>
  <si>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</si>
  <si>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</si>
  <si>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</si>
  <si>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</si>
  <si>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</si>
  <si>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</si>
  <si>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</si>
  <si>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</si>
  <si>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</si>
  <si>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</si>
  <si>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</si>
  <si>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</si>
  <si>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</si>
  <si>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</si>
  <si>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</si>
  <si>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</si>
  <si>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</si>
  <si>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</si>
  <si>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</si>
  <si>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</si>
  <si>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</si>
  <si>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</si>
  <si>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</si>
  <si>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</si>
  <si>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</si>
  <si>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</si>
  <si>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</si>
  <si>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</si>
  <si>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</si>
  <si>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</si>
  <si>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</si>
  <si>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</si>
  <si>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</si>
  <si>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</si>
  <si>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</si>
  <si>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</si>
  <si>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</si>
  <si>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</si>
  <si>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</si>
  <si>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</si>
  <si>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</si>
  <si>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</si>
  <si>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</si>
  <si>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</si>
  <si>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</si>
  <si>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</si>
  <si>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</si>
  <si>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</si>
  <si>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</si>
  <si>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</si>
  <si>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</si>
  <si>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</si>
  <si>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</si>
  <si>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</si>
  <si>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</si>
  <si>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</si>
  <si>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</si>
  <si>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</si>
  <si>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</si>
  <si>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</si>
  <si>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</si>
  <si>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</si>
  <si>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</si>
  <si>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</si>
  <si>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</si>
  <si>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</si>
  <si>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</si>
  <si>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</si>
  <si>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</si>
  <si>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</si>
  <si>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</si>
  <si>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</si>
  <si>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</si>
  <si>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</si>
  <si>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</si>
  <si>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</si>
  <si>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</si>
  <si>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</si>
  <si>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</si>
  <si>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</si>
  <si>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</si>
  <si>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</si>
  <si>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</si>
  <si>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</si>
  <si>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</si>
  <si>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</si>
  <si>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</si>
  <si>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</si>
  <si>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</si>
  <si>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</si>
  <si>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</si>
  <si>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</si>
  <si>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</si>
  <si>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</si>
  <si>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</si>
  <si>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</si>
  <si>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</si>
  <si>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</si>
  <si>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</si>
  <si>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</si>
  <si>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</si>
  <si>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</si>
  <si>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</si>
  <si>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</si>
  <si>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</si>
  <si>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</si>
  <si>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</si>
  <si>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</si>
  <si>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</si>
  <si>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</si>
  <si>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</si>
  <si>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</si>
  <si>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</si>
  <si>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</si>
  <si>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</si>
  <si>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</si>
  <si>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</si>
  <si>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</si>
  <si>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</si>
  <si>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</si>
  <si>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</si>
  <si>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</si>
  <si>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</si>
  <si>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</si>
  <si>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</si>
  <si>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</si>
  <si>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</si>
  <si>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</si>
  <si>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</si>
  <si>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</si>
  <si>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</si>
  <si>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</si>
  <si>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</si>
  <si>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</si>
  <si>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</si>
  <si>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</si>
  <si>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</si>
  <si>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</si>
  <si>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</si>
  <si>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</si>
  <si>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</si>
  <si>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</si>
  <si>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</si>
  <si>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</si>
  <si>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</si>
  <si>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</si>
  <si>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</si>
  <si>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</si>
  <si>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</si>
  <si>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</si>
  <si>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</si>
  <si>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</si>
  <si>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</si>
  <si>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</si>
  <si>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</si>
  <si>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</si>
  <si>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</si>
  <si>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</si>
  <si>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</si>
  <si>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</si>
  <si>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</si>
  <si>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</si>
  <si>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</si>
  <si>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</si>
  <si>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</si>
  <si>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</si>
  <si>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</si>
  <si>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</si>
  <si>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</si>
  <si>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</si>
  <si>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</si>
  <si>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</si>
  <si>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</si>
  <si>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</si>
  <si>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</si>
  <si>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</si>
  <si>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</si>
  <si>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</si>
  <si>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</si>
  <si>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</si>
  <si>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</si>
  <si>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</si>
  <si>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</si>
  <si>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</si>
  <si>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</si>
  <si>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</si>
  <si>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</si>
  <si>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</si>
  <si>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</si>
  <si>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</si>
  <si>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</si>
  <si>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</si>
  <si>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</si>
  <si>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</si>
  <si>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</si>
  <si>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</si>
  <si>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</si>
  <si>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</si>
  <si>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</si>
  <si>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</si>
  <si>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</si>
  <si>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</si>
  <si>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</si>
  <si>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</si>
  <si>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</si>
  <si>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</si>
  <si>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</si>
  <si>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</si>
  <si>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</si>
  <si>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</si>
  <si>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</si>
  <si>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</si>
  <si>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</si>
  <si>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</si>
  <si>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</si>
  <si>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</si>
  <si>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</si>
  <si>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</si>
  <si>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</si>
  <si>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</si>
  <si>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</si>
  <si>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</si>
  <si>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</si>
  <si>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</si>
  <si>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</si>
  <si>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</si>
  <si>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</si>
  <si>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</si>
  <si>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</si>
  <si>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</si>
  <si>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</si>
  <si>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</si>
  <si>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</si>
  <si>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</si>
  <si>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</si>
  <si>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</si>
  <si>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</si>
  <si>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</si>
  <si>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</si>
  <si>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</si>
  <si>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</si>
  <si>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</si>
  <si>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</si>
  <si>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</si>
  <si>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</si>
  <si>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</si>
  <si>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</si>
  <si>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</si>
  <si>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</si>
  <si>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</si>
  <si>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</si>
  <si>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</si>
  <si>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</si>
  <si>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</si>
  <si>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</si>
  <si>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</si>
  <si>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</si>
  <si>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</si>
  <si>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</si>
  <si>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</si>
  <si>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</si>
  <si>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</si>
  <si>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</si>
  <si>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</si>
  <si>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</si>
  <si>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</si>
  <si>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</si>
  <si>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</si>
  <si>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</si>
  <si>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</si>
  <si>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</si>
  <si>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</si>
  <si>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</si>
  <si>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</si>
  <si>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</si>
  <si>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</si>
  <si>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</si>
  <si>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</si>
  <si>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</si>
  <si>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</si>
  <si>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</si>
  <si>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</si>
  <si>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</si>
  <si>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</si>
  <si>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</si>
  <si>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</si>
  <si>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</si>
  <si>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</si>
  <si>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</si>
  <si>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</si>
  <si>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</si>
  <si>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</si>
  <si>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</si>
  <si>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</si>
  <si>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</si>
  <si>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</si>
  <si>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</si>
  <si>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</si>
  <si>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</si>
  <si>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</si>
  <si>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</si>
  <si>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</si>
  <si>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</si>
  <si>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</si>
  <si>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</si>
  <si>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</si>
  <si>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</si>
  <si>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</si>
  <si>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</si>
  <si>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</si>
  <si>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</si>
  <si>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</si>
  <si>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</si>
  <si>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</si>
  <si>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</si>
  <si>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</si>
  <si>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</si>
  <si>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</si>
  <si>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</si>
  <si>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</si>
  <si>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</si>
  <si>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</si>
  <si>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</si>
  <si>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</si>
  <si>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</si>
  <si>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</si>
  <si>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</si>
  <si>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</si>
  <si>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</si>
  <si>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</si>
  <si>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</si>
  <si>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</si>
  <si>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</si>
  <si>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</si>
  <si>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</si>
  <si>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</si>
  <si>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</si>
  <si>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</si>
  <si>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</si>
  <si>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</si>
  <si>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</si>
  <si>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</si>
  <si>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</si>
  <si>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</si>
  <si>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</si>
  <si>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</si>
  <si>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</si>
  <si>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</si>
  <si>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</si>
  <si>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</si>
  <si>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</si>
  <si>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</si>
  <si>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</si>
  <si>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</si>
  <si>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</si>
  <si>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</si>
  <si>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</si>
  <si>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</si>
  <si>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</si>
  <si>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</si>
  <si>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</si>
  <si>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</si>
  <si>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</si>
  <si>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</si>
  <si>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</si>
  <si>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</si>
  <si>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</si>
  <si>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</si>
  <si>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</si>
  <si>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</si>
  <si>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</si>
  <si>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</si>
  <si>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</si>
  <si>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</si>
  <si>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</si>
  <si>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</si>
  <si>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</si>
  <si>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</si>
  <si>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</si>
  <si>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</si>
  <si>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</si>
  <si>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</si>
  <si>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</si>
  <si>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</si>
  <si>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</si>
  <si>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</si>
  <si>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</si>
  <si>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</si>
  <si>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</si>
  <si>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</si>
  <si>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</si>
  <si>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</si>
  <si>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</si>
  <si>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</si>
  <si>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</si>
  <si>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</si>
  <si>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</si>
  <si>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</si>
  <si>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</si>
  <si>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</si>
  <si>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</si>
  <si>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</si>
  <si>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</si>
  <si>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</si>
  <si>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</si>
  <si>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</si>
  <si>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</si>
  <si>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</si>
  <si>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</si>
  <si>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</si>
  <si>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</si>
  <si>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</si>
  <si>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</si>
  <si>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</si>
  <si>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</si>
  <si>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</si>
  <si>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</si>
  <si>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</si>
  <si>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</si>
  <si>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</si>
  <si>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</si>
  <si>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</si>
  <si>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</si>
  <si>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</si>
  <si>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</si>
  <si>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</si>
  <si>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</si>
  <si>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</si>
  <si>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</si>
  <si>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</si>
  <si>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</si>
  <si>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</si>
  <si>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</si>
  <si>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</si>
  <si>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</si>
  <si>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</si>
  <si>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</si>
  <si>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</si>
  <si>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</si>
  <si>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</si>
  <si>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</si>
  <si>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</si>
  <si>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</si>
  <si>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</si>
  <si>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</si>
  <si>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</si>
  <si>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</si>
  <si>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</si>
  <si>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</si>
  <si>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</si>
  <si>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</si>
  <si>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</si>
  <si>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</si>
  <si>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</si>
  <si>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</si>
  <si>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</si>
  <si>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</si>
  <si>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</si>
  <si>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</si>
  <si>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</si>
  <si>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</si>
  <si>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</si>
  <si>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</si>
  <si>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</si>
  <si>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</si>
  <si>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</si>
  <si>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</si>
  <si>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</si>
  <si>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</si>
  <si>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</si>
  <si>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</si>
  <si>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</si>
  <si>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</si>
  <si>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</si>
  <si>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</si>
  <si>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</si>
  <si>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</si>
  <si>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</si>
  <si>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</si>
  <si>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</si>
  <si>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</si>
  <si>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</si>
  <si>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</si>
  <si>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</si>
  <si>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</si>
  <si>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</si>
  <si>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</si>
  <si>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</si>
  <si>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</si>
  <si>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</si>
  <si>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</si>
  <si>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</si>
  <si>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</si>
  <si>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</si>
  <si>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</si>
  <si>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</si>
  <si>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</si>
  <si>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</si>
  <si>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</si>
  <si>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</si>
  <si>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</si>
  <si>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</si>
  <si>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</si>
  <si>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</si>
  <si>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</si>
  <si>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</si>
  <si>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</si>
  <si>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</si>
  <si>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</si>
  <si>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</si>
  <si>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</si>
  <si>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</si>
  <si>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</si>
  <si>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</si>
  <si>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</si>
  <si>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</si>
  <si>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</si>
  <si>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</si>
  <si>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</si>
  <si>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</si>
  <si>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</si>
  <si>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</si>
  <si>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</si>
  <si>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</si>
  <si>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</si>
  <si>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</si>
  <si>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</si>
  <si>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</si>
  <si>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</si>
  <si>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</si>
  <si>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</si>
  <si>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</si>
  <si>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</si>
  <si>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</si>
  <si>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</si>
  <si>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</si>
  <si>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</si>
  <si>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</si>
  <si>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</si>
  <si>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</si>
  <si>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</si>
  <si>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</si>
  <si>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</si>
  <si>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</si>
  <si>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</si>
  <si>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</si>
  <si>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</si>
  <si>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</si>
  <si>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</si>
  <si>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</si>
  <si>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</si>
  <si>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</si>
  <si>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</si>
  <si>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</si>
  <si>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</si>
  <si>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</si>
  <si>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</si>
  <si>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</si>
  <si>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</si>
  <si>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</si>
  <si>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</si>
  <si>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</si>
  <si>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</si>
  <si>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</si>
  <si>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</si>
  <si>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</si>
  <si>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</si>
  <si>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</si>
  <si>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</si>
  <si>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</si>
  <si>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</si>
  <si>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</si>
  <si>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</si>
  <si>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</si>
  <si>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</si>
  <si>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</si>
  <si>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</si>
  <si>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</si>
  <si>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</si>
  <si>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</si>
  <si>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</si>
  <si>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</si>
  <si>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</si>
  <si>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</si>
  <si>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</si>
  <si>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</si>
  <si>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</si>
  <si>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</si>
  <si>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</si>
  <si>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</si>
  <si>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</si>
  <si>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</si>
  <si>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</si>
  <si>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</si>
  <si>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</si>
  <si>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</si>
  <si>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</si>
  <si>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</si>
  <si>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</si>
  <si>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</si>
  <si>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</si>
  <si>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</si>
  <si>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</si>
  <si>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</si>
  <si>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</si>
  <si>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</si>
  <si>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</si>
  <si>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</si>
  <si>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</si>
  <si>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</si>
  <si>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</si>
  <si>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</si>
  <si>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</si>
  <si>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</si>
  <si>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</si>
  <si>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</si>
  <si>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</si>
  <si>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</si>
  <si>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</si>
  <si>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</si>
  <si>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</si>
  <si>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</si>
  <si>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</si>
  <si>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</si>
  <si>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</si>
  <si>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</si>
  <si>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</si>
  <si>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</si>
  <si>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</si>
  <si>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</si>
  <si>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</si>
  <si>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</si>
  <si>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</si>
  <si>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</si>
  <si>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</si>
  <si>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</si>
  <si>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</si>
  <si>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</si>
  <si>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</si>
  <si>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</si>
  <si>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</si>
  <si>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</si>
  <si>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</si>
  <si>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</si>
  <si>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</si>
  <si>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</si>
  <si>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</si>
  <si>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</si>
  <si>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</si>
  <si>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</si>
  <si>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</si>
  <si>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</si>
  <si>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</si>
  <si>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</si>
  <si>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</si>
  <si>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</si>
  <si>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</si>
  <si>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</si>
  <si>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</si>
  <si>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</si>
  <si>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</si>
  <si>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</si>
  <si>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</si>
  <si>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</si>
  <si>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</si>
  <si>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</si>
  <si>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</si>
  <si>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</si>
  <si>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</si>
  <si>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</si>
  <si>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</si>
  <si>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</si>
  <si>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</si>
  <si>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</si>
  <si>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</si>
  <si>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</si>
  <si>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</si>
  <si>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</si>
  <si>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</si>
  <si>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</si>
  <si>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</si>
  <si>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</si>
  <si>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</si>
  <si>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</si>
  <si>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</si>
  <si>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</si>
  <si>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</si>
  <si>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</si>
  <si>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</si>
  <si>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</si>
  <si>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</si>
  <si>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</si>
  <si>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</si>
  <si>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</si>
  <si>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</si>
  <si>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</si>
  <si>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</si>
  <si>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</si>
  <si>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</si>
  <si>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</si>
  <si>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</si>
  <si>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</si>
  <si>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</si>
  <si>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</si>
  <si>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</si>
  <si>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</si>
  <si>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</si>
  <si>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</si>
  <si>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</si>
  <si>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</si>
  <si>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</si>
  <si>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</si>
  <si>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</si>
  <si>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</si>
  <si>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</si>
  <si>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</si>
  <si>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</si>
  <si>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</si>
  <si>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</si>
  <si>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</si>
  <si>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</si>
  <si>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</si>
  <si>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</si>
  <si>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</si>
  <si>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</si>
  <si>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</si>
  <si>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</si>
  <si>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</si>
  <si>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</si>
  <si>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</si>
  <si>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</si>
  <si>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</si>
  <si>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</si>
  <si>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</si>
  <si>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</si>
  <si>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</si>
  <si>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</si>
  <si>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</si>
  <si>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</si>
  <si>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</si>
  <si>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</si>
  <si>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</si>
  <si>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</si>
  <si>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</si>
  <si>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</si>
  <si>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</si>
  <si>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</si>
  <si>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</si>
  <si>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</si>
  <si>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</si>
  <si>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</si>
  <si>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</si>
  <si>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</si>
  <si>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</si>
  <si>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</si>
  <si>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</si>
  <si>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</si>
  <si>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</si>
  <si>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</si>
  <si>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</si>
  <si>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</si>
  <si>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</si>
  <si>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</si>
  <si>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</si>
  <si>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</si>
  <si>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</si>
  <si>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</si>
  <si>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</si>
  <si>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</si>
  <si>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</si>
  <si>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</si>
  <si>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</si>
  <si>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</si>
  <si>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</si>
  <si>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</si>
  <si>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</si>
  <si>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</si>
  <si>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</si>
  <si>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</si>
  <si>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</si>
  <si>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</si>
  <si>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</si>
  <si>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</si>
  <si>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</si>
  <si>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</si>
  <si>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</si>
  <si>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</si>
  <si>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</si>
  <si>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</si>
  <si>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</si>
  <si>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</si>
  <si>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</si>
  <si>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</si>
  <si>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</si>
  <si>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</si>
  <si>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</si>
  <si>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</si>
  <si>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</si>
  <si>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</si>
  <si>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</si>
  <si>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</si>
  <si>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</si>
  <si>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</si>
  <si>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</si>
  <si>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</si>
  <si>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</si>
  <si>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</si>
  <si>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</si>
  <si>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</si>
  <si>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</si>
  <si>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</si>
  <si>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</si>
  <si>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</si>
  <si>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</si>
  <si>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</si>
  <si>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</si>
  <si>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</si>
  <si>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</si>
  <si>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</si>
  <si>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</si>
  <si>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</si>
  <si>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</si>
  <si>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</si>
  <si>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</si>
  <si>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</si>
  <si>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</si>
  <si>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</si>
  <si>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</si>
  <si>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</si>
  <si>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</si>
  <si>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</si>
  <si>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</si>
  <si>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</si>
  <si>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</si>
  <si>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</si>
  <si>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</si>
  <si>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</si>
  <si>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</si>
  <si>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</si>
  <si>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</si>
  <si>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</si>
  <si>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</si>
  <si>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</si>
  <si>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</si>
  <si>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</si>
  <si>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</si>
  <si>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</si>
  <si>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</si>
  <si>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</si>
  <si>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</si>
  <si>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</si>
  <si>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</si>
  <si>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</si>
  <si>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</si>
  <si>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</si>
  <si>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</si>
  <si>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</si>
  <si>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</si>
  <si>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</si>
  <si>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</si>
  <si>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</si>
  <si>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</si>
  <si>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</si>
  <si>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</si>
  <si>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</si>
  <si>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</si>
  <si>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</si>
  <si>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</si>
  <si>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</si>
  <si>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</si>
  <si>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</si>
  <si>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</si>
  <si>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</si>
  <si>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</si>
  <si>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</si>
  <si>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</si>
  <si>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</si>
  <si>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</si>
  <si>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</si>
  <si>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</si>
  <si>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</si>
  <si>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</si>
  <si>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</si>
  <si>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</si>
  <si>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</si>
  <si>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</si>
  <si>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</si>
  <si>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</si>
  <si>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</si>
  <si>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</si>
  <si>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</si>
  <si>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</si>
  <si>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</si>
  <si>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</si>
  <si>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</si>
  <si>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</si>
  <si>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</si>
  <si>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</si>
  <si>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</si>
  <si>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</si>
  <si>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</si>
  <si>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</si>
  <si>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</si>
  <si>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</si>
  <si>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</si>
  <si>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</si>
  <si>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</si>
  <si>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</si>
  <si>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</si>
  <si>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</si>
  <si>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</si>
  <si>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</si>
  <si>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</si>
  <si>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</si>
  <si>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</si>
  <si>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</si>
  <si>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</si>
  <si>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</si>
  <si>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</si>
  <si>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</si>
  <si>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</si>
  <si>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</si>
  <si>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</si>
  <si>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</si>
  <si>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</si>
  <si>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</si>
  <si>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</si>
  <si>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</si>
  <si>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</si>
  <si>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</si>
  <si>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</si>
  <si>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</si>
  <si>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</si>
  <si>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</si>
  <si>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</si>
  <si>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</si>
  <si>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</si>
  <si>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</si>
  <si>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</si>
  <si>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</si>
  <si>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</si>
  <si>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</si>
  <si>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</si>
  <si>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</si>
  <si>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</si>
  <si>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</si>
  <si>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</si>
  <si>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</si>
  <si>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</si>
  <si>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</si>
  <si>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</si>
  <si>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</si>
  <si>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</si>
  <si>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</si>
  <si>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</si>
  <si>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</si>
  <si>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</si>
  <si>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</si>
  <si>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</si>
  <si>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</si>
  <si>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</si>
  <si>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</si>
  <si>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</si>
  <si>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</si>
  <si>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</si>
  <si>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</si>
  <si>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</si>
  <si>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</si>
  <si>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</si>
  <si>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</si>
  <si>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</si>
  <si>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</si>
  <si>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</si>
  <si>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</si>
  <si>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</si>
  <si>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</si>
  <si>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</si>
  <si>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</si>
  <si>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</si>
  <si>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</si>
  <si>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</si>
  <si>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</si>
  <si>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</si>
  <si>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</si>
  <si>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</si>
  <si>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</si>
  <si>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</si>
  <si>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</si>
  <si>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</si>
  <si>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</si>
  <si>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</si>
  <si>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</si>
  <si>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</si>
  <si>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</si>
  <si>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</si>
  <si>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</si>
  <si>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</si>
  <si>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</si>
  <si>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</si>
  <si>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</si>
  <si>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</si>
  <si>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</si>
  <si>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</si>
  <si>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</si>
  <si>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</si>
  <si>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</si>
  <si>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</si>
  <si>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</si>
  <si>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</si>
  <si>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</si>
  <si>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</si>
  <si>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</si>
  <si>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</si>
  <si>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</si>
  <si>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</si>
  <si>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</si>
  <si>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</si>
  <si>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</si>
  <si>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</si>
  <si>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</si>
  <si>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</si>
  <si>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</si>
  <si>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</si>
  <si>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</si>
  <si>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</si>
  <si>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</si>
  <si>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</si>
  <si>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</si>
  <si>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</si>
  <si>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</si>
  <si>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</si>
  <si>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</si>
  <si>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</si>
  <si>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</si>
  <si>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</si>
  <si>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</si>
  <si>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</si>
  <si>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</si>
  <si>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</si>
  <si>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</si>
  <si>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</si>
  <si>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</si>
  <si>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</si>
  <si>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</si>
  <si>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</si>
  <si>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</si>
  <si>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</si>
  <si>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</si>
  <si>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</si>
  <si>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</si>
  <si>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</si>
  <si>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</si>
  <si>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</si>
  <si>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</si>
  <si>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</si>
  <si>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</si>
  <si>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</si>
  <si>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</si>
  <si>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</si>
  <si>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</si>
  <si>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</si>
  <si>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</si>
  <si>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</si>
  <si>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</si>
  <si>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</si>
  <si>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</si>
  <si>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</si>
  <si>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</si>
  <si>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</si>
  <si>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</si>
  <si>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</si>
  <si>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</si>
  <si>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</si>
  <si>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</si>
  <si>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</si>
  <si>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</si>
  <si>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</si>
  <si>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</si>
  <si>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</si>
  <si>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</si>
  <si>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</si>
  <si>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</si>
  <si>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</si>
  <si>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</si>
  <si>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</si>
  <si>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</si>
  <si>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</si>
  <si>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</si>
  <si>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</si>
  <si>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</si>
  <si>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</si>
  <si>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</si>
  <si>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</si>
  <si>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</si>
  <si>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</si>
  <si>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</si>
  <si>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</si>
  <si>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</si>
  <si>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</si>
  <si>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</si>
  <si>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</si>
  <si>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</si>
  <si>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</si>
  <si>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</si>
  <si>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</si>
  <si>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</si>
  <si>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</si>
  <si>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</si>
  <si>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</si>
  <si>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</si>
  <si>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</si>
  <si>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</si>
  <si>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</si>
  <si>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</si>
  <si>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</si>
  <si>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</si>
  <si>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</si>
  <si>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</si>
  <si>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</si>
  <si>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</si>
  <si>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</si>
  <si>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</si>
  <si>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</si>
  <si>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</si>
  <si>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</si>
  <si>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</si>
  <si>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</si>
  <si>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</si>
  <si>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</si>
  <si>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</si>
  <si>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</si>
  <si>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</si>
  <si>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</si>
  <si>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</si>
  <si>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</si>
  <si>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</si>
  <si>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</si>
  <si>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</si>
  <si>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</si>
  <si>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</si>
  <si>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</si>
  <si>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</si>
  <si>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</si>
  <si>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</si>
  <si>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</si>
  <si>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</si>
  <si>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</si>
  <si>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</si>
  <si>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</si>
  <si>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</si>
  <si>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</si>
  <si>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</si>
  <si>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</si>
  <si>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</si>
  <si>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</si>
  <si>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</si>
  <si>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</si>
  <si>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</si>
  <si>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</si>
  <si>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</si>
  <si>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</si>
  <si>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</si>
  <si>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</si>
  <si>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</si>
  <si>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</si>
  <si>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</si>
  <si>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</si>
  <si>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</si>
  <si>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</si>
  <si>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</si>
  <si>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</si>
  <si>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</si>
  <si>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</si>
  <si>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</si>
  <si>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</si>
  <si>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</si>
  <si>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</si>
  <si>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</si>
  <si>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</si>
  <si>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</si>
  <si>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</si>
  <si>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</si>
  <si>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</si>
  <si>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</si>
  <si>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</si>
  <si>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</si>
  <si>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</si>
  <si>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</si>
  <si>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</si>
  <si>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</si>
  <si>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</si>
  <si>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</si>
  <si>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</si>
  <si>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</si>
  <si>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</si>
  <si>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</si>
  <si>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</si>
  <si>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</si>
  <si>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</si>
  <si>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</si>
  <si>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</si>
  <si>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</si>
  <si>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</si>
  <si>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</si>
  <si>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</si>
  <si>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</si>
  <si>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</si>
  <si>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</si>
  <si>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</si>
  <si>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</si>
  <si>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</si>
  <si>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</si>
  <si>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</si>
  <si>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</si>
  <si>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</si>
  <si>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</si>
  <si>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</si>
  <si>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</si>
  <si>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</si>
  <si>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</si>
  <si>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</si>
  <si>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</si>
  <si>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</si>
  <si>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</si>
  <si>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</si>
  <si>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</si>
  <si>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</si>
  <si>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</si>
  <si>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</si>
  <si>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</si>
  <si>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</si>
  <si>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</si>
  <si>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</si>
  <si>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</si>
  <si>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</si>
  <si>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</si>
  <si>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</si>
  <si>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</si>
  <si>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</si>
  <si>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</si>
  <si>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</si>
  <si>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</si>
  <si>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</si>
  <si>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</si>
  <si>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</si>
  <si>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</si>
  <si>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</si>
  <si>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</si>
  <si>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</si>
  <si>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</si>
  <si>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</si>
  <si>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</si>
  <si>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</si>
  <si>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</si>
  <si>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</si>
  <si>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</si>
  <si>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</si>
  <si>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</si>
  <si>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</si>
  <si>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</si>
  <si>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</si>
  <si>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</si>
  <si>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</si>
  <si>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</si>
  <si>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</si>
  <si>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</si>
  <si>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</si>
  <si>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</si>
  <si>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</si>
  <si>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</si>
  <si>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</si>
  <si>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</si>
  <si>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</si>
  <si>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</si>
  <si>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</si>
  <si>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</si>
  <si>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</si>
  <si>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</si>
  <si>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</si>
  <si>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</si>
  <si>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</si>
  <si>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</si>
  <si>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</si>
  <si>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</si>
  <si>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</si>
  <si>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</si>
  <si>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</si>
  <si>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</si>
  <si>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</si>
  <si>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</si>
  <si>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</si>
  <si>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</si>
  <si>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</si>
  <si>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</si>
  <si>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</si>
  <si>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</si>
  <si>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</si>
  <si>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</si>
  <si>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</si>
  <si>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</si>
  <si>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</si>
  <si>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</si>
  <si>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</si>
  <si>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</si>
  <si>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</si>
  <si>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</si>
  <si>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</si>
  <si>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</si>
  <si>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</si>
  <si>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</si>
  <si>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</si>
  <si>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</si>
  <si>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</si>
  <si>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</si>
  <si>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</si>
  <si>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</si>
  <si>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</si>
  <si>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</si>
  <si>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</si>
  <si>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</si>
  <si>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</si>
  <si>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</si>
  <si>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</si>
  <si>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</si>
  <si>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</si>
  <si>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</si>
  <si>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</si>
  <si>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</si>
  <si>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</si>
  <si>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</si>
  <si>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</si>
  <si>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</si>
  <si>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</si>
  <si>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</si>
  <si>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</si>
  <si>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</si>
  <si>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</si>
  <si>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</si>
  <si>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</si>
  <si>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</si>
  <si>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</si>
  <si>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</si>
  <si>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</si>
  <si>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</si>
  <si>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</si>
  <si>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</si>
  <si>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</si>
  <si>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</si>
  <si>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</si>
  <si>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</si>
  <si>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</si>
  <si>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</si>
  <si>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</si>
  <si>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</si>
  <si>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</si>
  <si>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</si>
  <si>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</si>
  <si>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</si>
  <si>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</si>
  <si>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</si>
  <si>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</si>
  <si>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</si>
  <si>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</si>
  <si>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</si>
  <si>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</si>
  <si>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</si>
  <si>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</si>
  <si>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</si>
  <si>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</si>
  <si>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</si>
  <si>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</si>
  <si>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</si>
  <si>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</si>
  <si>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</si>
  <si>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</si>
  <si>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</si>
  <si>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</si>
  <si>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</si>
  <si>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</si>
  <si>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</si>
  <si>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</si>
  <si>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</si>
  <si>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</si>
  <si>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</si>
  <si>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</si>
  <si>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</si>
  <si>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</si>
  <si>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</si>
  <si>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</si>
  <si>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</si>
  <si>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</si>
  <si>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</si>
  <si>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</si>
  <si>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</si>
  <si>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</si>
  <si>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</si>
  <si>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</si>
  <si>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</si>
  <si>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</si>
  <si>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</si>
  <si>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</si>
  <si>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</si>
  <si>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</si>
  <si>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</si>
  <si>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</si>
  <si>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</si>
  <si>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</si>
  <si>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</si>
  <si>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</si>
  <si>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</si>
  <si>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</si>
  <si>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</si>
  <si>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</si>
  <si>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</si>
  <si>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</si>
  <si>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</si>
  <si>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</si>
  <si>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</si>
  <si>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</si>
  <si>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</si>
  <si>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</si>
  <si>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</si>
  <si>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</si>
  <si>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</si>
  <si>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</si>
  <si>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</si>
  <si>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</si>
  <si>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</si>
  <si>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</si>
  <si>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</si>
  <si>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</si>
  <si>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</si>
  <si>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</si>
  <si>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</si>
  <si>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</si>
  <si>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</si>
  <si>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</si>
  <si>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</si>
  <si>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</si>
  <si>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</si>
  <si>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</si>
  <si>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</si>
  <si>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</si>
  <si>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</si>
  <si>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</si>
  <si>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</si>
  <si>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</si>
  <si>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</si>
  <si>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</si>
  <si>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</si>
  <si>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</si>
  <si>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</si>
  <si>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</si>
  <si>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</si>
  <si>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</si>
  <si>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</si>
  <si>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</si>
  <si>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</si>
  <si>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</si>
  <si>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</si>
  <si>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</si>
  <si>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</si>
  <si>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</si>
  <si>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</si>
  <si>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</si>
  <si>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</si>
  <si>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</si>
  <si>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</si>
  <si>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</si>
  <si>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</si>
  <si>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</si>
  <si>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</si>
  <si>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</si>
  <si>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</si>
  <si>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</si>
  <si>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</si>
  <si>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</si>
  <si>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</si>
  <si>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</si>
  <si>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</si>
  <si>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</si>
  <si>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</si>
  <si>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</si>
  <si>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</si>
  <si>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</si>
  <si>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</si>
  <si>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</si>
  <si>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</si>
  <si>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</si>
  <si>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</si>
  <si>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</si>
  <si>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</si>
  <si>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</si>
  <si>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</si>
  <si>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</si>
  <si>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</si>
  <si>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</si>
  <si>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</si>
  <si>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</si>
  <si>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</si>
  <si>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</si>
  <si>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</si>
  <si>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</si>
  <si>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</si>
  <si>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</si>
  <si>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</si>
  <si>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</si>
  <si>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</si>
  <si>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</si>
  <si>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</si>
  <si>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</si>
  <si>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</si>
  <si>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</si>
  <si>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</si>
  <si>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</si>
  <si>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</si>
  <si>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</si>
  <si>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</si>
  <si>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</si>
  <si>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</si>
  <si>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</si>
  <si>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</si>
  <si>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</si>
  <si>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</si>
  <si>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</si>
  <si>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</si>
  <si>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</si>
  <si>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</si>
  <si>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</si>
  <si>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</si>
  <si>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</si>
  <si>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</si>
  <si>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</si>
  <si>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</si>
  <si>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</si>
  <si>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</si>
  <si>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</si>
  <si>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</si>
  <si>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</si>
  <si>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</si>
  <si>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</si>
  <si>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</si>
  <si>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</si>
  <si>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</si>
  <si>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</si>
  <si>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</si>
  <si>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</si>
  <si>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</si>
  <si>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</si>
  <si>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</si>
  <si>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</si>
  <si>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</si>
  <si>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</si>
  <si>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</si>
  <si>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</si>
  <si>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</si>
  <si>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</si>
  <si>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</si>
  <si>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</si>
  <si>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</si>
  <si>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</si>
  <si>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</si>
  <si>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</si>
  <si>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</si>
  <si>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</si>
  <si>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</si>
  <si>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</si>
  <si>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</si>
  <si>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</si>
  <si>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</si>
  <si>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</si>
  <si>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</si>
  <si>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</si>
  <si>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</si>
  <si>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</si>
  <si>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</si>
  <si>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</si>
  <si>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</si>
  <si>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</si>
  <si>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</si>
  <si>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</si>
  <si>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</si>
  <si>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</si>
  <si>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</si>
  <si>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</si>
  <si>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</si>
  <si>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</si>
  <si>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</si>
  <si>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</si>
  <si>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</si>
  <si>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</si>
  <si>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</si>
  <si>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</si>
  <si>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</si>
  <si>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</si>
  <si>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</si>
  <si>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</si>
  <si>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</si>
  <si>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</si>
  <si>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</si>
  <si>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</si>
  <si>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</si>
  <si>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</si>
  <si>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</si>
  <si>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</si>
  <si>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</si>
  <si>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</si>
  <si>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</si>
  <si>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</si>
  <si>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</si>
  <si>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</si>
  <si>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</si>
  <si>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</si>
  <si>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</si>
  <si>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</si>
  <si>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</si>
  <si>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</si>
  <si>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</si>
  <si>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</si>
  <si>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</si>
  <si>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</si>
  <si>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</si>
  <si>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</si>
  <si>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</si>
  <si>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</si>
  <si>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</si>
  <si>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</si>
  <si>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</si>
  <si>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</si>
  <si>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</si>
  <si>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</si>
  <si>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</si>
  <si>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</si>
  <si>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</si>
  <si>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</si>
  <si>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</si>
  <si>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</si>
  <si>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</si>
  <si>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</si>
  <si>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</si>
  <si>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</si>
  <si>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</si>
  <si>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</si>
  <si>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</si>
  <si>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</si>
  <si>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</si>
  <si>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</si>
  <si>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</si>
  <si>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</si>
  <si>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</si>
  <si>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</si>
  <si>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</si>
  <si>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</si>
  <si>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</si>
  <si>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</si>
  <si>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</si>
  <si>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</si>
  <si>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</si>
  <si>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</si>
  <si>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</si>
  <si>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</si>
  <si>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</si>
  <si>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</si>
  <si>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</si>
  <si>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</si>
  <si>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</si>
  <si>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</si>
  <si>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</si>
  <si>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</si>
  <si>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</si>
  <si>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</si>
  <si>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</si>
  <si>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</si>
  <si>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</si>
  <si>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</si>
  <si>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</si>
  <si>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</si>
  <si>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</si>
  <si>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</si>
  <si>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</si>
  <si>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</si>
  <si>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</si>
  <si>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</si>
  <si>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</si>
  <si>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</si>
  <si>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</si>
  <si>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</si>
  <si>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</si>
  <si>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</si>
  <si>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</si>
  <si>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</si>
  <si>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</si>
  <si>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</si>
  <si>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</si>
  <si>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</si>
  <si>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</si>
  <si>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</si>
  <si>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</si>
  <si>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</si>
  <si>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</si>
  <si>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</si>
  <si>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</si>
  <si>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</si>
  <si>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</si>
  <si>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</si>
  <si>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</si>
  <si>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</si>
  <si>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</si>
  <si>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</si>
  <si>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</si>
  <si>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</si>
  <si>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</si>
  <si>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</si>
  <si>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</si>
  <si>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</si>
  <si>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</si>
  <si>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</si>
  <si>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</si>
  <si>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</si>
  <si>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</si>
  <si>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</si>
  <si>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</si>
  <si>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</si>
  <si>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</si>
  <si>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</si>
  <si>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</si>
  <si>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</si>
  <si>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</si>
  <si>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</si>
  <si>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</si>
  <si>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</si>
  <si>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</si>
  <si>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</si>
  <si>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</si>
  <si>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</si>
  <si>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</si>
  <si>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</si>
  <si>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</si>
  <si>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</si>
  <si>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</si>
  <si>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</si>
  <si>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</si>
  <si>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</si>
  <si>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</si>
  <si>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</si>
  <si>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</si>
  <si>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</si>
  <si>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</si>
  <si>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</si>
  <si>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</si>
  <si>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</si>
  <si>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</si>
  <si>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</si>
  <si>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</si>
  <si>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</si>
  <si>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</si>
  <si>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</si>
  <si>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</si>
  <si>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</si>
  <si>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</si>
  <si>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</si>
  <si>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</si>
  <si>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</si>
  <si>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</si>
  <si>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</si>
  <si>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</si>
  <si>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</si>
  <si>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</si>
  <si>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</si>
  <si>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</si>
  <si>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</si>
  <si>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</si>
  <si>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</si>
  <si>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</si>
  <si>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</si>
  <si>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</si>
  <si>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</si>
  <si>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</si>
  <si>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</si>
  <si>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</si>
  <si>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</si>
  <si>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</si>
  <si>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</si>
  <si>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</si>
  <si>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</si>
  <si>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</si>
  <si>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</si>
  <si>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</si>
  <si>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</si>
  <si>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</si>
  <si>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</si>
  <si>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</si>
  <si>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</si>
  <si>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</si>
  <si>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</si>
  <si>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</si>
  <si>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</si>
  <si>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</si>
  <si>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</si>
  <si>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</si>
  <si>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</si>
  <si>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</si>
  <si>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</si>
  <si>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</si>
  <si>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</si>
  <si>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</si>
  <si>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</si>
  <si>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</si>
  <si>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</si>
  <si>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</si>
  <si>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</si>
  <si>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</si>
  <si>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</si>
  <si>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</si>
  <si>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</si>
  <si>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</si>
  <si>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</si>
  <si>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</si>
  <si>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</si>
  <si>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</si>
  <si>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</si>
  <si>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</si>
  <si>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</si>
  <si>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</si>
  <si>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</si>
  <si>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</si>
  <si>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</si>
  <si>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</si>
  <si>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</si>
  <si>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</si>
  <si>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</si>
  <si>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</si>
  <si>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</si>
  <si>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</si>
  <si>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</si>
  <si>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</si>
  <si>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</si>
  <si>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</si>
  <si>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</si>
  <si>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</si>
  <si>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</si>
  <si>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</si>
  <si>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</si>
  <si>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</si>
  <si>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</si>
  <si>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</si>
  <si>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</si>
  <si>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</si>
  <si>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</si>
  <si>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</si>
  <si>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</si>
  <si>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</si>
  <si>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</si>
  <si>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</si>
  <si>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</si>
  <si>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</si>
  <si>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</si>
  <si>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</si>
  <si>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</si>
  <si>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</si>
  <si>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</si>
  <si>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</si>
  <si>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</si>
  <si>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</si>
  <si>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</si>
  <si>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</si>
  <si>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</si>
  <si>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</si>
  <si>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</si>
  <si>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</si>
  <si>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</si>
  <si>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</si>
  <si>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</si>
  <si>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</si>
  <si>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</si>
  <si>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</si>
  <si>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</si>
  <si>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</si>
  <si>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</si>
  <si>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</si>
  <si>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</si>
  <si>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</si>
  <si>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</si>
  <si>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</si>
  <si>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</si>
  <si>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</si>
  <si>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</si>
  <si>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</si>
  <si>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</si>
  <si>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</si>
  <si>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</si>
  <si>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</si>
  <si>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</si>
  <si>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</si>
  <si>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</si>
  <si>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</si>
  <si>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</si>
  <si>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</si>
  <si>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</si>
  <si>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</si>
  <si>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</si>
  <si>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</si>
  <si>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</si>
  <si>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</si>
  <si>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</si>
  <si>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</si>
  <si>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</si>
  <si>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</si>
  <si>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</si>
  <si>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</si>
  <si>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</si>
  <si>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</si>
  <si>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</si>
  <si>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</si>
  <si>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</si>
  <si>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</si>
  <si>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</si>
  <si>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</si>
  <si>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</si>
  <si>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</si>
  <si>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</si>
  <si>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</si>
  <si>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</si>
  <si>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</si>
  <si>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</si>
  <si>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</si>
  <si>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</si>
  <si>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</si>
  <si>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</si>
  <si>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</si>
  <si>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</si>
  <si>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</si>
  <si>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</si>
  <si>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</si>
  <si>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</si>
  <si>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</si>
  <si>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</si>
  <si>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</si>
  <si>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</si>
  <si>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</si>
  <si>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</si>
  <si>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</si>
  <si>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</si>
  <si>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</si>
  <si>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</si>
  <si>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</si>
  <si>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</si>
  <si>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</si>
  <si>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</si>
  <si>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</si>
  <si>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</si>
  <si>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</si>
  <si>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</si>
  <si>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</si>
  <si>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</si>
  <si>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</si>
  <si>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</si>
  <si>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</si>
  <si>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</si>
  <si>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</si>
  <si>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</si>
  <si>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</si>
  <si>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</si>
  <si>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</si>
  <si>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</si>
  <si>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</si>
  <si>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</si>
  <si>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</si>
  <si>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</si>
  <si>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</si>
  <si>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</si>
  <si>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</si>
  <si>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</si>
  <si>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</si>
  <si>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</si>
  <si>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</si>
  <si>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</si>
  <si>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</si>
  <si>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</si>
  <si>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</si>
  <si>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</si>
  <si>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</si>
  <si>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</si>
  <si>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</si>
  <si>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</si>
  <si>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</si>
  <si>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</si>
  <si>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</si>
  <si>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</si>
  <si>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</si>
  <si>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</si>
  <si>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</si>
  <si>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</si>
  <si>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</si>
  <si>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</si>
  <si>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</si>
  <si>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</si>
  <si>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</si>
  <si>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</si>
  <si>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</si>
  <si>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</si>
  <si>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</si>
  <si>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</si>
  <si>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</si>
  <si>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</si>
  <si>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</si>
  <si>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</si>
  <si>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</si>
  <si>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</si>
  <si>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</si>
  <si>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</si>
  <si>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</si>
  <si>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</si>
  <si>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</si>
  <si>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</si>
  <si>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</si>
  <si>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</si>
  <si>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</si>
  <si>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</si>
  <si>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</si>
  <si>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</si>
  <si>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</si>
  <si>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</si>
  <si>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</si>
  <si>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</si>
  <si>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</si>
  <si>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</si>
  <si>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</si>
  <si>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</si>
  <si>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</si>
  <si>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</si>
  <si>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</si>
  <si>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</si>
  <si>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</si>
  <si>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</si>
  <si>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</si>
  <si>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</si>
  <si>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</si>
  <si>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</si>
  <si>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</si>
  <si>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</si>
  <si>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</si>
  <si>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</si>
  <si>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</si>
  <si>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</si>
  <si>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</si>
  <si>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</si>
  <si>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</si>
  <si>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</si>
  <si>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</si>
  <si>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</si>
  <si>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</si>
  <si>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</si>
  <si>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</si>
  <si>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</si>
  <si>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</si>
  <si>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</si>
  <si>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</si>
  <si>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</si>
  <si>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</si>
  <si>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</si>
  <si>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</si>
  <si>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</si>
  <si>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</si>
  <si>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</si>
  <si>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</si>
  <si>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</si>
  <si>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</si>
  <si>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</si>
  <si>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</si>
  <si>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</si>
  <si>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</si>
  <si>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</si>
  <si>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</si>
  <si>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</si>
  <si>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</si>
  <si>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</si>
  <si>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</si>
  <si>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</si>
  <si>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</si>
  <si>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</si>
  <si>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</si>
  <si>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</si>
  <si>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</si>
  <si>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</si>
  <si>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</si>
  <si>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</si>
  <si>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</si>
  <si>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</si>
  <si>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</si>
  <si>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</si>
  <si>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</si>
  <si>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</si>
  <si>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</si>
  <si>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</si>
  <si>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</si>
  <si>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</si>
  <si>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</si>
  <si>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</si>
  <si>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</si>
  <si>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</si>
  <si>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</si>
  <si>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</si>
  <si>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</si>
  <si>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</si>
  <si>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</si>
  <si>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</si>
  <si>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</si>
  <si>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</si>
  <si>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</si>
  <si>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</si>
  <si>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</si>
  <si>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</si>
  <si>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</si>
  <si>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</si>
  <si>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</si>
  <si>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</si>
  <si>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</si>
  <si>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</si>
  <si>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</si>
  <si>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</si>
  <si>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</si>
  <si>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</si>
  <si>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</si>
  <si>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</si>
  <si>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</si>
  <si>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</si>
  <si>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</si>
  <si>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</si>
  <si>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</si>
  <si>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</si>
  <si>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</si>
  <si>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</si>
  <si>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</si>
  <si>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</si>
  <si>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</si>
  <si>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</si>
  <si>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</si>
  <si>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</si>
  <si>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</si>
  <si>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</si>
  <si>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</si>
  <si>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</si>
  <si>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</si>
  <si>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</si>
  <si>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</si>
  <si>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Coste +</t>
  </si>
  <si>
    <t>Puede Sost</t>
  </si>
  <si>
    <t>Reducción de Ki</t>
  </si>
  <si>
    <t>Cuidado con estas fórmulas: Nivel, costes. Las referencias están a mano para cada efecto y no son arrastrables</t>
  </si>
  <si>
    <t>Opciones de los efectos</t>
  </si>
  <si>
    <t>Coste Ki total (array):</t>
  </si>
  <si>
    <t>En Atadura elem.</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</si>
  <si>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</si>
  <si>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</si>
  <si>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</si>
  <si>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</si>
  <si>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</si>
  <si>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</si>
  <si>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</si>
  <si>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</si>
  <si>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</si>
  <si>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</si>
  <si>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</si>
  <si>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Más de un efecto primario</t>
  </si>
  <si>
    <t>Ef1</t>
  </si>
  <si>
    <t>Ef2</t>
  </si>
  <si>
    <t>Ef3</t>
  </si>
  <si>
    <t>Ef4</t>
  </si>
  <si>
    <t>Ef5</t>
  </si>
  <si>
    <t>Nv. Técnica</t>
  </si>
  <si>
    <t>Legado</t>
  </si>
  <si>
    <t>Reducción CM Legado</t>
  </si>
  <si>
    <t>Elemento 1</t>
  </si>
  <si>
    <t>Elemento 2</t>
  </si>
  <si>
    <t>Elemento 3</t>
  </si>
  <si>
    <t>Todos elementos</t>
  </si>
  <si>
    <t>Fuego, Oscuridad</t>
  </si>
  <si>
    <t>Coste + Stats</t>
  </si>
  <si>
    <t>Coste + Estados</t>
  </si>
  <si>
    <t>Error en sostenidos</t>
  </si>
  <si>
    <t>En Atadura elem (array)</t>
  </si>
  <si>
    <t>Mantenido + Sostenido</t>
  </si>
  <si>
    <t>Max. Red. Ki</t>
  </si>
  <si>
    <t>Varios Primarios</t>
  </si>
  <si>
    <t>Más de 1 primario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</si>
</sst>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2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9" fillId="16" borderId="0" xfId="12" applyFont="1" applyFill="1" applyAlignment="1">
      <alignment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9" fillId="24" borderId="666" xfId="12" applyFont="1" applyFill="1" applyBorder="1" applyAlignment="1">
      <alignment horizontal="right" vertical="center"/>
    </xf>
    <xf numFmtId="0" fontId="9" fillId="24" borderId="667" xfId="12" applyFont="1" applyFill="1" applyBorder="1" applyAlignment="1">
      <alignment horizontal="righ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9" fillId="0" borderId="0" xfId="12" applyFont="1" applyFill="1" applyBorder="1" applyAlignment="1">
      <alignment horizontal="left" vertical="center"/>
    </xf>
    <xf numFmtId="0" fontId="58" fillId="8" borderId="90" xfId="0" applyFont="1" applyFill="1" applyBorder="1" applyAlignment="1">
      <alignment horizontal="left" vertical="center"/>
    </xf>
    <xf numFmtId="0" fontId="9" fillId="16" borderId="95" xfId="12" applyFont="1" applyFill="1" applyBorder="1" applyAlignment="1">
      <alignment horizontal="left" vertical="center"/>
    </xf>
    <xf numFmtId="0" fontId="9" fillId="16" borderId="93" xfId="12" applyFont="1" applyFill="1" applyBorder="1" applyAlignment="1">
      <alignment horizontal="left" vertical="center"/>
    </xf>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5" fillId="15" borderId="666" xfId="12" applyFont="1" applyFill="1" applyBorder="1" applyAlignment="1">
      <alignment horizontal="center" vertical="center"/>
    </xf>
    <xf numFmtId="0" fontId="9" fillId="24" borderId="666" xfId="12" applyFont="1" applyFill="1" applyBorder="1" applyAlignment="1">
      <alignment horizontal="center" vertical="center"/>
    </xf>
    <xf numFmtId="0" fontId="9" fillId="19" borderId="697"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4" borderId="348"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0" xfId="12" applyFont="1" applyFill="1" applyBorder="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75" fillId="15" borderId="74" xfId="12" applyFont="1" applyFill="1" applyBorder="1" applyAlignment="1">
      <alignment horizontal="center"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 fillId="16" borderId="0" xfId="12" applyFont="1" applyFill="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358"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68" fillId="16" borderId="0" xfId="12" applyFont="1" applyFill="1" applyBorder="1" applyAlignment="1">
      <alignment horizontal="center" vertical="center"/>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93" xfId="12" applyFont="1" applyFill="1" applyBorder="1" applyAlignment="1">
      <alignment horizontal="center" vertical="center" textRotation="90"/>
    </xf>
    <xf numFmtId="0" fontId="144" fillId="15" borderId="347" xfId="12" applyFont="1" applyFill="1" applyBorder="1" applyAlignment="1">
      <alignment horizontal="center" vertical="center"/>
    </xf>
    <xf numFmtId="0" fontId="144" fillId="15" borderId="348" xfId="12" applyFont="1" applyFill="1" applyBorder="1" applyAlignment="1">
      <alignment horizontal="center" vertical="center"/>
    </xf>
    <xf numFmtId="0" fontId="144" fillId="15" borderId="73" xfId="12" applyFont="1" applyFill="1" applyBorder="1" applyAlignment="1">
      <alignment horizontal="center" vertical="center"/>
    </xf>
    <xf numFmtId="0" fontId="144" fillId="15" borderId="351"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89"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12" fillId="24" borderId="144" xfId="12" applyFont="1" applyFill="1" applyBorder="1" applyAlignment="1">
      <alignment horizontal="right" vertical="center"/>
    </xf>
    <xf numFmtId="0" fontId="12" fillId="24" borderId="91"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9"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2" fillId="56" borderId="0"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2" fillId="56" borderId="55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2" fillId="56" borderId="82"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347" xfId="0" applyFont="1" applyFill="1" applyBorder="1" applyAlignment="1" applyProtection="1">
      <alignment horizontal="center" vertical="center" wrapText="1"/>
      <protection locked="0"/>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22"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54" fillId="8" borderId="0" xfId="0" applyFont="1" applyFill="1" applyBorder="1" applyAlignment="1">
      <alignment horizontal="center" vertic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146" fillId="28" borderId="129" xfId="12" applyFont="1" applyFill="1" applyBorder="1" applyAlignment="1" applyProtection="1">
      <alignment horizontal="center" vertical="center" wrapText="1"/>
      <protection locked="0"/>
    </xf>
    <xf numFmtId="0" fontId="146" fillId="28" borderId="158" xfId="12" applyFont="1" applyFill="1" applyBorder="1" applyAlignment="1" applyProtection="1">
      <alignment horizontal="center" vertical="center" wrapText="1"/>
      <protection locked="0"/>
    </xf>
    <xf numFmtId="0" fontId="146" fillId="28" borderId="130" xfId="12" applyFont="1" applyFill="1" applyBorder="1" applyAlignment="1" applyProtection="1">
      <alignment horizontal="center" vertical="center" wrapText="1"/>
      <protection locked="0"/>
    </xf>
    <xf numFmtId="0" fontId="27" fillId="16" borderId="0" xfId="0" applyFont="1" applyFill="1" applyBorder="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199">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79"/>
  <sheetViews>
    <sheetView zoomScaleNormal="100" workbookViewId="0">
      <selection activeCell="AT73" sqref="AT73"/>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14" t="s">
        <v>7848</v>
      </c>
      <c r="AO2" s="3115"/>
      <c r="AP2" s="3116"/>
      <c r="AQ2" s="27"/>
    </row>
    <row r="3" spans="1:43" ht="12" customHeight="1" thickBot="1" x14ac:dyDescent="0.25">
      <c r="A3" s="28"/>
      <c r="B3" s="1076"/>
      <c r="C3" s="2719"/>
      <c r="D3" s="3139"/>
      <c r="E3" s="3139"/>
      <c r="F3" s="3139"/>
      <c r="G3" s="3139"/>
      <c r="H3" s="3139"/>
      <c r="I3" s="3139"/>
      <c r="J3" s="3139"/>
      <c r="K3" s="3139"/>
      <c r="L3" s="3139"/>
      <c r="M3" s="3087" t="str">
        <f>IF(General!$F$22=0,"",General!$F$22)</f>
        <v/>
      </c>
      <c r="N3" s="3087"/>
      <c r="O3" s="3087"/>
      <c r="P3" s="3087"/>
      <c r="Q3" s="3087"/>
      <c r="R3" s="3087"/>
      <c r="S3" s="3087"/>
      <c r="T3" s="3087"/>
      <c r="U3" s="3087"/>
      <c r="V3" s="3087"/>
      <c r="W3" s="3088"/>
      <c r="X3" s="2683"/>
      <c r="Y3" s="3093" t="s">
        <v>9563</v>
      </c>
      <c r="Z3" s="3094"/>
      <c r="AA3" s="3094"/>
      <c r="AB3" s="3094"/>
      <c r="AC3" s="3094"/>
      <c r="AD3" s="3094"/>
      <c r="AE3" s="3094"/>
      <c r="AF3" s="3094"/>
      <c r="AG3" s="3094"/>
      <c r="AH3" s="3094"/>
      <c r="AI3" s="3094"/>
      <c r="AJ3" s="3095"/>
      <c r="AK3" s="2684"/>
      <c r="AL3" s="2682"/>
      <c r="AM3" s="2683"/>
      <c r="AN3" s="3117"/>
      <c r="AO3" s="3118"/>
      <c r="AP3" s="3119"/>
    </row>
    <row r="4" spans="1:43" ht="12" customHeight="1" x14ac:dyDescent="0.2">
      <c r="A4" s="28"/>
      <c r="B4" s="1076"/>
      <c r="C4" s="2720"/>
      <c r="D4" s="3140"/>
      <c r="E4" s="3140"/>
      <c r="F4" s="3140"/>
      <c r="G4" s="3140"/>
      <c r="H4" s="3140"/>
      <c r="I4" s="3140"/>
      <c r="J4" s="3140"/>
      <c r="K4" s="3140"/>
      <c r="L4" s="3140"/>
      <c r="M4" s="3089"/>
      <c r="N4" s="3089"/>
      <c r="O4" s="3089"/>
      <c r="P4" s="3089"/>
      <c r="Q4" s="3089"/>
      <c r="R4" s="3089"/>
      <c r="S4" s="3089"/>
      <c r="T4" s="3089"/>
      <c r="U4" s="3089"/>
      <c r="V4" s="3089"/>
      <c r="W4" s="3090"/>
      <c r="X4" s="2683"/>
      <c r="Y4" s="3096" t="s">
        <v>9638</v>
      </c>
      <c r="Z4" s="3097"/>
      <c r="AA4" s="3097"/>
      <c r="AB4" s="3097"/>
      <c r="AC4" s="3097"/>
      <c r="AD4" s="3097"/>
      <c r="AE4" s="3097"/>
      <c r="AF4" s="3097"/>
      <c r="AG4" s="3097"/>
      <c r="AH4" s="3097"/>
      <c r="AI4" s="3097"/>
      <c r="AJ4" s="3098"/>
      <c r="AK4" s="2684"/>
      <c r="AL4" s="2682"/>
      <c r="AM4" s="2683"/>
      <c r="AN4" s="3121"/>
      <c r="AO4" s="3122"/>
      <c r="AP4" s="3123"/>
    </row>
    <row r="5" spans="1:43" ht="12" customHeight="1" x14ac:dyDescent="0.2">
      <c r="A5" s="28"/>
      <c r="B5" s="1076"/>
      <c r="C5" s="2720"/>
      <c r="D5" s="3140"/>
      <c r="E5" s="3140"/>
      <c r="F5" s="3140"/>
      <c r="G5" s="3140"/>
      <c r="H5" s="3140"/>
      <c r="I5" s="3140"/>
      <c r="J5" s="3140"/>
      <c r="K5" s="3140"/>
      <c r="L5" s="3140"/>
      <c r="M5" s="3089"/>
      <c r="N5" s="3089"/>
      <c r="O5" s="3089"/>
      <c r="P5" s="3089"/>
      <c r="Q5" s="3089"/>
      <c r="R5" s="3089"/>
      <c r="S5" s="3089"/>
      <c r="T5" s="3089"/>
      <c r="U5" s="3089"/>
      <c r="V5" s="3089"/>
      <c r="W5" s="3090"/>
      <c r="X5" s="2683"/>
      <c r="Y5" s="3099"/>
      <c r="Z5" s="3100"/>
      <c r="AA5" s="3100"/>
      <c r="AB5" s="3100"/>
      <c r="AC5" s="3100"/>
      <c r="AD5" s="3100"/>
      <c r="AE5" s="3100"/>
      <c r="AF5" s="3100"/>
      <c r="AG5" s="3100"/>
      <c r="AH5" s="3100"/>
      <c r="AI5" s="3100"/>
      <c r="AJ5" s="3101"/>
      <c r="AK5" s="2684"/>
      <c r="AL5" s="2682"/>
      <c r="AM5" s="2683"/>
      <c r="AN5" s="3124"/>
      <c r="AO5" s="3125"/>
      <c r="AP5" s="3126"/>
    </row>
    <row r="6" spans="1:43" ht="12" customHeight="1" x14ac:dyDescent="0.2">
      <c r="A6" s="28"/>
      <c r="B6" s="1076"/>
      <c r="C6" s="2720"/>
      <c r="D6" s="3140"/>
      <c r="E6" s="3140"/>
      <c r="F6" s="3140"/>
      <c r="G6" s="3140"/>
      <c r="H6" s="3140"/>
      <c r="I6" s="3140"/>
      <c r="J6" s="3140"/>
      <c r="K6" s="3140"/>
      <c r="L6" s="3140"/>
      <c r="M6" s="3089"/>
      <c r="N6" s="3089"/>
      <c r="O6" s="3089"/>
      <c r="P6" s="3089"/>
      <c r="Q6" s="3089"/>
      <c r="R6" s="3089"/>
      <c r="S6" s="3089"/>
      <c r="T6" s="3089"/>
      <c r="U6" s="3089"/>
      <c r="V6" s="3089"/>
      <c r="W6" s="3090"/>
      <c r="X6" s="2683"/>
      <c r="Y6" s="3099"/>
      <c r="Z6" s="3100"/>
      <c r="AA6" s="3100"/>
      <c r="AB6" s="3100"/>
      <c r="AC6" s="3100"/>
      <c r="AD6" s="3100"/>
      <c r="AE6" s="3100"/>
      <c r="AF6" s="3100"/>
      <c r="AG6" s="3100"/>
      <c r="AH6" s="3100"/>
      <c r="AI6" s="3100"/>
      <c r="AJ6" s="3101"/>
      <c r="AK6" s="2684"/>
      <c r="AL6" s="2682"/>
      <c r="AM6" s="2683"/>
      <c r="AN6" s="3124"/>
      <c r="AO6" s="3125"/>
      <c r="AP6" s="3126"/>
    </row>
    <row r="7" spans="1:43" ht="12" customHeight="1" x14ac:dyDescent="0.2">
      <c r="A7" s="28"/>
      <c r="B7" s="1076"/>
      <c r="C7" s="2720"/>
      <c r="D7" s="3140"/>
      <c r="E7" s="3140"/>
      <c r="F7" s="3140"/>
      <c r="G7" s="3140"/>
      <c r="H7" s="3140"/>
      <c r="I7" s="3140"/>
      <c r="J7" s="3140"/>
      <c r="K7" s="3140"/>
      <c r="L7" s="3140"/>
      <c r="M7" s="3089"/>
      <c r="N7" s="3089"/>
      <c r="O7" s="3089"/>
      <c r="P7" s="3089"/>
      <c r="Q7" s="3089"/>
      <c r="R7" s="3089"/>
      <c r="S7" s="3089"/>
      <c r="T7" s="3089"/>
      <c r="U7" s="3089"/>
      <c r="V7" s="3089"/>
      <c r="W7" s="3090"/>
      <c r="X7" s="2683"/>
      <c r="Y7" s="3099"/>
      <c r="Z7" s="3100"/>
      <c r="AA7" s="3100"/>
      <c r="AB7" s="3100"/>
      <c r="AC7" s="3100"/>
      <c r="AD7" s="3100"/>
      <c r="AE7" s="3100"/>
      <c r="AF7" s="3100"/>
      <c r="AG7" s="3100"/>
      <c r="AH7" s="3100"/>
      <c r="AI7" s="3100"/>
      <c r="AJ7" s="3101"/>
      <c r="AK7" s="2684"/>
      <c r="AL7" s="2682"/>
      <c r="AM7" s="2683"/>
      <c r="AN7" s="3124"/>
      <c r="AO7" s="3125"/>
      <c r="AP7" s="3126"/>
    </row>
    <row r="8" spans="1:43" ht="15.75" customHeight="1" x14ac:dyDescent="0.2">
      <c r="A8" s="28"/>
      <c r="B8" s="1076"/>
      <c r="C8" s="2721"/>
      <c r="D8" s="3141"/>
      <c r="E8" s="3141"/>
      <c r="F8" s="3141"/>
      <c r="G8" s="3141"/>
      <c r="H8" s="3141"/>
      <c r="I8" s="3141"/>
      <c r="J8" s="3141"/>
      <c r="K8" s="3141"/>
      <c r="L8" s="3141"/>
      <c r="M8" s="3091"/>
      <c r="N8" s="3091"/>
      <c r="O8" s="3091"/>
      <c r="P8" s="3091"/>
      <c r="Q8" s="3091"/>
      <c r="R8" s="3091"/>
      <c r="S8" s="3091"/>
      <c r="T8" s="3091"/>
      <c r="U8" s="3091"/>
      <c r="V8" s="3091"/>
      <c r="W8" s="3092"/>
      <c r="X8" s="2683"/>
      <c r="Y8" s="3099"/>
      <c r="Z8" s="3100"/>
      <c r="AA8" s="3100"/>
      <c r="AB8" s="3100"/>
      <c r="AC8" s="3100"/>
      <c r="AD8" s="3100"/>
      <c r="AE8" s="3100"/>
      <c r="AF8" s="3100"/>
      <c r="AG8" s="3100"/>
      <c r="AH8" s="3100"/>
      <c r="AI8" s="3100"/>
      <c r="AJ8" s="3101"/>
      <c r="AK8" s="2684"/>
      <c r="AL8" s="2682"/>
      <c r="AM8" s="2683"/>
      <c r="AN8" s="3124"/>
      <c r="AO8" s="3125"/>
      <c r="AP8" s="3126"/>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099"/>
      <c r="Z9" s="3100"/>
      <c r="AA9" s="3100"/>
      <c r="AB9" s="3100"/>
      <c r="AC9" s="3100"/>
      <c r="AD9" s="3100"/>
      <c r="AE9" s="3100"/>
      <c r="AF9" s="3100"/>
      <c r="AG9" s="3100"/>
      <c r="AH9" s="3100"/>
      <c r="AI9" s="3100"/>
      <c r="AJ9" s="3101"/>
      <c r="AK9" s="2685"/>
      <c r="AL9" s="36"/>
      <c r="AN9" s="3124"/>
      <c r="AO9" s="3125"/>
      <c r="AP9" s="3126"/>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099"/>
      <c r="Z10" s="3100"/>
      <c r="AA10" s="3100"/>
      <c r="AB10" s="3100"/>
      <c r="AC10" s="3100"/>
      <c r="AD10" s="3100"/>
      <c r="AE10" s="3100"/>
      <c r="AF10" s="3100"/>
      <c r="AG10" s="3100"/>
      <c r="AH10" s="3100"/>
      <c r="AI10" s="3100"/>
      <c r="AJ10" s="3101"/>
      <c r="AK10" s="823"/>
      <c r="AL10" s="36"/>
      <c r="AN10" s="3124"/>
      <c r="AO10" s="3125"/>
      <c r="AP10" s="3126"/>
    </row>
    <row r="11" spans="1:43" ht="13.5" customHeight="1" x14ac:dyDescent="0.2">
      <c r="A11" s="28"/>
      <c r="B11" s="1077"/>
      <c r="C11" s="2725"/>
      <c r="D11" s="3142" t="s">
        <v>1597</v>
      </c>
      <c r="E11" s="3142"/>
      <c r="F11" s="3120" t="str">
        <f>(PDs!S5+PDs!S7+PDs!S9+PDs!S11+PDs!S13)&amp;IF(Principal!AA27=0,""," + "&amp;Principal!AA27)</f>
        <v>0 + 1</v>
      </c>
      <c r="G11" s="3120"/>
      <c r="H11" s="3120"/>
      <c r="I11" s="2693"/>
      <c r="J11" s="2701"/>
      <c r="K11" s="2701"/>
      <c r="L11" s="2702" t="s">
        <v>1636</v>
      </c>
      <c r="M11" s="3083" t="str">
        <f>Principal!K7</f>
        <v>Natural 10</v>
      </c>
      <c r="N11" s="3083"/>
      <c r="O11" s="3083"/>
      <c r="P11" s="3083"/>
      <c r="Q11" s="3083"/>
      <c r="R11" s="3083"/>
      <c r="S11" s="3083"/>
      <c r="T11" s="3083"/>
      <c r="U11" s="3083"/>
      <c r="V11" s="3083"/>
      <c r="W11" s="3084"/>
      <c r="X11" s="2737"/>
      <c r="Y11" s="3099"/>
      <c r="Z11" s="3100"/>
      <c r="AA11" s="3100"/>
      <c r="AB11" s="3100"/>
      <c r="AC11" s="3100"/>
      <c r="AD11" s="3100"/>
      <c r="AE11" s="3100"/>
      <c r="AF11" s="3100"/>
      <c r="AG11" s="3100"/>
      <c r="AH11" s="3100"/>
      <c r="AI11" s="3100"/>
      <c r="AJ11" s="3101"/>
      <c r="AK11" s="823"/>
      <c r="AL11" s="36"/>
      <c r="AN11" s="3124"/>
      <c r="AO11" s="3125"/>
      <c r="AP11" s="3126"/>
    </row>
    <row r="12" spans="1:43" ht="13.5" customHeight="1" x14ac:dyDescent="0.2">
      <c r="A12" s="28"/>
      <c r="B12" s="1077"/>
      <c r="C12" s="2725"/>
      <c r="D12" s="3079" t="s">
        <v>2137</v>
      </c>
      <c r="E12" s="3079"/>
      <c r="F12" s="3079"/>
      <c r="G12" s="3079"/>
      <c r="H12" s="3079"/>
      <c r="I12" s="3074">
        <f>Principal!N11</f>
        <v>20</v>
      </c>
      <c r="J12" s="3074"/>
      <c r="K12" s="3105" t="s">
        <v>1596</v>
      </c>
      <c r="L12" s="3105"/>
      <c r="M12" s="3105"/>
      <c r="N12" s="3105"/>
      <c r="O12" s="3085" t="str">
        <f>Principal!L5</f>
        <v/>
      </c>
      <c r="P12" s="3085"/>
      <c r="Q12" s="3085"/>
      <c r="R12" s="3085"/>
      <c r="S12" s="3085"/>
      <c r="T12" s="3085"/>
      <c r="U12" s="3085"/>
      <c r="V12" s="3085"/>
      <c r="W12" s="3086"/>
      <c r="X12" s="2738"/>
      <c r="Y12" s="3099"/>
      <c r="Z12" s="3100"/>
      <c r="AA12" s="3100"/>
      <c r="AB12" s="3100"/>
      <c r="AC12" s="3100"/>
      <c r="AD12" s="3100"/>
      <c r="AE12" s="3100"/>
      <c r="AF12" s="3100"/>
      <c r="AG12" s="3100"/>
      <c r="AH12" s="3100"/>
      <c r="AI12" s="3100"/>
      <c r="AJ12" s="3101"/>
      <c r="AK12" s="823"/>
      <c r="AL12" s="36"/>
      <c r="AN12" s="3124"/>
      <c r="AO12" s="3125"/>
      <c r="AP12" s="3126"/>
    </row>
    <row r="13" spans="1:43" ht="12" customHeight="1" x14ac:dyDescent="0.2">
      <c r="A13" s="28"/>
      <c r="B13" s="1077"/>
      <c r="C13" s="2725"/>
      <c r="D13" s="3075" t="s">
        <v>2138</v>
      </c>
      <c r="E13" s="3075"/>
      <c r="F13" s="3106">
        <f>FUE</f>
        <v>0</v>
      </c>
      <c r="G13" s="3106"/>
      <c r="H13" s="3075" t="s">
        <v>2139</v>
      </c>
      <c r="I13" s="3075"/>
      <c r="J13" s="3106">
        <f>DES</f>
        <v>0</v>
      </c>
      <c r="K13" s="3106"/>
      <c r="L13" s="3075" t="s">
        <v>2140</v>
      </c>
      <c r="M13" s="3075"/>
      <c r="N13" s="3106">
        <f>AGI</f>
        <v>0</v>
      </c>
      <c r="O13" s="3106"/>
      <c r="P13" s="3075" t="s">
        <v>2141</v>
      </c>
      <c r="Q13" s="3075"/>
      <c r="R13" s="3106">
        <f>CON</f>
        <v>0</v>
      </c>
      <c r="S13" s="3106"/>
      <c r="T13" s="2701"/>
      <c r="U13" s="2701"/>
      <c r="V13" s="2701"/>
      <c r="W13" s="2726"/>
      <c r="X13" s="2739"/>
      <c r="Y13" s="3099"/>
      <c r="Z13" s="3100"/>
      <c r="AA13" s="3100"/>
      <c r="AB13" s="3100"/>
      <c r="AC13" s="3100"/>
      <c r="AD13" s="3100"/>
      <c r="AE13" s="3100"/>
      <c r="AF13" s="3100"/>
      <c r="AG13" s="3100"/>
      <c r="AH13" s="3100"/>
      <c r="AI13" s="3100"/>
      <c r="AJ13" s="3101"/>
      <c r="AK13" s="823"/>
      <c r="AL13" s="36"/>
      <c r="AN13" s="3124"/>
      <c r="AO13" s="3125"/>
      <c r="AP13" s="3126"/>
    </row>
    <row r="14" spans="1:43" ht="13.5" customHeight="1" x14ac:dyDescent="0.2">
      <c r="A14" s="28"/>
      <c r="B14" s="1077"/>
      <c r="C14" s="2725"/>
      <c r="D14" s="3075" t="s">
        <v>2142</v>
      </c>
      <c r="E14" s="3075"/>
      <c r="F14" s="3106">
        <f>POD</f>
        <v>0</v>
      </c>
      <c r="G14" s="3106"/>
      <c r="H14" s="3075" t="s">
        <v>2143</v>
      </c>
      <c r="I14" s="3075"/>
      <c r="J14" s="3106">
        <f>INT</f>
        <v>0</v>
      </c>
      <c r="K14" s="3106"/>
      <c r="L14" s="3075" t="s">
        <v>2144</v>
      </c>
      <c r="M14" s="3075"/>
      <c r="N14" s="3106">
        <f>VOL</f>
        <v>0</v>
      </c>
      <c r="O14" s="3106"/>
      <c r="P14" s="3075" t="s">
        <v>2145</v>
      </c>
      <c r="Q14" s="3075"/>
      <c r="R14" s="3106">
        <f>PER</f>
        <v>0</v>
      </c>
      <c r="S14" s="3106"/>
      <c r="T14" s="2701"/>
      <c r="U14" s="2701"/>
      <c r="V14" s="2701"/>
      <c r="W14" s="2726"/>
      <c r="X14" s="2739"/>
      <c r="Y14" s="3099"/>
      <c r="Z14" s="3100"/>
      <c r="AA14" s="3100"/>
      <c r="AB14" s="3100"/>
      <c r="AC14" s="3100"/>
      <c r="AD14" s="3100"/>
      <c r="AE14" s="3100"/>
      <c r="AF14" s="3100"/>
      <c r="AG14" s="3100"/>
      <c r="AH14" s="3100"/>
      <c r="AI14" s="3100"/>
      <c r="AJ14" s="3101"/>
      <c r="AK14" s="823"/>
      <c r="AL14" s="36"/>
      <c r="AN14" s="3124"/>
      <c r="AO14" s="3125"/>
      <c r="AP14" s="3126"/>
    </row>
    <row r="15" spans="1:43" ht="13.5" customHeight="1" thickBot="1" x14ac:dyDescent="0.25">
      <c r="A15" s="28"/>
      <c r="B15" s="1077"/>
      <c r="C15" s="2725"/>
      <c r="D15" s="3079" t="s">
        <v>2124</v>
      </c>
      <c r="E15" s="3079"/>
      <c r="F15" s="3079"/>
      <c r="G15" s="3079"/>
      <c r="H15" s="3074">
        <f>Presencia_final</f>
        <v>20</v>
      </c>
      <c r="I15" s="3074"/>
      <c r="J15" s="2703"/>
      <c r="K15" s="2703"/>
      <c r="L15" s="2692"/>
      <c r="M15" s="2692"/>
      <c r="N15" s="2703"/>
      <c r="O15" s="2703"/>
      <c r="P15" s="2692"/>
      <c r="Q15" s="2692"/>
      <c r="R15" s="2703"/>
      <c r="S15" s="2703"/>
      <c r="T15" s="2701"/>
      <c r="U15" s="2701"/>
      <c r="V15" s="2701"/>
      <c r="W15" s="2726"/>
      <c r="X15" s="2739"/>
      <c r="Y15" s="3102"/>
      <c r="Z15" s="3103"/>
      <c r="AA15" s="3103"/>
      <c r="AB15" s="3103"/>
      <c r="AC15" s="3103"/>
      <c r="AD15" s="3103"/>
      <c r="AE15" s="3103"/>
      <c r="AF15" s="3103"/>
      <c r="AG15" s="3103"/>
      <c r="AH15" s="3103"/>
      <c r="AI15" s="3103"/>
      <c r="AJ15" s="3104"/>
      <c r="AK15" s="823"/>
      <c r="AL15" s="36"/>
      <c r="AN15" s="3127"/>
      <c r="AO15" s="3128"/>
      <c r="AP15" s="3129"/>
    </row>
    <row r="16" spans="1:43" ht="12" customHeight="1" thickBot="1" x14ac:dyDescent="0.25">
      <c r="A16" s="28"/>
      <c r="B16" s="1077"/>
      <c r="C16" s="2725"/>
      <c r="D16" s="3079" t="s">
        <v>2146</v>
      </c>
      <c r="E16" s="3079"/>
      <c r="F16" s="3074">
        <f>Principal!J58</f>
        <v>20</v>
      </c>
      <c r="G16" s="3074"/>
      <c r="H16" s="3079" t="s">
        <v>2147</v>
      </c>
      <c r="I16" s="3079"/>
      <c r="J16" s="3074">
        <f>Principal!J61</f>
        <v>20</v>
      </c>
      <c r="K16" s="3074"/>
      <c r="L16" s="3079" t="s">
        <v>2148</v>
      </c>
      <c r="M16" s="3079"/>
      <c r="N16" s="3074">
        <f>Principal!J62</f>
        <v>20</v>
      </c>
      <c r="O16" s="3074"/>
      <c r="P16" s="3079" t="s">
        <v>2149</v>
      </c>
      <c r="Q16" s="3079"/>
      <c r="R16" s="3074">
        <f>Principal!J60</f>
        <v>20</v>
      </c>
      <c r="S16" s="3074"/>
      <c r="T16" s="3079" t="s">
        <v>2150</v>
      </c>
      <c r="U16" s="3079"/>
      <c r="V16" s="3074">
        <f>Principal!J59</f>
        <v>20</v>
      </c>
      <c r="W16" s="3107"/>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30"/>
      <c r="AO17" s="3131"/>
      <c r="AP17" s="3132"/>
    </row>
    <row r="18" spans="1:43" ht="12.75" customHeight="1" x14ac:dyDescent="0.2">
      <c r="A18" s="28"/>
      <c r="B18" s="1077"/>
      <c r="C18" s="2725"/>
      <c r="D18" s="3079" t="s">
        <v>2151</v>
      </c>
      <c r="E18" s="3079"/>
      <c r="F18" s="3148" t="str">
        <f>Combate!$AV46&amp;Combate!$AW46&amp;Combate!$AX46&amp;Combate!$AY46&amp;Combate!$AZ46&amp;Combate!$BA46&amp;Combate!$BB46&amp;Combate!$BC46&amp;Combate!$BD46&amp;Combate!$BE46&amp;Combate!$BF46</f>
        <v>40 Desarmado</v>
      </c>
      <c r="G18" s="3148"/>
      <c r="H18" s="3148"/>
      <c r="I18" s="3148"/>
      <c r="J18" s="3148"/>
      <c r="K18" s="3148"/>
      <c r="L18" s="3148"/>
      <c r="M18" s="3148"/>
      <c r="N18" s="3148"/>
      <c r="O18" s="3148"/>
      <c r="P18" s="3148"/>
      <c r="Q18" s="3148"/>
      <c r="R18" s="3148"/>
      <c r="S18" s="3148"/>
      <c r="T18" s="3148"/>
      <c r="U18" s="3148"/>
      <c r="V18" s="3148"/>
      <c r="W18" s="3148"/>
      <c r="X18" s="3148"/>
      <c r="Y18" s="3148"/>
      <c r="Z18" s="3148"/>
      <c r="AA18" s="3148"/>
      <c r="AB18" s="3148"/>
      <c r="AC18" s="3148"/>
      <c r="AD18" s="3148"/>
      <c r="AE18" s="3148"/>
      <c r="AF18" s="3148"/>
      <c r="AG18" s="3120"/>
      <c r="AH18" s="3120"/>
      <c r="AI18" s="3120"/>
      <c r="AJ18" s="2727"/>
      <c r="AK18" s="823"/>
      <c r="AL18" s="36"/>
      <c r="AN18" s="3133"/>
      <c r="AO18" s="3134"/>
      <c r="AP18" s="3135"/>
    </row>
    <row r="19" spans="1:43" ht="12" customHeight="1" x14ac:dyDescent="0.2">
      <c r="A19" s="28"/>
      <c r="B19" s="1077"/>
      <c r="C19" s="2725"/>
      <c r="D19" s="3105" t="s">
        <v>1670</v>
      </c>
      <c r="E19" s="3105"/>
      <c r="F19" s="3105"/>
      <c r="G19" s="3105"/>
      <c r="H19" s="3120" t="str">
        <f>Combate!$AV47&amp;Combate!$AW47&amp;Combate!$AX47&amp;Combate!$AY47&amp;Combate!$AZ47&amp;Combate!$BA47&amp;Combate!$BB47&amp;Combate!$BC47&amp;Combate!$BD47&amp;Combate!$BE47&amp;Combate!$BF47</f>
        <v>0 Desarmado</v>
      </c>
      <c r="I19" s="3120"/>
      <c r="J19" s="3120"/>
      <c r="K19" s="3120"/>
      <c r="L19" s="3120"/>
      <c r="M19" s="3120"/>
      <c r="N19" s="3120"/>
      <c r="O19" s="3120"/>
      <c r="P19" s="3120"/>
      <c r="Q19" s="3120"/>
      <c r="R19" s="3120"/>
      <c r="S19" s="3120"/>
      <c r="T19" s="3120"/>
      <c r="U19" s="3120"/>
      <c r="V19" s="3120"/>
      <c r="W19" s="3120"/>
      <c r="X19" s="3120"/>
      <c r="Y19" s="3120"/>
      <c r="Z19" s="3120"/>
      <c r="AA19" s="3120"/>
      <c r="AB19" s="3120"/>
      <c r="AC19" s="3120"/>
      <c r="AD19" s="3120"/>
      <c r="AE19" s="3120"/>
      <c r="AF19" s="3120"/>
      <c r="AG19" s="3120"/>
      <c r="AH19" s="3120"/>
      <c r="AI19" s="3120"/>
      <c r="AJ19" s="2728"/>
      <c r="AK19" s="823"/>
      <c r="AL19" s="36"/>
      <c r="AN19" s="3133"/>
      <c r="AO19" s="3134"/>
      <c r="AP19" s="3135"/>
    </row>
    <row r="20" spans="1:43" ht="12" customHeight="1" thickBot="1" x14ac:dyDescent="0.25">
      <c r="A20" s="28"/>
      <c r="B20" s="1077"/>
      <c r="C20" s="2725"/>
      <c r="D20" s="3105"/>
      <c r="E20" s="3105"/>
      <c r="F20" s="3105"/>
      <c r="G20" s="3105"/>
      <c r="H20" s="3120"/>
      <c r="I20" s="3120"/>
      <c r="J20" s="3120"/>
      <c r="K20" s="3120"/>
      <c r="L20" s="3120"/>
      <c r="M20" s="3120"/>
      <c r="N20" s="3120"/>
      <c r="O20" s="3120"/>
      <c r="P20" s="3120"/>
      <c r="Q20" s="3120"/>
      <c r="R20" s="3120"/>
      <c r="S20" s="3120"/>
      <c r="T20" s="3120"/>
      <c r="U20" s="3120"/>
      <c r="V20" s="3120"/>
      <c r="W20" s="3120"/>
      <c r="X20" s="3120"/>
      <c r="Y20" s="3120"/>
      <c r="Z20" s="3120"/>
      <c r="AA20" s="3120"/>
      <c r="AB20" s="3120"/>
      <c r="AC20" s="3120"/>
      <c r="AD20" s="3120"/>
      <c r="AE20" s="3120"/>
      <c r="AF20" s="3120"/>
      <c r="AG20" s="3120"/>
      <c r="AH20" s="3120"/>
      <c r="AI20" s="3120"/>
      <c r="AJ20" s="2728"/>
      <c r="AK20" s="823"/>
      <c r="AL20" s="36"/>
      <c r="AN20" s="3136"/>
      <c r="AO20" s="3137"/>
      <c r="AP20" s="3138"/>
    </row>
    <row r="21" spans="1:43" ht="12" customHeight="1" x14ac:dyDescent="0.2">
      <c r="A21" s="28"/>
      <c r="B21" s="1076"/>
      <c r="C21" s="2720"/>
      <c r="D21" s="3105" t="s">
        <v>9577</v>
      </c>
      <c r="E21" s="3105"/>
      <c r="F21" s="3105"/>
      <c r="G21" s="3105"/>
      <c r="H21" s="3120" t="str">
        <f>Combate!$AV48&amp;Combate!$AW48&amp;Combate!$AX48&amp;Combate!$AY48&amp;Combate!$AZ48&amp;Combate!$BA48&amp;Combate!$BB48&amp;Combate!$BC48&amp;Combate!$BD48&amp;Combate!$BE48&amp;Combate!$BF48</f>
        <v>0 Desarmado (Par)</v>
      </c>
      <c r="I21" s="3120"/>
      <c r="J21" s="3120"/>
      <c r="K21" s="3120"/>
      <c r="L21" s="3120"/>
      <c r="M21" s="3120"/>
      <c r="N21" s="3120"/>
      <c r="O21" s="3120"/>
      <c r="P21" s="3120"/>
      <c r="Q21" s="3120"/>
      <c r="R21" s="3120"/>
      <c r="S21" s="3120"/>
      <c r="T21" s="3120"/>
      <c r="U21" s="3120"/>
      <c r="V21" s="3120"/>
      <c r="W21" s="3120"/>
      <c r="X21" s="3120"/>
      <c r="Y21" s="3120"/>
      <c r="Z21" s="3120"/>
      <c r="AA21" s="3120"/>
      <c r="AB21" s="3120"/>
      <c r="AC21" s="3120"/>
      <c r="AD21" s="3120"/>
      <c r="AE21" s="3120"/>
      <c r="AF21" s="3120"/>
      <c r="AG21" s="3120"/>
      <c r="AH21" s="3120"/>
      <c r="AI21" s="3120"/>
      <c r="AJ21" s="2728"/>
      <c r="AK21" s="823"/>
      <c r="AL21" s="36"/>
      <c r="AN21" s="2697"/>
      <c r="AO21" s="2697"/>
      <c r="AP21" s="2697"/>
      <c r="AQ21" s="2698"/>
    </row>
    <row r="22" spans="1:43" ht="12" customHeight="1" x14ac:dyDescent="0.2">
      <c r="A22" s="28"/>
      <c r="B22" s="1076"/>
      <c r="C22" s="2720"/>
      <c r="D22" s="3105"/>
      <c r="E22" s="3105"/>
      <c r="F22" s="3105"/>
      <c r="G22" s="3105"/>
      <c r="H22" s="3120"/>
      <c r="I22" s="3120"/>
      <c r="J22" s="3120"/>
      <c r="K22" s="3120"/>
      <c r="L22" s="3120"/>
      <c r="M22" s="3120"/>
      <c r="N22" s="3120"/>
      <c r="O22" s="3120"/>
      <c r="P22" s="3120"/>
      <c r="Q22" s="3120"/>
      <c r="R22" s="3120"/>
      <c r="S22" s="3120"/>
      <c r="T22" s="3120"/>
      <c r="U22" s="3120"/>
      <c r="V22" s="3120"/>
      <c r="W22" s="3120"/>
      <c r="X22" s="3120"/>
      <c r="Y22" s="3120"/>
      <c r="Z22" s="3120"/>
      <c r="AA22" s="3120"/>
      <c r="AB22" s="3120"/>
      <c r="AC22" s="3120"/>
      <c r="AD22" s="3120"/>
      <c r="AE22" s="3120"/>
      <c r="AF22" s="3120"/>
      <c r="AG22" s="3120"/>
      <c r="AH22" s="3120"/>
      <c r="AI22" s="3120"/>
      <c r="AJ22" s="2728"/>
      <c r="AK22" s="823"/>
      <c r="AL22" s="36"/>
      <c r="AN22" s="2736"/>
      <c r="AO22" s="2697"/>
      <c r="AP22" s="2697"/>
      <c r="AQ22" s="2698"/>
    </row>
    <row r="23" spans="1:43" ht="12.75" customHeight="1" x14ac:dyDescent="0.2">
      <c r="A23" s="28"/>
      <c r="B23" s="1076"/>
      <c r="C23" s="2720"/>
      <c r="D23" s="3079" t="s">
        <v>2152</v>
      </c>
      <c r="E23" s="3079"/>
      <c r="F23" s="3148" t="str">
        <f>Combate!$AV49&amp;Combate!$AW49&amp;Combate!$AX49&amp;Combate!$AY49&amp;Combate!$AZ49&amp;Combate!$BA49&amp;Combate!$BB49&amp;Combate!$BC49&amp;Combate!$BD49&amp;Combate!$BE49&amp;Combate!$BF49</f>
        <v>5 Desarmado</v>
      </c>
      <c r="G23" s="3148"/>
      <c r="H23" s="3148"/>
      <c r="I23" s="3148"/>
      <c r="J23" s="3148"/>
      <c r="K23" s="3148"/>
      <c r="L23" s="3148"/>
      <c r="M23" s="3148"/>
      <c r="N23" s="3148"/>
      <c r="O23" s="3148"/>
      <c r="P23" s="3148"/>
      <c r="Q23" s="3148"/>
      <c r="R23" s="3148"/>
      <c r="S23" s="3148"/>
      <c r="T23" s="3148"/>
      <c r="U23" s="3148"/>
      <c r="V23" s="3148"/>
      <c r="W23" s="3148"/>
      <c r="X23" s="3148"/>
      <c r="Y23" s="3148"/>
      <c r="Z23" s="3148"/>
      <c r="AA23" s="3148"/>
      <c r="AB23" s="3148"/>
      <c r="AC23" s="3148"/>
      <c r="AD23" s="3148"/>
      <c r="AE23" s="3148"/>
      <c r="AF23" s="3148"/>
      <c r="AG23" s="3120"/>
      <c r="AH23" s="3120"/>
      <c r="AI23" s="3120"/>
      <c r="AJ23" s="2727"/>
      <c r="AK23" s="823"/>
      <c r="AL23" s="36"/>
      <c r="AN23" s="2697"/>
      <c r="AO23" s="2697"/>
      <c r="AP23" s="2697"/>
      <c r="AQ23" s="2698"/>
    </row>
    <row r="24" spans="1:43" ht="12" customHeight="1" x14ac:dyDescent="0.2">
      <c r="A24" s="28"/>
      <c r="B24" s="1076"/>
      <c r="C24" s="2720"/>
      <c r="D24" s="3079" t="s">
        <v>2153</v>
      </c>
      <c r="E24" s="3079"/>
      <c r="F24" s="3074" t="str">
        <f>IF(Combate!C12=0,"",Combate!C12)&amp;IF(OR(Combate!C12=0,Combate!C13=0),""," + ")&amp;IF(Combate!C13=0,"",Combate!C13)&amp;IF(OR(AND(Combate!C12=0,Combate!C13=0),Combate!C14=0),""," + ")&amp;IF(Combate!C14=0,"",Combate!C14)</f>
        <v/>
      </c>
      <c r="G24" s="3074"/>
      <c r="H24" s="3074"/>
      <c r="I24" s="3074"/>
      <c r="J24" s="3074"/>
      <c r="K24" s="3074"/>
      <c r="L24" s="3074"/>
      <c r="M24" s="3074"/>
      <c r="N24" s="3074"/>
      <c r="O24" s="3074"/>
      <c r="P24" s="3074"/>
      <c r="Q24" s="3074"/>
      <c r="R24" s="3074"/>
      <c r="S24" s="3074"/>
      <c r="T24" s="3074"/>
      <c r="U24" s="3074"/>
      <c r="V24" s="3074"/>
      <c r="W24" s="3074"/>
      <c r="X24" s="3074"/>
      <c r="Y24" s="3074"/>
      <c r="Z24" s="3074"/>
      <c r="AA24" s="3074"/>
      <c r="AB24" s="3074"/>
      <c r="AC24" s="3074"/>
      <c r="AD24" s="3074"/>
      <c r="AE24" s="3074"/>
      <c r="AF24" s="3074"/>
      <c r="AG24" s="3074"/>
      <c r="AH24" s="3074"/>
      <c r="AI24" s="3074"/>
      <c r="AJ24" s="2729"/>
      <c r="AK24" s="823"/>
      <c r="AL24" s="36"/>
      <c r="AN24" s="2695"/>
      <c r="AO24" s="2695"/>
      <c r="AP24" s="2695"/>
    </row>
    <row r="25" spans="1:43" ht="12" customHeight="1" x14ac:dyDescent="0.2">
      <c r="A25" s="28"/>
      <c r="B25" s="1076"/>
      <c r="C25" s="2720"/>
      <c r="D25" s="2421"/>
      <c r="E25" s="2421"/>
      <c r="F25" s="3108" t="s">
        <v>2154</v>
      </c>
      <c r="G25" s="3108"/>
      <c r="H25" s="3074">
        <f>Combate!I16</f>
        <v>0</v>
      </c>
      <c r="I25" s="3074"/>
      <c r="J25" s="3080" t="s">
        <v>2155</v>
      </c>
      <c r="K25" s="3080"/>
      <c r="L25" s="3074">
        <f>Combate!J16</f>
        <v>0</v>
      </c>
      <c r="M25" s="3074"/>
      <c r="N25" s="3080" t="s">
        <v>2156</v>
      </c>
      <c r="O25" s="3080"/>
      <c r="P25" s="3074">
        <f>Combate!K16</f>
        <v>0</v>
      </c>
      <c r="Q25" s="3074"/>
      <c r="R25" s="3080" t="s">
        <v>2157</v>
      </c>
      <c r="S25" s="3080"/>
      <c r="T25" s="3074">
        <f>Combate!L16</f>
        <v>0</v>
      </c>
      <c r="U25" s="3074"/>
      <c r="V25" s="3080" t="s">
        <v>2158</v>
      </c>
      <c r="W25" s="3080"/>
      <c r="X25" s="3074">
        <f>Combate!N16</f>
        <v>0</v>
      </c>
      <c r="Y25" s="3074"/>
      <c r="Z25" s="3080" t="s">
        <v>2159</v>
      </c>
      <c r="AA25" s="3080"/>
      <c r="AB25" s="3074">
        <f>Combate!M16</f>
        <v>0</v>
      </c>
      <c r="AC25" s="3074"/>
      <c r="AD25" s="3080" t="s">
        <v>2160</v>
      </c>
      <c r="AE25" s="3080"/>
      <c r="AF25" s="3074">
        <f>Combate!O16</f>
        <v>0</v>
      </c>
      <c r="AG25" s="3074"/>
      <c r="AH25" s="2701"/>
      <c r="AI25" s="2700"/>
      <c r="AJ25" s="2730"/>
      <c r="AK25" s="823"/>
      <c r="AL25" s="36"/>
      <c r="AN25" s="2696"/>
      <c r="AO25" s="2696"/>
      <c r="AP25" s="2696"/>
    </row>
    <row r="26" spans="1:43" ht="13.5" customHeight="1" x14ac:dyDescent="0.2">
      <c r="A26" s="28"/>
      <c r="B26" s="1076"/>
      <c r="C26" s="2720"/>
      <c r="D26" s="2714"/>
      <c r="E26" s="2714"/>
      <c r="F26" s="3149" t="s">
        <v>9170</v>
      </c>
      <c r="G26" s="3149"/>
      <c r="H26" s="3110">
        <f>Combate!I15</f>
        <v>0</v>
      </c>
      <c r="I26" s="3110"/>
      <c r="J26" s="2709"/>
      <c r="K26" s="2709"/>
      <c r="L26" s="3110">
        <f>Combate!J15</f>
        <v>0</v>
      </c>
      <c r="M26" s="3110"/>
      <c r="N26" s="2709"/>
      <c r="O26" s="2709"/>
      <c r="P26" s="3110">
        <f>Combate!K15</f>
        <v>0</v>
      </c>
      <c r="Q26" s="3110"/>
      <c r="R26" s="2709"/>
      <c r="S26" s="2709"/>
      <c r="T26" s="3110">
        <f>Combate!L15</f>
        <v>0</v>
      </c>
      <c r="U26" s="3110"/>
      <c r="V26" s="2709"/>
      <c r="W26" s="2709"/>
      <c r="X26" s="3110">
        <f>Combate!N15</f>
        <v>0</v>
      </c>
      <c r="Y26" s="3110"/>
      <c r="Z26" s="2709"/>
      <c r="AA26" s="2709"/>
      <c r="AB26" s="3110">
        <f>Combate!M15</f>
        <v>0</v>
      </c>
      <c r="AC26" s="3110"/>
      <c r="AD26" s="2709"/>
      <c r="AE26" s="2709"/>
      <c r="AF26" s="3110">
        <f>Combate!O15</f>
        <v>0</v>
      </c>
      <c r="AG26" s="3110"/>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79" t="s">
        <v>2161</v>
      </c>
      <c r="E28" s="3079"/>
      <c r="F28" s="3079"/>
      <c r="G28" s="3079"/>
      <c r="H28" s="3079"/>
      <c r="I28" s="3074" t="str">
        <f>"("&amp;Ki!F24&amp;")"</f>
        <v>(0)</v>
      </c>
      <c r="J28" s="3074"/>
      <c r="K28" s="3080" t="s">
        <v>2138</v>
      </c>
      <c r="L28" s="3080"/>
      <c r="M28" s="3074" t="str">
        <f>Ki!F18</f>
        <v>-</v>
      </c>
      <c r="N28" s="3074"/>
      <c r="O28" s="3080" t="s">
        <v>2139</v>
      </c>
      <c r="P28" s="3080"/>
      <c r="Q28" s="3074" t="str">
        <f>Ki!F16</f>
        <v>-</v>
      </c>
      <c r="R28" s="3074"/>
      <c r="S28" s="3080" t="s">
        <v>2140</v>
      </c>
      <c r="T28" s="3080"/>
      <c r="U28" s="3074" t="str">
        <f>Ki!F12</f>
        <v>-</v>
      </c>
      <c r="V28" s="3074"/>
      <c r="W28" s="3080" t="s">
        <v>2141</v>
      </c>
      <c r="X28" s="3080"/>
      <c r="Y28" s="3074" t="str">
        <f>Ki!F14</f>
        <v>-</v>
      </c>
      <c r="Z28" s="3074"/>
      <c r="AA28" s="3080" t="s">
        <v>2142</v>
      </c>
      <c r="AB28" s="3080"/>
      <c r="AC28" s="3074" t="str">
        <f>Ki!F20</f>
        <v>-</v>
      </c>
      <c r="AD28" s="3074"/>
      <c r="AE28" s="3080" t="s">
        <v>2144</v>
      </c>
      <c r="AF28" s="3080"/>
      <c r="AG28" s="3074" t="str">
        <f>Ki!F22</f>
        <v>-</v>
      </c>
      <c r="AH28" s="3074"/>
      <c r="AI28" s="2701"/>
      <c r="AJ28" s="2729"/>
      <c r="AK28" s="823"/>
      <c r="AL28" s="36"/>
    </row>
    <row r="29" spans="1:43" ht="12" customHeight="1" x14ac:dyDescent="0.2">
      <c r="A29" s="28"/>
      <c r="B29" s="3113"/>
      <c r="C29" s="2732"/>
      <c r="D29" s="3079" t="s">
        <v>2162</v>
      </c>
      <c r="E29" s="3079"/>
      <c r="F29" s="3111"/>
      <c r="G29" s="3111"/>
      <c r="H29" s="3111"/>
      <c r="I29" s="3111"/>
      <c r="J29" s="3111"/>
      <c r="K29" s="3080" t="s">
        <v>2138</v>
      </c>
      <c r="L29" s="3080"/>
      <c r="M29" s="3074">
        <f>Ki!D18</f>
        <v>0</v>
      </c>
      <c r="N29" s="3074"/>
      <c r="O29" s="3080" t="s">
        <v>2139</v>
      </c>
      <c r="P29" s="3080"/>
      <c r="Q29" s="3074">
        <f>Ki!D16</f>
        <v>0</v>
      </c>
      <c r="R29" s="3074"/>
      <c r="S29" s="3080" t="s">
        <v>2140</v>
      </c>
      <c r="T29" s="3080"/>
      <c r="U29" s="3074">
        <f>Ki!D12</f>
        <v>0</v>
      </c>
      <c r="V29" s="3074"/>
      <c r="W29" s="3080" t="s">
        <v>2141</v>
      </c>
      <c r="X29" s="3080"/>
      <c r="Y29" s="3074">
        <f>Ki!D14</f>
        <v>0</v>
      </c>
      <c r="Z29" s="3074"/>
      <c r="AA29" s="3080" t="s">
        <v>2142</v>
      </c>
      <c r="AB29" s="3080"/>
      <c r="AC29" s="3074">
        <f>Ki!D20</f>
        <v>0</v>
      </c>
      <c r="AD29" s="3074"/>
      <c r="AE29" s="3080" t="s">
        <v>2144</v>
      </c>
      <c r="AF29" s="3080"/>
      <c r="AG29" s="3074">
        <f>Ki!D22</f>
        <v>0</v>
      </c>
      <c r="AH29" s="3074"/>
      <c r="AI29" s="2701"/>
      <c r="AJ29" s="2729"/>
      <c r="AK29" s="823"/>
      <c r="AL29" s="36"/>
    </row>
    <row r="30" spans="1:43" x14ac:dyDescent="0.2">
      <c r="A30" s="28"/>
      <c r="B30" s="3113"/>
      <c r="C30" s="2732"/>
      <c r="D30" s="3079" t="s">
        <v>2163</v>
      </c>
      <c r="E30" s="3079"/>
      <c r="F30" s="3079"/>
      <c r="G30" s="3079"/>
      <c r="H30" s="3079"/>
      <c r="I30" s="3079"/>
      <c r="J30" s="308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81"/>
      <c r="L30" s="3081"/>
      <c r="M30" s="3081"/>
      <c r="N30" s="3081"/>
      <c r="O30" s="3081"/>
      <c r="P30" s="3081"/>
      <c r="Q30" s="3081"/>
      <c r="R30" s="3081"/>
      <c r="S30" s="3081"/>
      <c r="T30" s="3081"/>
      <c r="U30" s="3081"/>
      <c r="V30" s="3081"/>
      <c r="W30" s="3081"/>
      <c r="X30" s="3081"/>
      <c r="Y30" s="3081"/>
      <c r="Z30" s="3081"/>
      <c r="AA30" s="3081"/>
      <c r="AB30" s="3081"/>
      <c r="AC30" s="3081"/>
      <c r="AD30" s="3081"/>
      <c r="AE30" s="3081"/>
      <c r="AF30" s="3081"/>
      <c r="AG30" s="3082"/>
      <c r="AH30" s="3082"/>
      <c r="AI30" s="3082"/>
      <c r="AJ30" s="2733"/>
      <c r="AK30" s="823"/>
      <c r="AL30" s="36"/>
    </row>
    <row r="31" spans="1:43" x14ac:dyDescent="0.2">
      <c r="A31" s="28"/>
      <c r="B31" s="3113"/>
      <c r="C31" s="2732"/>
      <c r="D31" s="2700"/>
      <c r="E31" s="2700"/>
      <c r="F31" s="2700"/>
      <c r="G31" s="2700"/>
      <c r="H31" s="2700"/>
      <c r="I31" s="2700"/>
      <c r="J31" s="3081"/>
      <c r="K31" s="3081"/>
      <c r="L31" s="3081"/>
      <c r="M31" s="3081"/>
      <c r="N31" s="3081"/>
      <c r="O31" s="3081"/>
      <c r="P31" s="3081"/>
      <c r="Q31" s="3081"/>
      <c r="R31" s="3081"/>
      <c r="S31" s="3081"/>
      <c r="T31" s="3081"/>
      <c r="U31" s="3081"/>
      <c r="V31" s="3081"/>
      <c r="W31" s="3081"/>
      <c r="X31" s="3081"/>
      <c r="Y31" s="3081"/>
      <c r="Z31" s="3081"/>
      <c r="AA31" s="3081"/>
      <c r="AB31" s="3081"/>
      <c r="AC31" s="3081"/>
      <c r="AD31" s="3081"/>
      <c r="AE31" s="3081"/>
      <c r="AF31" s="3081"/>
      <c r="AG31" s="3082"/>
      <c r="AH31" s="3082"/>
      <c r="AI31" s="3082"/>
      <c r="AJ31" s="2733"/>
      <c r="AK31" s="823"/>
      <c r="AL31" s="30"/>
    </row>
    <row r="32" spans="1:43" ht="18" customHeight="1" x14ac:dyDescent="0.2">
      <c r="A32" s="28"/>
      <c r="B32" s="3113"/>
      <c r="C32" s="2732"/>
      <c r="D32" s="2700"/>
      <c r="E32" s="2700"/>
      <c r="F32" s="2700"/>
      <c r="G32" s="2700"/>
      <c r="H32" s="2700"/>
      <c r="I32" s="2700"/>
      <c r="J32" s="3081"/>
      <c r="K32" s="3081"/>
      <c r="L32" s="3081"/>
      <c r="M32" s="3081"/>
      <c r="N32" s="3081"/>
      <c r="O32" s="3081"/>
      <c r="P32" s="3081"/>
      <c r="Q32" s="3081"/>
      <c r="R32" s="3081"/>
      <c r="S32" s="3081"/>
      <c r="T32" s="3081"/>
      <c r="U32" s="3081"/>
      <c r="V32" s="3081"/>
      <c r="W32" s="3081"/>
      <c r="X32" s="3081"/>
      <c r="Y32" s="3081"/>
      <c r="Z32" s="3081"/>
      <c r="AA32" s="3081"/>
      <c r="AB32" s="3081"/>
      <c r="AC32" s="3081"/>
      <c r="AD32" s="3081"/>
      <c r="AE32" s="3081"/>
      <c r="AF32" s="3081"/>
      <c r="AG32" s="3082"/>
      <c r="AH32" s="3082"/>
      <c r="AI32" s="3082"/>
      <c r="AJ32" s="2733"/>
      <c r="AK32" s="823"/>
      <c r="AL32" s="30"/>
    </row>
    <row r="33" spans="1:38" ht="12" customHeight="1" x14ac:dyDescent="0.2">
      <c r="A33" s="28"/>
      <c r="B33" s="3113"/>
      <c r="C33" s="2732"/>
      <c r="D33" s="3079" t="s">
        <v>2164</v>
      </c>
      <c r="E33" s="3079"/>
      <c r="F33" s="3111"/>
      <c r="G33" s="3082" t="str">
        <f>Ki!$AN$26</f>
        <v/>
      </c>
      <c r="H33" s="3082"/>
      <c r="I33" s="3082"/>
      <c r="J33" s="3082"/>
      <c r="K33" s="3082"/>
      <c r="L33" s="3082"/>
      <c r="M33" s="3082"/>
      <c r="N33" s="3082"/>
      <c r="O33" s="3082"/>
      <c r="P33" s="3082"/>
      <c r="Q33" s="3082"/>
      <c r="R33" s="3082"/>
      <c r="S33" s="3082"/>
      <c r="T33" s="3082"/>
      <c r="U33" s="3082"/>
      <c r="V33" s="3082"/>
      <c r="W33" s="3082"/>
      <c r="X33" s="3082"/>
      <c r="Y33" s="3082"/>
      <c r="Z33" s="3082"/>
      <c r="AA33" s="3082"/>
      <c r="AB33" s="3082"/>
      <c r="AC33" s="3082"/>
      <c r="AD33" s="3082"/>
      <c r="AE33" s="3082"/>
      <c r="AF33" s="3082"/>
      <c r="AG33" s="3082"/>
      <c r="AH33" s="3082"/>
      <c r="AI33" s="3082"/>
      <c r="AJ33" s="2733"/>
      <c r="AK33" s="823"/>
      <c r="AL33" s="30"/>
    </row>
    <row r="34" spans="1:38" ht="12" customHeight="1" x14ac:dyDescent="0.2">
      <c r="A34" s="28"/>
      <c r="B34" s="3113"/>
      <c r="C34" s="2732"/>
      <c r="D34" s="2700"/>
      <c r="E34" s="2700"/>
      <c r="F34" s="2700"/>
      <c r="G34" s="3082"/>
      <c r="H34" s="3082"/>
      <c r="I34" s="3082"/>
      <c r="J34" s="3082"/>
      <c r="K34" s="3082"/>
      <c r="L34" s="3082"/>
      <c r="M34" s="3082"/>
      <c r="N34" s="3082"/>
      <c r="O34" s="3082"/>
      <c r="P34" s="3082"/>
      <c r="Q34" s="3082"/>
      <c r="R34" s="3082"/>
      <c r="S34" s="3082"/>
      <c r="T34" s="3082"/>
      <c r="U34" s="3082"/>
      <c r="V34" s="3082"/>
      <c r="W34" s="3082"/>
      <c r="X34" s="3082"/>
      <c r="Y34" s="3082"/>
      <c r="Z34" s="3082"/>
      <c r="AA34" s="3082"/>
      <c r="AB34" s="3082"/>
      <c r="AC34" s="3082"/>
      <c r="AD34" s="3082"/>
      <c r="AE34" s="3082"/>
      <c r="AF34" s="3082"/>
      <c r="AG34" s="3082"/>
      <c r="AH34" s="3082"/>
      <c r="AI34" s="3082"/>
      <c r="AJ34" s="2733"/>
      <c r="AK34" s="823"/>
      <c r="AL34" s="30"/>
    </row>
    <row r="35" spans="1:38" ht="13.5" customHeight="1" x14ac:dyDescent="0.2">
      <c r="A35" s="28"/>
      <c r="B35" s="3113"/>
      <c r="C35" s="2732"/>
      <c r="D35" s="2709"/>
      <c r="E35" s="2709"/>
      <c r="F35" s="2709"/>
      <c r="G35" s="3109"/>
      <c r="H35" s="3109"/>
      <c r="I35" s="3109"/>
      <c r="J35" s="3109"/>
      <c r="K35" s="3109"/>
      <c r="L35" s="3109"/>
      <c r="M35" s="3109"/>
      <c r="N35" s="3109"/>
      <c r="O35" s="3109"/>
      <c r="P35" s="3109"/>
      <c r="Q35" s="3109"/>
      <c r="R35" s="3109"/>
      <c r="S35" s="3109"/>
      <c r="T35" s="3109"/>
      <c r="U35" s="3109"/>
      <c r="V35" s="3109"/>
      <c r="W35" s="3109"/>
      <c r="X35" s="3109"/>
      <c r="Y35" s="3109"/>
      <c r="Z35" s="3109"/>
      <c r="AA35" s="3109"/>
      <c r="AB35" s="3109"/>
      <c r="AC35" s="3109"/>
      <c r="AD35" s="3109"/>
      <c r="AE35" s="3109"/>
      <c r="AF35" s="3109"/>
      <c r="AG35" s="3109"/>
      <c r="AH35" s="3109"/>
      <c r="AI35" s="3109"/>
      <c r="AJ35" s="2733"/>
      <c r="AK35" s="823"/>
      <c r="AL35" s="30"/>
    </row>
    <row r="36" spans="1:38" ht="2.25" hidden="1" customHeight="1" x14ac:dyDescent="0.2">
      <c r="A36" s="28"/>
      <c r="B36" s="3113"/>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hidden="1" customHeight="1" x14ac:dyDescent="0.2">
      <c r="A37" s="28"/>
      <c r="B37" s="3113"/>
      <c r="C37" s="2732"/>
      <c r="D37" s="2704" t="s">
        <v>2165</v>
      </c>
      <c r="E37" s="2704"/>
      <c r="F37" s="3120">
        <f>Tablas!H1058</f>
        <v>0</v>
      </c>
      <c r="G37" s="3120"/>
      <c r="H37" s="3120"/>
      <c r="I37" s="3120"/>
      <c r="J37" s="3120"/>
      <c r="K37" s="3120"/>
      <c r="L37" s="3120"/>
      <c r="M37" s="3120"/>
      <c r="N37" s="3120"/>
      <c r="O37" s="3120"/>
      <c r="P37" s="3120"/>
      <c r="Q37" s="3120"/>
      <c r="R37" s="3120"/>
      <c r="S37" s="3120"/>
      <c r="T37" s="3120"/>
      <c r="U37" s="2693"/>
      <c r="V37" s="3079" t="s">
        <v>2166</v>
      </c>
      <c r="W37" s="3079"/>
      <c r="X37" s="3079"/>
      <c r="Y37" s="3079"/>
      <c r="Z37" s="3074">
        <f>Místicos!M25</f>
        <v>0</v>
      </c>
      <c r="AA37" s="3074"/>
      <c r="AB37" s="3079" t="s">
        <v>2167</v>
      </c>
      <c r="AC37" s="3079"/>
      <c r="AD37" s="3079"/>
      <c r="AE37" s="3079"/>
      <c r="AF37" s="3074">
        <f>Místicos!M27</f>
        <v>0</v>
      </c>
      <c r="AG37" s="3074"/>
      <c r="AH37" s="2703"/>
      <c r="AI37" s="2700"/>
      <c r="AJ37" s="2730"/>
      <c r="AK37" s="823"/>
      <c r="AL37" s="30"/>
    </row>
    <row r="38" spans="1:38" ht="13.5" hidden="1" customHeight="1" x14ac:dyDescent="0.2">
      <c r="A38" s="28"/>
      <c r="B38" s="1078"/>
      <c r="C38" s="2734"/>
      <c r="D38" s="2704" t="s">
        <v>2168</v>
      </c>
      <c r="E38" s="2704"/>
      <c r="F38" s="3074">
        <f>Místicos!K18</f>
        <v>0</v>
      </c>
      <c r="G38" s="3074"/>
      <c r="H38" s="3074"/>
      <c r="I38" s="2703"/>
      <c r="J38" s="3079" t="s">
        <v>9371</v>
      </c>
      <c r="K38" s="3079"/>
      <c r="L38" s="3079"/>
      <c r="M38" s="2692"/>
      <c r="N38" s="3074">
        <f>Místicos!J13</f>
        <v>0</v>
      </c>
      <c r="O38" s="3074"/>
      <c r="P38" s="3074"/>
      <c r="Q38" s="2703"/>
      <c r="R38" s="2700"/>
      <c r="S38" s="2700"/>
      <c r="T38" s="2700"/>
      <c r="U38" s="2700"/>
      <c r="V38" s="3079" t="s">
        <v>2169</v>
      </c>
      <c r="W38" s="3079"/>
      <c r="X38" s="3079"/>
      <c r="Y38" s="3079"/>
      <c r="Z38" s="3074">
        <f>Místicos!M26</f>
        <v>0</v>
      </c>
      <c r="AA38" s="3074"/>
      <c r="AB38" s="3079" t="s">
        <v>2170</v>
      </c>
      <c r="AC38" s="3079"/>
      <c r="AD38" s="3079"/>
      <c r="AE38" s="3079"/>
      <c r="AF38" s="3074">
        <f>Místicos!M28</f>
        <v>0</v>
      </c>
      <c r="AG38" s="3074"/>
      <c r="AH38" s="2703"/>
      <c r="AI38" s="2700"/>
      <c r="AJ38" s="2730"/>
      <c r="AK38" s="823"/>
      <c r="AL38" s="30"/>
    </row>
    <row r="39" spans="1:38" ht="12" hidden="1" customHeight="1" x14ac:dyDescent="0.2">
      <c r="A39" s="28"/>
      <c r="B39" s="1078"/>
      <c r="C39" s="2734"/>
      <c r="D39" s="3079" t="s">
        <v>2171</v>
      </c>
      <c r="E39" s="3079"/>
      <c r="F39" s="3079"/>
      <c r="G39" s="3079"/>
      <c r="H39" s="3079"/>
      <c r="I39" s="3079"/>
      <c r="J39" s="3074">
        <f>IF(Místicos!P13=Místicos!Q13,Místicos!P13,Místicos!P13&amp;" Ofensiva"&amp;", "&amp;Místicos!Q13&amp;" Defensiva")</f>
        <v>0</v>
      </c>
      <c r="K39" s="3074"/>
      <c r="L39" s="3074"/>
      <c r="M39" s="3074"/>
      <c r="N39" s="3074"/>
      <c r="O39" s="3074"/>
      <c r="P39" s="3074"/>
      <c r="Q39" s="3074"/>
      <c r="R39" s="3074"/>
      <c r="S39" s="3074"/>
      <c r="T39" s="3074"/>
      <c r="U39" s="3074"/>
      <c r="V39" s="3074"/>
      <c r="W39" s="3074"/>
      <c r="X39" s="3074"/>
      <c r="Y39" s="3074"/>
      <c r="Z39" s="3074"/>
      <c r="AA39" s="3074"/>
      <c r="AB39" s="3074"/>
      <c r="AC39" s="3074"/>
      <c r="AD39" s="3074"/>
      <c r="AE39" s="3074"/>
      <c r="AF39" s="3074"/>
      <c r="AG39" s="3074"/>
      <c r="AH39" s="3074"/>
      <c r="AI39" s="3074"/>
      <c r="AJ39" s="2729"/>
      <c r="AK39" s="823"/>
      <c r="AL39" s="30"/>
    </row>
    <row r="40" spans="1:38" ht="12" hidden="1" customHeight="1" x14ac:dyDescent="0.2">
      <c r="A40" s="28"/>
      <c r="B40" s="1078"/>
      <c r="C40" s="2734"/>
      <c r="D40" s="3079" t="s">
        <v>2172</v>
      </c>
      <c r="E40" s="3079"/>
      <c r="F40" s="3111"/>
      <c r="G40" s="3111"/>
      <c r="H40" s="3111"/>
      <c r="I40" s="3082"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82"/>
      <c r="K40" s="3082"/>
      <c r="L40" s="3082"/>
      <c r="M40" s="3082"/>
      <c r="N40" s="3082"/>
      <c r="O40" s="3082"/>
      <c r="P40" s="3082"/>
      <c r="Q40" s="3082"/>
      <c r="R40" s="3082"/>
      <c r="S40" s="3082"/>
      <c r="T40" s="3082"/>
      <c r="U40" s="3082"/>
      <c r="V40" s="3082"/>
      <c r="W40" s="3082"/>
      <c r="X40" s="3082"/>
      <c r="Y40" s="3082"/>
      <c r="Z40" s="3082"/>
      <c r="AA40" s="3082"/>
      <c r="AB40" s="3082"/>
      <c r="AC40" s="3082"/>
      <c r="AD40" s="3082"/>
      <c r="AE40" s="3082"/>
      <c r="AF40" s="3082"/>
      <c r="AG40" s="3082"/>
      <c r="AH40" s="3082"/>
      <c r="AI40" s="3082"/>
      <c r="AJ40" s="2733"/>
      <c r="AK40" s="823"/>
      <c r="AL40" s="30"/>
    </row>
    <row r="41" spans="1:38" ht="12" hidden="1" customHeight="1" x14ac:dyDescent="0.2">
      <c r="A41" s="28"/>
      <c r="B41" s="1078"/>
      <c r="C41" s="2734"/>
      <c r="D41" s="2700"/>
      <c r="E41" s="2700"/>
      <c r="F41" s="2700"/>
      <c r="G41" s="2700"/>
      <c r="H41" s="2700"/>
      <c r="I41" s="3082"/>
      <c r="J41" s="3082"/>
      <c r="K41" s="3082"/>
      <c r="L41" s="3082"/>
      <c r="M41" s="3082"/>
      <c r="N41" s="3082"/>
      <c r="O41" s="3082"/>
      <c r="P41" s="3082"/>
      <c r="Q41" s="3082"/>
      <c r="R41" s="3082"/>
      <c r="S41" s="3082"/>
      <c r="T41" s="3082"/>
      <c r="U41" s="3082"/>
      <c r="V41" s="3082"/>
      <c r="W41" s="3082"/>
      <c r="X41" s="3082"/>
      <c r="Y41" s="3082"/>
      <c r="Z41" s="3082"/>
      <c r="AA41" s="3082"/>
      <c r="AB41" s="3082"/>
      <c r="AC41" s="3082"/>
      <c r="AD41" s="3082"/>
      <c r="AE41" s="3082"/>
      <c r="AF41" s="3082"/>
      <c r="AG41" s="3082"/>
      <c r="AH41" s="3082"/>
      <c r="AI41" s="3082"/>
      <c r="AJ41" s="2733"/>
      <c r="AK41" s="823"/>
      <c r="AL41" s="30"/>
    </row>
    <row r="42" spans="1:38" ht="12" hidden="1" customHeight="1" x14ac:dyDescent="0.2">
      <c r="A42" s="28"/>
      <c r="B42" s="750"/>
      <c r="C42" s="2731"/>
      <c r="D42" s="2700"/>
      <c r="E42" s="2700"/>
      <c r="F42" s="2700"/>
      <c r="G42" s="2700"/>
      <c r="H42" s="2700"/>
      <c r="I42" s="3082"/>
      <c r="J42" s="3082"/>
      <c r="K42" s="3082"/>
      <c r="L42" s="3082"/>
      <c r="M42" s="3082"/>
      <c r="N42" s="3082"/>
      <c r="O42" s="3082"/>
      <c r="P42" s="3082"/>
      <c r="Q42" s="3082"/>
      <c r="R42" s="3082"/>
      <c r="S42" s="3082"/>
      <c r="T42" s="3082"/>
      <c r="U42" s="3082"/>
      <c r="V42" s="3082"/>
      <c r="W42" s="3082"/>
      <c r="X42" s="3082"/>
      <c r="Y42" s="3082"/>
      <c r="Z42" s="3082"/>
      <c r="AA42" s="3082"/>
      <c r="AB42" s="3082"/>
      <c r="AC42" s="3082"/>
      <c r="AD42" s="3082"/>
      <c r="AE42" s="3082"/>
      <c r="AF42" s="3082"/>
      <c r="AG42" s="3082"/>
      <c r="AH42" s="3082"/>
      <c r="AI42" s="3082"/>
      <c r="AJ42" s="2733"/>
      <c r="AK42" s="823"/>
      <c r="AL42" s="30"/>
    </row>
    <row r="43" spans="1:38" ht="13.5" hidden="1" customHeight="1" x14ac:dyDescent="0.2">
      <c r="A43" s="28"/>
      <c r="B43" s="750"/>
      <c r="C43" s="2731"/>
      <c r="D43" s="2709"/>
      <c r="E43" s="2709"/>
      <c r="F43" s="2709"/>
      <c r="G43" s="2709"/>
      <c r="H43" s="2709"/>
      <c r="I43" s="3109"/>
      <c r="J43" s="3109"/>
      <c r="K43" s="3109"/>
      <c r="L43" s="3109"/>
      <c r="M43" s="3109"/>
      <c r="N43" s="3109"/>
      <c r="O43" s="3109"/>
      <c r="P43" s="3109"/>
      <c r="Q43" s="3109"/>
      <c r="R43" s="3109"/>
      <c r="S43" s="3109"/>
      <c r="T43" s="3109"/>
      <c r="U43" s="3109"/>
      <c r="V43" s="3109"/>
      <c r="W43" s="3109"/>
      <c r="X43" s="3109"/>
      <c r="Y43" s="3109"/>
      <c r="Z43" s="3109"/>
      <c r="AA43" s="3109"/>
      <c r="AB43" s="3109"/>
      <c r="AC43" s="3109"/>
      <c r="AD43" s="3109"/>
      <c r="AE43" s="3109"/>
      <c r="AF43" s="3109"/>
      <c r="AG43" s="3109"/>
      <c r="AH43" s="3109"/>
      <c r="AI43" s="3109"/>
      <c r="AJ43" s="2733"/>
      <c r="AK43" s="823"/>
      <c r="AL43" s="30"/>
    </row>
    <row r="44" spans="1:38" ht="2.25" hidden="1"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hidden="1" customHeight="1" x14ac:dyDescent="0.2">
      <c r="A45" s="28"/>
      <c r="B45" s="1078"/>
      <c r="C45" s="2734"/>
      <c r="D45" s="3079" t="s">
        <v>2173</v>
      </c>
      <c r="E45" s="3079"/>
      <c r="F45" s="3079"/>
      <c r="G45" s="3079"/>
      <c r="H45" s="3074">
        <f>Psíquicos!I16</f>
        <v>1</v>
      </c>
      <c r="I45" s="3074"/>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hidden="1" customHeight="1" x14ac:dyDescent="0.2">
      <c r="A46" s="28"/>
      <c r="B46" s="1078"/>
      <c r="C46" s="2734"/>
      <c r="D46" s="3079" t="s">
        <v>2174</v>
      </c>
      <c r="E46" s="3079"/>
      <c r="F46" s="3079"/>
      <c r="G46" s="3074">
        <f>Psíquicos!M13</f>
        <v>0</v>
      </c>
      <c r="H46" s="3074"/>
      <c r="I46" s="2703"/>
      <c r="J46" s="2700"/>
      <c r="K46" s="2700"/>
      <c r="L46" s="2700"/>
      <c r="M46" s="2700"/>
      <c r="N46" s="2700"/>
      <c r="O46" s="2700"/>
      <c r="P46" s="2700"/>
      <c r="Q46" s="2701"/>
      <c r="R46" s="3075" t="s">
        <v>2175</v>
      </c>
      <c r="S46" s="3075"/>
      <c r="T46" s="3075"/>
      <c r="U46" s="3075"/>
      <c r="V46" s="3075"/>
      <c r="W46" s="3075"/>
      <c r="X46" s="3076" t="str">
        <f>IF(Psíquicos!C39="","",Psíquicos!C39)&amp;IF(Psíquicos!C41="","",", "&amp;Psíquicos!C41)&amp;IF(Psíquicos!C43="","",", "&amp;Psíquicos!C43)&amp;IF(Psíquicos!C45="","",", "&amp;Psíquicos!C45)&amp;IF(Psíquicos!C47="","",", "&amp;Psíquicos!C47)&amp;IF(Psíquicos!C49="","",", "&amp;Psíquicos!C49)</f>
        <v/>
      </c>
      <c r="Y46" s="3076"/>
      <c r="Z46" s="3076"/>
      <c r="AA46" s="3076"/>
      <c r="AB46" s="3076"/>
      <c r="AC46" s="3076"/>
      <c r="AD46" s="3076"/>
      <c r="AE46" s="3076"/>
      <c r="AF46" s="3076"/>
      <c r="AG46" s="3076"/>
      <c r="AH46" s="3076"/>
      <c r="AI46" s="3076"/>
      <c r="AJ46" s="2730"/>
      <c r="AK46" s="823"/>
      <c r="AL46" s="30"/>
    </row>
    <row r="47" spans="1:38" ht="13.5" hidden="1" customHeight="1" x14ac:dyDescent="0.2">
      <c r="A47" s="28"/>
      <c r="B47" s="1078"/>
      <c r="C47" s="2734"/>
      <c r="D47" s="3079" t="s">
        <v>2176</v>
      </c>
      <c r="E47" s="3079"/>
      <c r="F47" s="3079"/>
      <c r="G47" s="3079"/>
      <c r="H47" s="3079"/>
      <c r="I47" s="3079"/>
      <c r="J47" s="3073">
        <f>Psíquicos!H11</f>
        <v>0</v>
      </c>
      <c r="K47" s="3073"/>
      <c r="L47" s="3073"/>
      <c r="M47" s="2703"/>
      <c r="N47" s="2704"/>
      <c r="O47" s="2704"/>
      <c r="P47" s="2704"/>
      <c r="Q47" s="2704"/>
      <c r="R47" s="2704"/>
      <c r="S47" s="2704"/>
      <c r="T47" s="2704"/>
      <c r="U47" s="2702"/>
      <c r="V47" s="2689" t="s">
        <v>3154</v>
      </c>
      <c r="W47" s="2689"/>
      <c r="X47" s="3076"/>
      <c r="Y47" s="3076"/>
      <c r="Z47" s="3076"/>
      <c r="AA47" s="3076"/>
      <c r="AB47" s="3076"/>
      <c r="AC47" s="3076"/>
      <c r="AD47" s="3076"/>
      <c r="AE47" s="3076"/>
      <c r="AF47" s="3076"/>
      <c r="AG47" s="3076"/>
      <c r="AH47" s="3076"/>
      <c r="AI47" s="3076"/>
      <c r="AJ47" s="2733"/>
      <c r="AK47" s="823"/>
      <c r="AL47" s="30"/>
    </row>
    <row r="48" spans="1:38" ht="13.5" hidden="1" customHeight="1" x14ac:dyDescent="0.2">
      <c r="A48" s="28"/>
      <c r="B48" s="1078"/>
      <c r="C48" s="2734"/>
      <c r="D48" s="3079" t="s">
        <v>2177</v>
      </c>
      <c r="E48" s="3079"/>
      <c r="F48" s="3111"/>
      <c r="G48" s="3111"/>
      <c r="H48" s="3111"/>
      <c r="I48" s="3111"/>
      <c r="J48" s="3111"/>
      <c r="K48" s="3073">
        <f>IF(Psíquicos!P12=Psíquicos!Q12,Psíquicos!P12,Psíquicos!P12&amp;" Ofensiva"&amp;", "&amp;Psíquicos!Q12&amp;" Defensiva")</f>
        <v>0</v>
      </c>
      <c r="L48" s="3073"/>
      <c r="M48" s="3073"/>
      <c r="N48" s="3073"/>
      <c r="O48" s="3073"/>
      <c r="P48" s="3073"/>
      <c r="Q48" s="3073"/>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hidden="1" customHeight="1" x14ac:dyDescent="0.2">
      <c r="A49" s="28"/>
      <c r="B49" s="1076"/>
      <c r="C49" s="2720"/>
      <c r="D49" s="3079" t="s">
        <v>2178</v>
      </c>
      <c r="E49" s="3079"/>
      <c r="F49" s="3111"/>
      <c r="G49" s="3111"/>
      <c r="H49" s="3111"/>
      <c r="I49" s="3111"/>
      <c r="J49" s="3111"/>
      <c r="K49" s="3112" t="str">
        <f>IF(Psíquicos!C25=0,"",Psíquicos!C25)&amp;IF(Psíquicos!C27=0,"",", "&amp;Psíquicos!C27)&amp;IF(Psíquicos!C29=0,"",", "&amp;Psíquicos!C29)&amp;IF(Psíquicos!C31=0,"",", "&amp;Psíquicos!C31)&amp;IF(Psíquicos!C33=0,"",", "&amp;Psíquicos!C33)&amp;IF(Psíquicos!C35=0,"",", "&amp;Psíquicos!C35)</f>
        <v/>
      </c>
      <c r="L49" s="3112"/>
      <c r="M49" s="3112"/>
      <c r="N49" s="3112"/>
      <c r="O49" s="3112"/>
      <c r="P49" s="3112"/>
      <c r="Q49" s="3112"/>
      <c r="R49" s="3112"/>
      <c r="S49" s="3112"/>
      <c r="T49" s="3112"/>
      <c r="U49" s="3112"/>
      <c r="V49" s="3112"/>
      <c r="W49" s="3112"/>
      <c r="X49" s="3112"/>
      <c r="Y49" s="3112"/>
      <c r="Z49" s="3112"/>
      <c r="AA49" s="3112"/>
      <c r="AB49" s="3112"/>
      <c r="AC49" s="3112"/>
      <c r="AD49" s="3112"/>
      <c r="AE49" s="3112"/>
      <c r="AF49" s="3112"/>
      <c r="AG49" s="3112"/>
      <c r="AH49" s="3112"/>
      <c r="AI49" s="3112"/>
      <c r="AJ49" s="2727"/>
      <c r="AK49" s="823"/>
      <c r="AL49" s="30"/>
    </row>
    <row r="50" spans="1:40" ht="13.5" hidden="1" customHeight="1" x14ac:dyDescent="0.2">
      <c r="A50" s="28"/>
      <c r="B50" s="1076"/>
      <c r="C50" s="2720"/>
      <c r="D50" s="3079" t="s">
        <v>2179</v>
      </c>
      <c r="E50" s="3079"/>
      <c r="F50" s="3079"/>
      <c r="G50" s="3079"/>
      <c r="H50" s="3079"/>
      <c r="I50" s="3079"/>
      <c r="J50" s="308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82"/>
      <c r="L50" s="3082"/>
      <c r="M50" s="3082"/>
      <c r="N50" s="3082"/>
      <c r="O50" s="3082"/>
      <c r="P50" s="3082"/>
      <c r="Q50" s="3082"/>
      <c r="R50" s="3082"/>
      <c r="S50" s="3082"/>
      <c r="T50" s="3082"/>
      <c r="U50" s="3082"/>
      <c r="V50" s="3082"/>
      <c r="W50" s="3082"/>
      <c r="X50" s="3082"/>
      <c r="Y50" s="3082"/>
      <c r="Z50" s="3082"/>
      <c r="AA50" s="3082"/>
      <c r="AB50" s="3082"/>
      <c r="AC50" s="3082"/>
      <c r="AD50" s="3082"/>
      <c r="AE50" s="3082"/>
      <c r="AF50" s="3082"/>
      <c r="AG50" s="3082"/>
      <c r="AH50" s="3082"/>
      <c r="AI50" s="3082"/>
      <c r="AJ50" s="2733"/>
      <c r="AK50" s="823"/>
      <c r="AL50" s="30"/>
    </row>
    <row r="51" spans="1:40" ht="10.5" hidden="1" customHeight="1" x14ac:dyDescent="0.2">
      <c r="A51" s="28"/>
      <c r="B51" s="1076"/>
      <c r="C51" s="2720"/>
      <c r="D51" s="2700"/>
      <c r="E51" s="2700"/>
      <c r="F51" s="2700"/>
      <c r="G51" s="2700"/>
      <c r="H51" s="2700"/>
      <c r="I51" s="2700"/>
      <c r="J51" s="3082"/>
      <c r="K51" s="3082"/>
      <c r="L51" s="3082"/>
      <c r="M51" s="3082"/>
      <c r="N51" s="3082"/>
      <c r="O51" s="3082"/>
      <c r="P51" s="3082"/>
      <c r="Q51" s="3082"/>
      <c r="R51" s="3082"/>
      <c r="S51" s="3082"/>
      <c r="T51" s="3082"/>
      <c r="U51" s="3082"/>
      <c r="V51" s="3082"/>
      <c r="W51" s="3082"/>
      <c r="X51" s="3082"/>
      <c r="Y51" s="3082"/>
      <c r="Z51" s="3082"/>
      <c r="AA51" s="3082"/>
      <c r="AB51" s="3082"/>
      <c r="AC51" s="3082"/>
      <c r="AD51" s="3082"/>
      <c r="AE51" s="3082"/>
      <c r="AF51" s="3082"/>
      <c r="AG51" s="3082"/>
      <c r="AH51" s="3082"/>
      <c r="AI51" s="3082"/>
      <c r="AJ51" s="2733"/>
      <c r="AK51" s="823"/>
      <c r="AL51" s="30"/>
    </row>
    <row r="52" spans="1:40" ht="13.5" hidden="1"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79" t="s">
        <v>2180</v>
      </c>
      <c r="E54" s="3079"/>
      <c r="F54" s="3079"/>
      <c r="G54" s="3079"/>
      <c r="H54" s="3079"/>
      <c r="I54" s="3079"/>
      <c r="J54" s="3079"/>
      <c r="K54" s="3082" t="str">
        <f>IF(AN54="","",LEFT(AN54,LEN(AN54)-2))</f>
        <v>Sangre de Aeon: Kagutsuchi</v>
      </c>
      <c r="L54" s="3082"/>
      <c r="M54" s="3082"/>
      <c r="N54" s="3082"/>
      <c r="O54" s="3082"/>
      <c r="P54" s="3082"/>
      <c r="Q54" s="3082"/>
      <c r="R54" s="3082"/>
      <c r="S54" s="3082"/>
      <c r="T54" s="3082"/>
      <c r="U54" s="3082"/>
      <c r="V54" s="3082"/>
      <c r="W54" s="3082"/>
      <c r="X54" s="3082"/>
      <c r="Y54" s="3082"/>
      <c r="Z54" s="3082"/>
      <c r="AA54" s="3082"/>
      <c r="AB54" s="3082"/>
      <c r="AC54" s="3082"/>
      <c r="AD54" s="3082"/>
      <c r="AE54" s="3082"/>
      <c r="AF54" s="3082"/>
      <c r="AG54" s="3082"/>
      <c r="AH54" s="3082"/>
      <c r="AI54" s="3082"/>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Kagutsuchi, </v>
      </c>
    </row>
    <row r="55" spans="1:40" ht="21.75" customHeight="1" x14ac:dyDescent="0.2">
      <c r="A55" s="28"/>
      <c r="B55" s="1076"/>
      <c r="C55" s="2720"/>
      <c r="D55" s="2700"/>
      <c r="E55" s="2700"/>
      <c r="F55" s="2700"/>
      <c r="G55" s="2700"/>
      <c r="H55" s="2700"/>
      <c r="I55" s="2700"/>
      <c r="J55" s="2700"/>
      <c r="K55" s="3082"/>
      <c r="L55" s="3082"/>
      <c r="M55" s="3082"/>
      <c r="N55" s="3082"/>
      <c r="O55" s="3082"/>
      <c r="P55" s="3082"/>
      <c r="Q55" s="3082"/>
      <c r="R55" s="3082"/>
      <c r="S55" s="3082"/>
      <c r="T55" s="3082"/>
      <c r="U55" s="3082"/>
      <c r="V55" s="3082"/>
      <c r="W55" s="3082"/>
      <c r="X55" s="3082"/>
      <c r="Y55" s="3082"/>
      <c r="Z55" s="3082"/>
      <c r="AA55" s="3082"/>
      <c r="AB55" s="3082"/>
      <c r="AC55" s="3082"/>
      <c r="AD55" s="3082"/>
      <c r="AE55" s="3082"/>
      <c r="AF55" s="3082"/>
      <c r="AG55" s="3082"/>
      <c r="AH55" s="3082"/>
      <c r="AI55" s="3082"/>
      <c r="AJ55" s="2733"/>
      <c r="AK55" s="823"/>
      <c r="AL55" s="30"/>
    </row>
    <row r="56" spans="1:40" ht="12" customHeight="1" x14ac:dyDescent="0.2">
      <c r="A56" s="28"/>
      <c r="B56" s="1076"/>
      <c r="C56" s="2720"/>
      <c r="D56" s="3079" t="s">
        <v>2181</v>
      </c>
      <c r="E56" s="3079"/>
      <c r="F56" s="3111"/>
      <c r="G56" s="3111"/>
      <c r="H56" s="3111"/>
      <c r="I56" s="3111"/>
      <c r="J56" s="3111"/>
      <c r="K56" s="3082" t="str">
        <f>Tablas!$G$2002</f>
        <v/>
      </c>
      <c r="L56" s="3082"/>
      <c r="M56" s="3082"/>
      <c r="N56" s="3082"/>
      <c r="O56" s="3082"/>
      <c r="P56" s="3082"/>
      <c r="Q56" s="3082"/>
      <c r="R56" s="3082"/>
      <c r="S56" s="3082"/>
      <c r="T56" s="3082"/>
      <c r="U56" s="3082"/>
      <c r="V56" s="3082"/>
      <c r="W56" s="3082"/>
      <c r="X56" s="3082"/>
      <c r="Y56" s="3082"/>
      <c r="Z56" s="3082"/>
      <c r="AA56" s="3082"/>
      <c r="AB56" s="3082"/>
      <c r="AC56" s="3082"/>
      <c r="AD56" s="3082"/>
      <c r="AE56" s="3082"/>
      <c r="AF56" s="3082"/>
      <c r="AG56" s="3082"/>
      <c r="AH56" s="3082"/>
      <c r="AI56" s="3082"/>
      <c r="AJ56" s="2733"/>
      <c r="AK56" s="823"/>
      <c r="AL56" s="30"/>
    </row>
    <row r="57" spans="1:40" ht="12" customHeight="1" x14ac:dyDescent="0.2">
      <c r="A57" s="28"/>
      <c r="B57" s="1076"/>
      <c r="C57" s="2720"/>
      <c r="D57" s="2700"/>
      <c r="E57" s="2700"/>
      <c r="F57" s="2700"/>
      <c r="G57" s="2700"/>
      <c r="H57" s="2700"/>
      <c r="I57" s="2700"/>
      <c r="J57" s="2700"/>
      <c r="K57" s="3082"/>
      <c r="L57" s="3082"/>
      <c r="M57" s="3082"/>
      <c r="N57" s="3082"/>
      <c r="O57" s="3082"/>
      <c r="P57" s="3082"/>
      <c r="Q57" s="3082"/>
      <c r="R57" s="3082"/>
      <c r="S57" s="3082"/>
      <c r="T57" s="3082"/>
      <c r="U57" s="3082"/>
      <c r="V57" s="3082"/>
      <c r="W57" s="3082"/>
      <c r="X57" s="3082"/>
      <c r="Y57" s="3082"/>
      <c r="Z57" s="3082"/>
      <c r="AA57" s="3082"/>
      <c r="AB57" s="3082"/>
      <c r="AC57" s="3082"/>
      <c r="AD57" s="3082"/>
      <c r="AE57" s="3082"/>
      <c r="AF57" s="3082"/>
      <c r="AG57" s="3082"/>
      <c r="AH57" s="3082"/>
      <c r="AI57" s="3082"/>
      <c r="AJ57" s="2733"/>
      <c r="AK57" s="823"/>
      <c r="AL57" s="30"/>
    </row>
    <row r="58" spans="1:40" ht="13.5" customHeight="1" x14ac:dyDescent="0.2">
      <c r="A58" s="28"/>
      <c r="B58" s="1076"/>
      <c r="C58" s="2720"/>
      <c r="D58" s="3077" t="s">
        <v>8083</v>
      </c>
      <c r="E58" s="3077"/>
      <c r="F58" s="3077"/>
      <c r="G58" s="3078" t="str">
        <f>IF(Elan!C11="","",Elan!C11&amp;" "&amp;Elan!G11)&amp;IF(Elan!U11="","",", "&amp;Elan!U11&amp;" "&amp;Elan!Y11)</f>
        <v/>
      </c>
      <c r="H58" s="3078"/>
      <c r="I58" s="3078"/>
      <c r="J58" s="3078"/>
      <c r="K58" s="3078"/>
      <c r="L58" s="3078"/>
      <c r="M58" s="3078"/>
      <c r="N58" s="3078"/>
      <c r="O58" s="3078"/>
      <c r="P58" s="3078"/>
      <c r="Q58" s="3078"/>
      <c r="R58" s="3078"/>
      <c r="S58" s="3078"/>
      <c r="T58" s="3078"/>
      <c r="U58" s="3078"/>
      <c r="V58" s="3078"/>
      <c r="W58" s="3078"/>
      <c r="X58" s="3078"/>
      <c r="Y58" s="3078"/>
      <c r="Z58" s="3078"/>
      <c r="AA58" s="3078"/>
      <c r="AB58" s="3078"/>
      <c r="AC58" s="3078"/>
      <c r="AD58" s="3078"/>
      <c r="AE58" s="3078"/>
      <c r="AF58" s="3078"/>
      <c r="AG58" s="3078"/>
      <c r="AH58" s="3078"/>
      <c r="AI58" s="3078"/>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79" t="s">
        <v>2182</v>
      </c>
      <c r="E60" s="3079"/>
      <c r="F60" s="3111"/>
      <c r="G60" s="3111"/>
      <c r="H60" s="3111"/>
      <c r="I60" s="3111"/>
      <c r="J60" s="3111"/>
      <c r="K60" s="308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82"/>
      <c r="M60" s="3082"/>
      <c r="N60" s="3082"/>
      <c r="O60" s="3082"/>
      <c r="P60" s="3082"/>
      <c r="Q60" s="3082"/>
      <c r="R60" s="3082"/>
      <c r="S60" s="3082"/>
      <c r="T60" s="3082"/>
      <c r="U60" s="3082"/>
      <c r="V60" s="3082"/>
      <c r="W60" s="3082"/>
      <c r="X60" s="3082"/>
      <c r="Y60" s="3082"/>
      <c r="Z60" s="3082"/>
      <c r="AA60" s="3082"/>
      <c r="AB60" s="3082"/>
      <c r="AC60" s="3082"/>
      <c r="AD60" s="3082"/>
      <c r="AE60" s="3082"/>
      <c r="AF60" s="3082"/>
      <c r="AG60" s="3082"/>
      <c r="AH60" s="3082"/>
      <c r="AI60" s="3082"/>
      <c r="AJ60" s="2733"/>
      <c r="AK60" s="823"/>
      <c r="AL60" s="30"/>
    </row>
    <row r="61" spans="1:40" ht="12" customHeight="1" x14ac:dyDescent="0.2">
      <c r="A61" s="28"/>
      <c r="B61" s="1076"/>
      <c r="C61" s="2720"/>
      <c r="D61" s="2700"/>
      <c r="E61" s="2700"/>
      <c r="F61" s="2700"/>
      <c r="G61" s="2700"/>
      <c r="H61" s="2700"/>
      <c r="I61" s="2700"/>
      <c r="J61" s="2700"/>
      <c r="K61" s="3082"/>
      <c r="L61" s="3082"/>
      <c r="M61" s="3082"/>
      <c r="N61" s="3082"/>
      <c r="O61" s="3082"/>
      <c r="P61" s="3082"/>
      <c r="Q61" s="3082"/>
      <c r="R61" s="3082"/>
      <c r="S61" s="3082"/>
      <c r="T61" s="3082"/>
      <c r="U61" s="3082"/>
      <c r="V61" s="3082"/>
      <c r="W61" s="3082"/>
      <c r="X61" s="3082"/>
      <c r="Y61" s="3082"/>
      <c r="Z61" s="3082"/>
      <c r="AA61" s="3082"/>
      <c r="AB61" s="3082"/>
      <c r="AC61" s="3082"/>
      <c r="AD61" s="3082"/>
      <c r="AE61" s="3082"/>
      <c r="AF61" s="3082"/>
      <c r="AG61" s="3082"/>
      <c r="AH61" s="3082"/>
      <c r="AI61" s="3082"/>
      <c r="AJ61" s="2733"/>
      <c r="AK61" s="823"/>
      <c r="AL61" s="30"/>
    </row>
    <row r="62" spans="1:40" ht="12" customHeight="1" x14ac:dyDescent="0.2">
      <c r="A62" s="28"/>
      <c r="B62" s="1076"/>
      <c r="C62" s="2720"/>
      <c r="D62" s="3079" t="s">
        <v>2183</v>
      </c>
      <c r="E62" s="3079"/>
      <c r="F62" s="3111"/>
      <c r="G62" s="3082" t="str">
        <f>Tablas!J2039</f>
        <v/>
      </c>
      <c r="H62" s="3082"/>
      <c r="I62" s="3082"/>
      <c r="J62" s="3082"/>
      <c r="K62" s="3082"/>
      <c r="L62" s="3082"/>
      <c r="M62" s="3082"/>
      <c r="N62" s="3082"/>
      <c r="O62" s="3082"/>
      <c r="P62" s="3082"/>
      <c r="Q62" s="3082"/>
      <c r="R62" s="3082"/>
      <c r="S62" s="3082"/>
      <c r="T62" s="3082"/>
      <c r="U62" s="3082"/>
      <c r="V62" s="3082"/>
      <c r="W62" s="3082"/>
      <c r="X62" s="3082"/>
      <c r="Y62" s="3082"/>
      <c r="Z62" s="3082"/>
      <c r="AA62" s="3082"/>
      <c r="AB62" s="3082"/>
      <c r="AC62" s="3082"/>
      <c r="AD62" s="3082"/>
      <c r="AE62" s="3082"/>
      <c r="AF62" s="3082"/>
      <c r="AG62" s="3082"/>
      <c r="AH62" s="3082"/>
      <c r="AI62" s="3082"/>
      <c r="AJ62" s="2733"/>
      <c r="AK62" s="823"/>
      <c r="AL62" s="30"/>
    </row>
    <row r="63" spans="1:40" ht="12" customHeight="1" x14ac:dyDescent="0.2">
      <c r="A63" s="28"/>
      <c r="B63" s="1076"/>
      <c r="C63" s="2720"/>
      <c r="D63" s="2700"/>
      <c r="E63" s="2700"/>
      <c r="F63" s="2700"/>
      <c r="G63" s="3082"/>
      <c r="H63" s="3082"/>
      <c r="I63" s="3082"/>
      <c r="J63" s="3082"/>
      <c r="K63" s="3082"/>
      <c r="L63" s="3082"/>
      <c r="M63" s="3082"/>
      <c r="N63" s="3082"/>
      <c r="O63" s="3082"/>
      <c r="P63" s="3082"/>
      <c r="Q63" s="3082"/>
      <c r="R63" s="3082"/>
      <c r="S63" s="3082"/>
      <c r="T63" s="3082"/>
      <c r="U63" s="3082"/>
      <c r="V63" s="3082"/>
      <c r="W63" s="3082"/>
      <c r="X63" s="3082"/>
      <c r="Y63" s="3082"/>
      <c r="Z63" s="3082"/>
      <c r="AA63" s="3082"/>
      <c r="AB63" s="3082"/>
      <c r="AC63" s="3082"/>
      <c r="AD63" s="3082"/>
      <c r="AE63" s="3082"/>
      <c r="AF63" s="3082"/>
      <c r="AG63" s="3082"/>
      <c r="AH63" s="3082"/>
      <c r="AI63" s="3082"/>
      <c r="AJ63" s="2733"/>
      <c r="AK63" s="823"/>
      <c r="AL63" s="30"/>
    </row>
    <row r="64" spans="1:40" ht="12" customHeight="1" x14ac:dyDescent="0.2">
      <c r="A64" s="28"/>
      <c r="B64" s="1076"/>
      <c r="C64" s="2720"/>
      <c r="D64" s="2700"/>
      <c r="E64" s="2700"/>
      <c r="F64" s="2700"/>
      <c r="G64" s="3082"/>
      <c r="H64" s="3082"/>
      <c r="I64" s="3082"/>
      <c r="J64" s="3082"/>
      <c r="K64" s="3082"/>
      <c r="L64" s="3082"/>
      <c r="M64" s="3082"/>
      <c r="N64" s="3082"/>
      <c r="O64" s="3082"/>
      <c r="P64" s="3082"/>
      <c r="Q64" s="3082"/>
      <c r="R64" s="3082"/>
      <c r="S64" s="3082"/>
      <c r="T64" s="3082"/>
      <c r="U64" s="3082"/>
      <c r="V64" s="3082"/>
      <c r="W64" s="3082"/>
      <c r="X64" s="3082"/>
      <c r="Y64" s="3082"/>
      <c r="Z64" s="3082"/>
      <c r="AA64" s="3082"/>
      <c r="AB64" s="3082"/>
      <c r="AC64" s="3082"/>
      <c r="AD64" s="3082"/>
      <c r="AE64" s="3082"/>
      <c r="AF64" s="3082"/>
      <c r="AG64" s="3082"/>
      <c r="AH64" s="3082"/>
      <c r="AI64" s="3082"/>
      <c r="AJ64" s="2733"/>
      <c r="AK64" s="823"/>
      <c r="AL64" s="30"/>
    </row>
    <row r="65" spans="1:38" ht="13.5" customHeight="1" x14ac:dyDescent="0.2">
      <c r="A65" s="28"/>
      <c r="B65" s="1076"/>
      <c r="C65" s="2720"/>
      <c r="D65" s="2709"/>
      <c r="E65" s="2709"/>
      <c r="F65" s="2709"/>
      <c r="G65" s="3109"/>
      <c r="H65" s="3109"/>
      <c r="I65" s="3109"/>
      <c r="J65" s="3109"/>
      <c r="K65" s="3109"/>
      <c r="L65" s="3109"/>
      <c r="M65" s="3109"/>
      <c r="N65" s="3109"/>
      <c r="O65" s="3109"/>
      <c r="P65" s="3109"/>
      <c r="Q65" s="3109"/>
      <c r="R65" s="3109"/>
      <c r="S65" s="3109"/>
      <c r="T65" s="3109"/>
      <c r="U65" s="3109"/>
      <c r="V65" s="3109"/>
      <c r="W65" s="3109"/>
      <c r="X65" s="3109"/>
      <c r="Y65" s="3109"/>
      <c r="Z65" s="3109"/>
      <c r="AA65" s="3109"/>
      <c r="AB65" s="3109"/>
      <c r="AC65" s="3109"/>
      <c r="AD65" s="3109"/>
      <c r="AE65" s="3109"/>
      <c r="AF65" s="3109"/>
      <c r="AG65" s="3109"/>
      <c r="AH65" s="3109"/>
      <c r="AI65" s="3109"/>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105" t="s">
        <v>1634</v>
      </c>
      <c r="E67" s="3105"/>
      <c r="F67" s="3144"/>
      <c r="G67" s="3085" t="str">
        <f>Tamaño&amp;", "&amp;Principal!M6</f>
        <v>1, Medio</v>
      </c>
      <c r="H67" s="3085"/>
      <c r="I67" s="3085"/>
      <c r="J67" s="3085"/>
      <c r="K67" s="3085"/>
      <c r="L67" s="2706"/>
      <c r="M67" s="2706"/>
      <c r="N67" s="2706"/>
      <c r="O67" s="2706"/>
      <c r="P67" s="2706"/>
      <c r="Q67" s="2707"/>
      <c r="R67" s="2700"/>
      <c r="S67" s="2700"/>
      <c r="T67" s="3079" t="s">
        <v>2184</v>
      </c>
      <c r="U67" s="3079"/>
      <c r="V67" s="3079"/>
      <c r="W67" s="3079"/>
      <c r="X67" s="3079"/>
      <c r="Y67" s="2711">
        <f>Regeneración</f>
        <v>0</v>
      </c>
      <c r="Z67" s="2701"/>
      <c r="AA67" s="3146" t="str">
        <f>Principal!K11&amp;" (pen. "&amp;Principal!K12&amp;")"</f>
        <v>Ninguna (pen. Ninguna)</v>
      </c>
      <c r="AB67" s="3146"/>
      <c r="AC67" s="3146"/>
      <c r="AD67" s="3146"/>
      <c r="AE67" s="3146"/>
      <c r="AF67" s="3146"/>
      <c r="AG67" s="3146"/>
      <c r="AH67" s="3146"/>
      <c r="AI67" s="3146"/>
      <c r="AJ67" s="2730"/>
      <c r="AK67" s="823"/>
      <c r="AL67" s="30"/>
    </row>
    <row r="68" spans="1:38" ht="13.5" customHeight="1" x14ac:dyDescent="0.2">
      <c r="A68" s="28"/>
      <c r="B68" s="1076"/>
      <c r="C68" s="2720"/>
      <c r="D68" s="2708" t="s">
        <v>2185</v>
      </c>
      <c r="E68" s="2708"/>
      <c r="F68" s="2708"/>
      <c r="G68" s="2708"/>
      <c r="H68" s="2708"/>
      <c r="I68" s="2708"/>
      <c r="J68" s="3082" t="str">
        <f>Tablas!T65</f>
        <v>1 (&lt; 1 m / asalto)</v>
      </c>
      <c r="K68" s="3082"/>
      <c r="L68" s="3082"/>
      <c r="M68" s="3082"/>
      <c r="N68" s="3082"/>
      <c r="O68" s="3082"/>
      <c r="P68" s="3082"/>
      <c r="Q68" s="3082"/>
      <c r="R68" s="3082"/>
      <c r="S68" s="3082"/>
      <c r="T68" s="3079" t="s">
        <v>2186</v>
      </c>
      <c r="U68" s="3079"/>
      <c r="V68" s="3079"/>
      <c r="W68" s="3079"/>
      <c r="X68" s="3074" t="str">
        <f>IF(Cansancio=0,"Incansable",Cansancio)</f>
        <v>Incansable</v>
      </c>
      <c r="Y68" s="3074"/>
      <c r="Z68" s="3074"/>
      <c r="AA68" s="3074"/>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109"/>
      <c r="K69" s="3109"/>
      <c r="L69" s="3109"/>
      <c r="M69" s="3109"/>
      <c r="N69" s="3109"/>
      <c r="O69" s="3109"/>
      <c r="P69" s="3109"/>
      <c r="Q69" s="3109"/>
      <c r="R69" s="3109"/>
      <c r="S69" s="3109"/>
      <c r="T69" s="3147" t="s">
        <v>1697</v>
      </c>
      <c r="U69" s="3147"/>
      <c r="V69" s="3147"/>
      <c r="W69" s="3147"/>
      <c r="X69" s="3147"/>
      <c r="Y69" s="3147"/>
      <c r="Z69" s="3145">
        <f>Principal!J32</f>
        <v>1</v>
      </c>
      <c r="AA69" s="3145"/>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79" t="s">
        <v>2187</v>
      </c>
      <c r="E71" s="3079"/>
      <c r="F71" s="3079"/>
      <c r="G71" s="3079"/>
      <c r="H71" s="3079"/>
      <c r="I71" s="3079"/>
      <c r="J71" s="3079"/>
      <c r="K71" s="3079"/>
      <c r="L71" s="3079"/>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82"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82"/>
      <c r="F72" s="3082"/>
      <c r="G72" s="3082"/>
      <c r="H72" s="3082"/>
      <c r="I72" s="3082"/>
      <c r="J72" s="3082"/>
      <c r="K72" s="3082"/>
      <c r="L72" s="3082"/>
      <c r="M72" s="3082"/>
      <c r="N72" s="3082"/>
      <c r="O72" s="3082"/>
      <c r="P72" s="3082"/>
      <c r="Q72" s="3082"/>
      <c r="R72" s="3082"/>
      <c r="S72" s="3082"/>
      <c r="T72" s="3082"/>
      <c r="U72" s="3082"/>
      <c r="V72" s="3082"/>
      <c r="W72" s="3082"/>
      <c r="X72" s="3082"/>
      <c r="Y72" s="3082"/>
      <c r="Z72" s="3082"/>
      <c r="AA72" s="3082"/>
      <c r="AB72" s="3082"/>
      <c r="AC72" s="3082"/>
      <c r="AD72" s="3082"/>
      <c r="AE72" s="3082"/>
      <c r="AF72" s="3082"/>
      <c r="AG72" s="3082"/>
      <c r="AH72" s="3082"/>
      <c r="AI72" s="3082"/>
      <c r="AJ72" s="2733"/>
      <c r="AK72" s="823"/>
      <c r="AL72" s="30"/>
    </row>
    <row r="73" spans="1:38" ht="12" customHeight="1" x14ac:dyDescent="0.2">
      <c r="A73" s="28"/>
      <c r="B73" s="1076"/>
      <c r="C73" s="2720"/>
      <c r="D73" s="3082"/>
      <c r="E73" s="3082"/>
      <c r="F73" s="3082"/>
      <c r="G73" s="3082"/>
      <c r="H73" s="3082"/>
      <c r="I73" s="3082"/>
      <c r="J73" s="3082"/>
      <c r="K73" s="3082"/>
      <c r="L73" s="3082"/>
      <c r="M73" s="3082"/>
      <c r="N73" s="3082"/>
      <c r="O73" s="3082"/>
      <c r="P73" s="3082"/>
      <c r="Q73" s="3082"/>
      <c r="R73" s="3082"/>
      <c r="S73" s="3082"/>
      <c r="T73" s="3082"/>
      <c r="U73" s="3082"/>
      <c r="V73" s="3082"/>
      <c r="W73" s="3082"/>
      <c r="X73" s="3082"/>
      <c r="Y73" s="3082"/>
      <c r="Z73" s="3082"/>
      <c r="AA73" s="3082"/>
      <c r="AB73" s="3082"/>
      <c r="AC73" s="3082"/>
      <c r="AD73" s="3082"/>
      <c r="AE73" s="3082"/>
      <c r="AF73" s="3082"/>
      <c r="AG73" s="3082"/>
      <c r="AH73" s="3082"/>
      <c r="AI73" s="3082"/>
      <c r="AJ73" s="2733"/>
      <c r="AK73" s="823"/>
      <c r="AL73" s="30"/>
    </row>
    <row r="74" spans="1:38" ht="12" customHeight="1" x14ac:dyDescent="0.2">
      <c r="A74" s="28"/>
      <c r="B74" s="1076"/>
      <c r="C74" s="2720"/>
      <c r="D74" s="3082"/>
      <c r="E74" s="3082"/>
      <c r="F74" s="3082"/>
      <c r="G74" s="3082"/>
      <c r="H74" s="3082"/>
      <c r="I74" s="3082"/>
      <c r="J74" s="3082"/>
      <c r="K74" s="3082"/>
      <c r="L74" s="3082"/>
      <c r="M74" s="3082"/>
      <c r="N74" s="3082"/>
      <c r="O74" s="3082"/>
      <c r="P74" s="3082"/>
      <c r="Q74" s="3082"/>
      <c r="R74" s="3082"/>
      <c r="S74" s="3082"/>
      <c r="T74" s="3082"/>
      <c r="U74" s="3082"/>
      <c r="V74" s="3082"/>
      <c r="W74" s="3082"/>
      <c r="X74" s="3082"/>
      <c r="Y74" s="3082"/>
      <c r="Z74" s="3082"/>
      <c r="AA74" s="3082"/>
      <c r="AB74" s="3082"/>
      <c r="AC74" s="3082"/>
      <c r="AD74" s="3082"/>
      <c r="AE74" s="3082"/>
      <c r="AF74" s="3082"/>
      <c r="AG74" s="3082"/>
      <c r="AH74" s="3082"/>
      <c r="AI74" s="3082"/>
      <c r="AJ74" s="2733"/>
      <c r="AK74" s="823"/>
      <c r="AL74" s="30"/>
    </row>
    <row r="75" spans="1:38" ht="12" customHeight="1" x14ac:dyDescent="0.2">
      <c r="A75" s="28"/>
      <c r="B75" s="1076"/>
      <c r="C75" s="2720"/>
      <c r="D75" s="3082"/>
      <c r="E75" s="3082"/>
      <c r="F75" s="3082"/>
      <c r="G75" s="3082"/>
      <c r="H75" s="3082"/>
      <c r="I75" s="3082"/>
      <c r="J75" s="3082"/>
      <c r="K75" s="3082"/>
      <c r="L75" s="3082"/>
      <c r="M75" s="3082"/>
      <c r="N75" s="3082"/>
      <c r="O75" s="3082"/>
      <c r="P75" s="3082"/>
      <c r="Q75" s="3082"/>
      <c r="R75" s="3082"/>
      <c r="S75" s="3082"/>
      <c r="T75" s="3082"/>
      <c r="U75" s="3082"/>
      <c r="V75" s="3082"/>
      <c r="W75" s="3082"/>
      <c r="X75" s="3082"/>
      <c r="Y75" s="3082"/>
      <c r="Z75" s="3082"/>
      <c r="AA75" s="3082"/>
      <c r="AB75" s="3082"/>
      <c r="AC75" s="3082"/>
      <c r="AD75" s="3082"/>
      <c r="AE75" s="3082"/>
      <c r="AF75" s="3082"/>
      <c r="AG75" s="3082"/>
      <c r="AH75" s="3082"/>
      <c r="AI75" s="3082"/>
      <c r="AJ75" s="2733"/>
      <c r="AK75" s="823"/>
      <c r="AL75" s="30"/>
    </row>
    <row r="76" spans="1:38" ht="12" customHeight="1" x14ac:dyDescent="0.2">
      <c r="A76" s="28"/>
      <c r="B76" s="1076"/>
      <c r="C76" s="2720"/>
      <c r="D76" s="3082"/>
      <c r="E76" s="3082"/>
      <c r="F76" s="3082"/>
      <c r="G76" s="3082"/>
      <c r="H76" s="3082"/>
      <c r="I76" s="3082"/>
      <c r="J76" s="3082"/>
      <c r="K76" s="3082"/>
      <c r="L76" s="3082"/>
      <c r="M76" s="3082"/>
      <c r="N76" s="3082"/>
      <c r="O76" s="3082"/>
      <c r="P76" s="3082"/>
      <c r="Q76" s="3082"/>
      <c r="R76" s="3082"/>
      <c r="S76" s="3082"/>
      <c r="T76" s="3082"/>
      <c r="U76" s="3082"/>
      <c r="V76" s="3082"/>
      <c r="W76" s="3082"/>
      <c r="X76" s="3082"/>
      <c r="Y76" s="3082"/>
      <c r="Z76" s="3082"/>
      <c r="AA76" s="3082"/>
      <c r="AB76" s="3082"/>
      <c r="AC76" s="3082"/>
      <c r="AD76" s="3082"/>
      <c r="AE76" s="3082"/>
      <c r="AF76" s="3082"/>
      <c r="AG76" s="3082"/>
      <c r="AH76" s="3082"/>
      <c r="AI76" s="3082"/>
      <c r="AJ76" s="2733"/>
      <c r="AK76" s="823"/>
      <c r="AL76" s="30"/>
    </row>
    <row r="77" spans="1:38" ht="12.75" customHeight="1" x14ac:dyDescent="0.2">
      <c r="A77" s="28"/>
      <c r="B77" s="1076"/>
      <c r="C77" s="2721"/>
      <c r="D77" s="3143"/>
      <c r="E77" s="3143"/>
      <c r="F77" s="3143"/>
      <c r="G77" s="3143"/>
      <c r="H77" s="3143"/>
      <c r="I77" s="3143"/>
      <c r="J77" s="3143"/>
      <c r="K77" s="3143"/>
      <c r="L77" s="3143"/>
      <c r="M77" s="3143"/>
      <c r="N77" s="3143"/>
      <c r="O77" s="3143"/>
      <c r="P77" s="3143"/>
      <c r="Q77" s="3143"/>
      <c r="R77" s="3143"/>
      <c r="S77" s="3143"/>
      <c r="T77" s="3143"/>
      <c r="U77" s="3143"/>
      <c r="V77" s="3143"/>
      <c r="W77" s="3143"/>
      <c r="X77" s="3143"/>
      <c r="Y77" s="3143"/>
      <c r="Z77" s="3143"/>
      <c r="AA77" s="3143"/>
      <c r="AB77" s="3143"/>
      <c r="AC77" s="3143"/>
      <c r="AD77" s="3143"/>
      <c r="AE77" s="3143"/>
      <c r="AF77" s="3143"/>
      <c r="AG77" s="3143"/>
      <c r="AH77" s="3143"/>
      <c r="AI77" s="3143"/>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0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08"/>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08"/>
      <c r="B3" s="827"/>
      <c r="C3" s="5"/>
      <c r="D3" s="5"/>
      <c r="E3" s="5"/>
      <c r="F3" s="2686"/>
      <c r="G3" s="5"/>
      <c r="H3" s="5"/>
      <c r="I3" s="5"/>
      <c r="J3" s="5"/>
      <c r="K3" s="5"/>
      <c r="L3" s="5"/>
      <c r="T3" s="828"/>
      <c r="U3" s="3"/>
      <c r="V3" s="4"/>
      <c r="W3" s="6"/>
      <c r="X3" s="3231"/>
      <c r="Y3" s="3231"/>
      <c r="Z3" s="3231"/>
      <c r="AA3" s="3231"/>
      <c r="AB3" s="3231"/>
      <c r="AC3" s="3231"/>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08"/>
      <c r="B4" s="827"/>
      <c r="L4" s="2282"/>
      <c r="M4" s="3335" t="s">
        <v>9563</v>
      </c>
      <c r="N4" s="3336"/>
      <c r="O4" s="3336"/>
      <c r="P4" s="3336"/>
      <c r="Q4" s="3336"/>
      <c r="R4" s="3336"/>
      <c r="S4" s="3337"/>
      <c r="T4" s="828"/>
      <c r="U4" s="3"/>
      <c r="V4" s="4"/>
      <c r="W4" s="6"/>
      <c r="X4" s="3231"/>
      <c r="Y4" s="3231"/>
      <c r="Z4" s="3231"/>
      <c r="AA4" s="3231"/>
      <c r="AB4" s="3231"/>
      <c r="AC4" s="3231"/>
      <c r="AD4" s="10"/>
      <c r="AE4" s="3232" t="s">
        <v>1595</v>
      </c>
      <c r="AF4" s="3232"/>
      <c r="AG4" s="3233" t="str">
        <f>IF(OR(General!$F$22="",General!$F$22=0),"",General!$F$22)</f>
        <v/>
      </c>
      <c r="AH4" s="3233"/>
      <c r="AI4" s="3233"/>
      <c r="AJ4" s="3233"/>
      <c r="AK4" s="3233"/>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08"/>
      <c r="B5" s="827"/>
      <c r="L5" s="2282"/>
      <c r="M5" s="3338"/>
      <c r="N5" s="3339"/>
      <c r="O5" s="3339"/>
      <c r="P5" s="3339"/>
      <c r="Q5" s="3339"/>
      <c r="R5" s="3339"/>
      <c r="S5" s="3340"/>
      <c r="T5" s="828"/>
      <c r="U5" s="3"/>
      <c r="V5" s="4"/>
      <c r="W5" s="6"/>
      <c r="X5" s="3231"/>
      <c r="Y5" s="3231"/>
      <c r="Z5" s="3231"/>
      <c r="AA5" s="3231"/>
      <c r="AB5" s="3231"/>
      <c r="AC5" s="3231"/>
      <c r="AD5" s="10"/>
      <c r="AE5" s="3223" t="s">
        <v>1596</v>
      </c>
      <c r="AF5" s="3223"/>
      <c r="AG5" s="3224" t="str">
        <f>Principal!$L$5</f>
        <v/>
      </c>
      <c r="AH5" s="3224"/>
      <c r="AI5" s="3224"/>
      <c r="AJ5" s="12" t="s">
        <v>1597</v>
      </c>
      <c r="AK5" s="13" t="str">
        <f>Principal!$P$5</f>
        <v>0 + 1</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08"/>
      <c r="B6" s="827"/>
      <c r="C6" s="2283"/>
      <c r="D6" s="2284"/>
      <c r="E6" s="2284"/>
      <c r="F6" s="2284"/>
      <c r="G6" s="2284"/>
      <c r="H6" s="2284"/>
      <c r="I6" s="2284"/>
      <c r="J6" s="2284"/>
      <c r="K6" s="2285"/>
      <c r="L6" s="2282"/>
      <c r="M6" s="3338"/>
      <c r="N6" s="3339"/>
      <c r="O6" s="3339"/>
      <c r="P6" s="3339"/>
      <c r="Q6" s="3339"/>
      <c r="R6" s="3339"/>
      <c r="S6" s="3340"/>
      <c r="T6" s="828"/>
      <c r="U6" s="3"/>
      <c r="V6" s="4"/>
      <c r="W6" s="6"/>
      <c r="X6" s="3231"/>
      <c r="Y6" s="3231"/>
      <c r="Z6" s="3231"/>
      <c r="AA6" s="3231"/>
      <c r="AB6" s="3231"/>
      <c r="AC6" s="3231"/>
      <c r="AD6" s="10"/>
      <c r="AE6" s="3225" t="s">
        <v>1598</v>
      </c>
      <c r="AF6" s="3225"/>
      <c r="AG6" s="3225"/>
      <c r="AH6" s="3225"/>
      <c r="AI6" s="3225"/>
      <c r="AJ6" s="3225"/>
      <c r="AK6" s="3225"/>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08"/>
      <c r="B7" s="827"/>
      <c r="C7" s="2286"/>
      <c r="D7" s="919"/>
      <c r="E7" s="919"/>
      <c r="F7" s="919"/>
      <c r="G7" s="919"/>
      <c r="H7" s="919"/>
      <c r="I7" s="919"/>
      <c r="J7" s="919"/>
      <c r="K7" s="2287"/>
      <c r="L7" s="2282"/>
      <c r="M7" s="3338"/>
      <c r="N7" s="3339"/>
      <c r="O7" s="3339"/>
      <c r="P7" s="3339"/>
      <c r="Q7" s="3339"/>
      <c r="R7" s="3339"/>
      <c r="S7" s="3340"/>
      <c r="T7" s="828"/>
      <c r="U7" s="3"/>
      <c r="V7" s="4"/>
      <c r="W7" s="6"/>
      <c r="X7" s="3231"/>
      <c r="Y7" s="3231"/>
      <c r="Z7" s="3231"/>
      <c r="AA7" s="3231"/>
      <c r="AB7" s="3231"/>
      <c r="AC7" s="3231"/>
      <c r="AD7" s="10"/>
      <c r="AE7" s="3225"/>
      <c r="AF7" s="3225"/>
      <c r="AG7" s="3225"/>
      <c r="AH7" s="3225"/>
      <c r="AI7" s="3225"/>
      <c r="AJ7" s="3225"/>
      <c r="AK7" s="3225"/>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08"/>
      <c r="B8" s="827"/>
      <c r="C8" s="2286"/>
      <c r="D8" s="919"/>
      <c r="E8" s="919"/>
      <c r="F8" s="919"/>
      <c r="G8" s="919"/>
      <c r="H8" s="919"/>
      <c r="I8" s="919"/>
      <c r="J8" s="919"/>
      <c r="K8" s="2287"/>
      <c r="L8" s="2282"/>
      <c r="M8" s="3338"/>
      <c r="N8" s="3339"/>
      <c r="O8" s="3339"/>
      <c r="P8" s="3339"/>
      <c r="Q8" s="3339"/>
      <c r="R8" s="3339"/>
      <c r="S8" s="3340"/>
      <c r="T8" s="828"/>
      <c r="U8" s="3"/>
      <c r="V8" s="4"/>
      <c r="W8" s="6"/>
      <c r="X8" s="3231"/>
      <c r="Y8" s="3231"/>
      <c r="Z8" s="3231"/>
      <c r="AA8" s="3231"/>
      <c r="AB8" s="3231"/>
      <c r="AC8" s="3231"/>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08"/>
      <c r="B9" s="827"/>
      <c r="C9" s="2286"/>
      <c r="D9" s="919"/>
      <c r="E9" s="919"/>
      <c r="F9" s="919"/>
      <c r="G9" s="919"/>
      <c r="H9" s="919"/>
      <c r="I9" s="919"/>
      <c r="J9" s="919"/>
      <c r="K9" s="2287"/>
      <c r="L9" s="2282"/>
      <c r="M9" s="3338"/>
      <c r="N9" s="3339"/>
      <c r="O9" s="3339"/>
      <c r="P9" s="3339"/>
      <c r="Q9" s="3339"/>
      <c r="R9" s="3339"/>
      <c r="S9" s="3340"/>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08"/>
      <c r="B10" s="829"/>
      <c r="C10" s="2286"/>
      <c r="D10" s="919"/>
      <c r="E10" s="919"/>
      <c r="F10" s="919"/>
      <c r="G10" s="919"/>
      <c r="H10" s="919"/>
      <c r="I10" s="919"/>
      <c r="J10" s="919"/>
      <c r="K10" s="2287"/>
      <c r="L10" s="2282"/>
      <c r="M10" s="3338"/>
      <c r="N10" s="3339"/>
      <c r="O10" s="3339"/>
      <c r="P10" s="3339"/>
      <c r="Q10" s="3339"/>
      <c r="R10" s="3339"/>
      <c r="S10" s="3340"/>
      <c r="T10" s="828"/>
      <c r="U10" s="3"/>
      <c r="V10" s="4"/>
      <c r="W10" s="6"/>
      <c r="X10" s="3234" t="s">
        <v>7852</v>
      </c>
      <c r="Y10" s="3235"/>
      <c r="Z10" s="3235"/>
      <c r="AA10" s="3235"/>
      <c r="AB10" s="3235"/>
      <c r="AC10" s="3235"/>
      <c r="AD10" s="3236"/>
      <c r="AE10" s="1085"/>
      <c r="AF10" s="3226" t="s">
        <v>1602</v>
      </c>
      <c r="AG10" s="3190"/>
      <c r="AH10" s="3190"/>
      <c r="AI10" s="3190"/>
      <c r="AJ10" s="3227" t="s">
        <v>1600</v>
      </c>
      <c r="AK10" s="3227"/>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08"/>
      <c r="B11" s="829"/>
      <c r="C11" s="2286"/>
      <c r="D11" s="919"/>
      <c r="E11" s="919"/>
      <c r="F11" s="919"/>
      <c r="G11" s="919"/>
      <c r="H11" s="919"/>
      <c r="I11" s="919"/>
      <c r="J11" s="919"/>
      <c r="K11" s="2287"/>
      <c r="L11" s="2282"/>
      <c r="M11" s="3338"/>
      <c r="N11" s="3339"/>
      <c r="O11" s="3339"/>
      <c r="P11" s="3339"/>
      <c r="Q11" s="3339"/>
      <c r="R11" s="3339"/>
      <c r="S11" s="3340"/>
      <c r="T11" s="828"/>
      <c r="U11" s="3"/>
      <c r="V11" s="4"/>
      <c r="W11" s="6"/>
      <c r="X11" s="3240" t="s">
        <v>7977</v>
      </c>
      <c r="Y11" s="3241"/>
      <c r="Z11" s="3241"/>
      <c r="AA11" s="3239" t="s">
        <v>1622</v>
      </c>
      <c r="AB11" s="3239"/>
      <c r="AC11" s="3237" t="s">
        <v>7940</v>
      </c>
      <c r="AD11" s="3238"/>
      <c r="AF11" s="3228"/>
      <c r="AG11" s="3229"/>
      <c r="AH11" s="3229"/>
      <c r="AI11" s="3230"/>
      <c r="AJ11" s="3184"/>
      <c r="AK11" s="3186"/>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08"/>
      <c r="B12" s="827"/>
      <c r="C12" s="2286"/>
      <c r="D12" s="919"/>
      <c r="E12" s="919"/>
      <c r="F12" s="919"/>
      <c r="G12" s="919"/>
      <c r="H12" s="919"/>
      <c r="I12" s="919"/>
      <c r="J12" s="919"/>
      <c r="K12" s="2287"/>
      <c r="L12" s="2282"/>
      <c r="M12" s="3338"/>
      <c r="N12" s="3339"/>
      <c r="O12" s="3339"/>
      <c r="P12" s="3339"/>
      <c r="Q12" s="3339"/>
      <c r="R12" s="3339"/>
      <c r="S12" s="3340"/>
      <c r="T12" s="828"/>
      <c r="U12" s="3"/>
      <c r="V12" s="4"/>
      <c r="W12" s="6"/>
      <c r="X12" s="3244"/>
      <c r="Y12" s="3245"/>
      <c r="Z12" s="3246"/>
      <c r="AA12" s="3250">
        <f>VLOOKUP(Nivel_Total,Tabla_ExpTotal,AjusteNivel+2,FALSE)+X12</f>
        <v>0</v>
      </c>
      <c r="AB12" s="3254"/>
      <c r="AC12" s="3250">
        <f>VLOOKUP(Nivel_Total+1,Tabla_ExpTotal,AjusteNivel+2,FALSE)</f>
        <v>0</v>
      </c>
      <c r="AD12" s="3251"/>
      <c r="AF12" s="3192"/>
      <c r="AG12" s="3193"/>
      <c r="AH12" s="3193"/>
      <c r="AI12" s="3208"/>
      <c r="AJ12" s="3152"/>
      <c r="AK12" s="3154"/>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08"/>
      <c r="B13" s="827"/>
      <c r="C13" s="2286"/>
      <c r="D13" s="919"/>
      <c r="E13" s="919"/>
      <c r="F13" s="919"/>
      <c r="G13" s="919"/>
      <c r="H13" s="919"/>
      <c r="I13" s="919"/>
      <c r="J13" s="919"/>
      <c r="K13" s="2287"/>
      <c r="L13" s="2282"/>
      <c r="M13" s="3338"/>
      <c r="N13" s="3339"/>
      <c r="O13" s="3339"/>
      <c r="P13" s="3339"/>
      <c r="Q13" s="3339"/>
      <c r="R13" s="3339"/>
      <c r="S13" s="3340"/>
      <c r="T13" s="828"/>
      <c r="U13" s="3"/>
      <c r="V13" s="4"/>
      <c r="W13" s="6"/>
      <c r="X13" s="3247"/>
      <c r="Y13" s="3248"/>
      <c r="Z13" s="3249"/>
      <c r="AA13" s="3252"/>
      <c r="AB13" s="3255"/>
      <c r="AC13" s="3252"/>
      <c r="AD13" s="3253"/>
      <c r="AE13" s="1175"/>
      <c r="AF13" s="3192"/>
      <c r="AG13" s="3193"/>
      <c r="AH13" s="3193"/>
      <c r="AI13" s="3208"/>
      <c r="AJ13" s="3152"/>
      <c r="AK13" s="3154"/>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08"/>
      <c r="B14" s="827"/>
      <c r="C14" s="2286"/>
      <c r="D14" s="919"/>
      <c r="E14" s="919"/>
      <c r="F14" s="919"/>
      <c r="G14" s="919"/>
      <c r="H14" s="919"/>
      <c r="I14" s="919"/>
      <c r="J14" s="919"/>
      <c r="K14" s="2287"/>
      <c r="L14" s="2282"/>
      <c r="M14" s="3338"/>
      <c r="N14" s="3339"/>
      <c r="O14" s="3339"/>
      <c r="P14" s="3339"/>
      <c r="Q14" s="3339"/>
      <c r="R14" s="3339"/>
      <c r="S14" s="3340"/>
      <c r="T14" s="828"/>
      <c r="U14" s="3"/>
      <c r="V14" s="4"/>
      <c r="W14" s="6"/>
      <c r="X14" s="3256" t="str">
        <f>IF(AND(General!X12="",OR(Tablas!G472&gt;0,Tablas!G473&gt;0,Tablas!G474&gt;0)),"Suma experiencia de Curtido (50 por PC empleado)","")</f>
        <v/>
      </c>
      <c r="Y14" s="3256"/>
      <c r="Z14" s="3256"/>
      <c r="AA14" s="3256"/>
      <c r="AB14" s="3256"/>
      <c r="AC14" s="3256"/>
      <c r="AD14" s="3256"/>
      <c r="AF14" s="3192"/>
      <c r="AG14" s="3193"/>
      <c r="AH14" s="3193"/>
      <c r="AI14" s="3208"/>
      <c r="AJ14" s="3152"/>
      <c r="AK14" s="3154"/>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08"/>
      <c r="B15" s="827"/>
      <c r="C15" s="2288"/>
      <c r="D15" s="2289"/>
      <c r="E15" s="2289"/>
      <c r="F15" s="2289"/>
      <c r="G15" s="2289"/>
      <c r="H15" s="2289"/>
      <c r="I15" s="2289"/>
      <c r="J15" s="2289"/>
      <c r="K15" s="2290"/>
      <c r="L15" s="2291"/>
      <c r="M15" s="3338"/>
      <c r="N15" s="3339"/>
      <c r="O15" s="3339"/>
      <c r="P15" s="3339"/>
      <c r="Q15" s="3339"/>
      <c r="R15" s="3339"/>
      <c r="S15" s="3340"/>
      <c r="T15" s="828"/>
      <c r="U15" s="3"/>
      <c r="V15" s="4"/>
      <c r="W15" s="6"/>
      <c r="X15" s="3226" t="s">
        <v>1599</v>
      </c>
      <c r="Y15" s="3190"/>
      <c r="Z15" s="3190"/>
      <c r="AA15" s="3190"/>
      <c r="AB15" s="3242" t="s">
        <v>1600</v>
      </c>
      <c r="AC15" s="3243"/>
      <c r="AD15" s="2169" t="s">
        <v>1601</v>
      </c>
      <c r="AF15" s="3192"/>
      <c r="AG15" s="3193"/>
      <c r="AH15" s="3193"/>
      <c r="AI15" s="3208"/>
      <c r="AJ15" s="3152"/>
      <c r="AK15" s="3154"/>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08"/>
      <c r="B16" s="827"/>
      <c r="C16" s="2291"/>
      <c r="D16" s="2291"/>
      <c r="E16" s="2291"/>
      <c r="F16" s="2292"/>
      <c r="G16" s="2292"/>
      <c r="H16" s="2292"/>
      <c r="I16" s="2292"/>
      <c r="J16" s="2292"/>
      <c r="K16" s="2292"/>
      <c r="L16" s="2292"/>
      <c r="M16" s="3341"/>
      <c r="N16" s="3342"/>
      <c r="O16" s="3342"/>
      <c r="P16" s="3342"/>
      <c r="Q16" s="3342"/>
      <c r="R16" s="3342"/>
      <c r="S16" s="3343"/>
      <c r="T16" s="828"/>
      <c r="U16" s="3"/>
      <c r="V16" s="4"/>
      <c r="W16" s="6"/>
      <c r="X16" s="3192"/>
      <c r="Y16" s="3193"/>
      <c r="Z16" s="3193"/>
      <c r="AA16" s="3208"/>
      <c r="AB16" s="3184"/>
      <c r="AC16" s="3186"/>
      <c r="AD16" s="2154"/>
      <c r="AF16" s="3192"/>
      <c r="AG16" s="3193"/>
      <c r="AH16" s="3193"/>
      <c r="AI16" s="3208"/>
      <c r="AJ16" s="3152"/>
      <c r="AK16" s="3154"/>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08"/>
      <c r="B17" s="827"/>
      <c r="C17" s="2291"/>
      <c r="D17" s="2291"/>
      <c r="E17" s="2291"/>
      <c r="F17" s="2291"/>
      <c r="G17" s="2291"/>
      <c r="H17" s="2291"/>
      <c r="I17" s="2291"/>
      <c r="J17" s="2292"/>
      <c r="K17" s="2292"/>
      <c r="T17" s="828"/>
      <c r="U17" s="3"/>
      <c r="V17" s="4"/>
      <c r="W17" s="6"/>
      <c r="X17" s="3192"/>
      <c r="Y17" s="3193"/>
      <c r="Z17" s="3193"/>
      <c r="AA17" s="3208"/>
      <c r="AB17" s="3152"/>
      <c r="AC17" s="3154"/>
      <c r="AD17" s="2155"/>
      <c r="AF17" s="3192"/>
      <c r="AG17" s="3193"/>
      <c r="AH17" s="3193"/>
      <c r="AI17" s="3208"/>
      <c r="AJ17" s="3152"/>
      <c r="AK17" s="3154"/>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08"/>
      <c r="B18" s="827"/>
      <c r="C18" s="5"/>
      <c r="S18" s="5"/>
      <c r="T18" s="828"/>
      <c r="U18" s="3"/>
      <c r="V18" s="4"/>
      <c r="W18" s="6"/>
      <c r="X18" s="3192"/>
      <c r="Y18" s="3193"/>
      <c r="Z18" s="3193"/>
      <c r="AA18" s="3208"/>
      <c r="AB18" s="3152"/>
      <c r="AC18" s="3154"/>
      <c r="AD18" s="2155"/>
      <c r="AE18" s="19"/>
      <c r="AF18" s="3192"/>
      <c r="AG18" s="3193"/>
      <c r="AH18" s="3193"/>
      <c r="AI18" s="3208"/>
      <c r="AJ18" s="3152"/>
      <c r="AK18" s="3154"/>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08"/>
      <c r="B19" s="827"/>
      <c r="C19" s="3325" t="s">
        <v>1603</v>
      </c>
      <c r="D19" s="3326"/>
      <c r="E19" s="3326"/>
      <c r="F19" s="3326"/>
      <c r="G19" s="3326"/>
      <c r="H19" s="3326"/>
      <c r="I19" s="3326"/>
      <c r="J19" s="3326"/>
      <c r="K19" s="3326"/>
      <c r="L19" s="3326"/>
      <c r="M19" s="3326"/>
      <c r="N19" s="3326"/>
      <c r="O19" s="3326"/>
      <c r="P19" s="3326"/>
      <c r="Q19" s="3326"/>
      <c r="R19" s="3326"/>
      <c r="S19" s="3327"/>
      <c r="T19" s="828"/>
      <c r="U19" s="3"/>
      <c r="V19" s="4"/>
      <c r="W19" s="6"/>
      <c r="X19" s="3192"/>
      <c r="Y19" s="3193"/>
      <c r="Z19" s="3193"/>
      <c r="AA19" s="3208"/>
      <c r="AB19" s="3152"/>
      <c r="AC19" s="3154"/>
      <c r="AD19" s="2155"/>
      <c r="AE19" s="19"/>
      <c r="AF19" s="3192"/>
      <c r="AG19" s="3193"/>
      <c r="AH19" s="3193"/>
      <c r="AI19" s="3208"/>
      <c r="AJ19" s="3152"/>
      <c r="AK19" s="3154"/>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08"/>
      <c r="B20" s="827"/>
      <c r="C20" s="3328"/>
      <c r="D20" s="3329"/>
      <c r="E20" s="3329"/>
      <c r="F20" s="3329"/>
      <c r="G20" s="3329"/>
      <c r="H20" s="3329"/>
      <c r="I20" s="3329"/>
      <c r="J20" s="3329"/>
      <c r="K20" s="3329"/>
      <c r="L20" s="3329"/>
      <c r="M20" s="3329"/>
      <c r="N20" s="3329"/>
      <c r="O20" s="3329"/>
      <c r="P20" s="3329"/>
      <c r="Q20" s="3329"/>
      <c r="R20" s="3329"/>
      <c r="S20" s="3330"/>
      <c r="T20" s="828"/>
      <c r="U20" s="3"/>
      <c r="V20" s="4"/>
      <c r="W20" s="6"/>
      <c r="X20" s="3192"/>
      <c r="Y20" s="3193"/>
      <c r="Z20" s="3193"/>
      <c r="AA20" s="3208"/>
      <c r="AB20" s="3152"/>
      <c r="AC20" s="3154"/>
      <c r="AD20" s="2155"/>
      <c r="AE20" s="19"/>
      <c r="AF20" s="3192"/>
      <c r="AG20" s="3193"/>
      <c r="AH20" s="3193"/>
      <c r="AI20" s="3208"/>
      <c r="AJ20" s="3152"/>
      <c r="AK20" s="3154"/>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08"/>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92"/>
      <c r="Y21" s="3193"/>
      <c r="Z21" s="3193"/>
      <c r="AA21" s="3208"/>
      <c r="AB21" s="3152"/>
      <c r="AC21" s="3154"/>
      <c r="AD21" s="2155"/>
      <c r="AE21" s="19"/>
      <c r="AF21" s="3192"/>
      <c r="AG21" s="3193"/>
      <c r="AH21" s="3193"/>
      <c r="AI21" s="3208"/>
      <c r="AJ21" s="3152"/>
      <c r="AK21" s="3154"/>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08"/>
      <c r="B22" s="827"/>
      <c r="C22" s="2148"/>
      <c r="D22" s="3331" t="s">
        <v>1595</v>
      </c>
      <c r="E22" s="3332"/>
      <c r="F22" s="3305"/>
      <c r="G22" s="3306"/>
      <c r="H22" s="3306"/>
      <c r="I22" s="3306"/>
      <c r="J22" s="3306"/>
      <c r="K22" s="3306"/>
      <c r="L22" s="3306"/>
      <c r="M22" s="3306"/>
      <c r="N22" s="3306"/>
      <c r="O22" s="3306"/>
      <c r="P22" s="3306"/>
      <c r="Q22" s="3306"/>
      <c r="R22" s="3307"/>
      <c r="S22" s="2149"/>
      <c r="T22" s="828"/>
      <c r="U22" s="3"/>
      <c r="V22" s="4"/>
      <c r="W22" s="6"/>
      <c r="X22" s="3192"/>
      <c r="Y22" s="3193"/>
      <c r="Z22" s="3193"/>
      <c r="AA22" s="3208"/>
      <c r="AB22" s="3152"/>
      <c r="AC22" s="3154"/>
      <c r="AD22" s="2155"/>
      <c r="AE22" s="19"/>
      <c r="AF22" s="3192"/>
      <c r="AG22" s="3193"/>
      <c r="AH22" s="3193"/>
      <c r="AI22" s="3208"/>
      <c r="AJ22" s="3152"/>
      <c r="AK22" s="3154"/>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08"/>
      <c r="B23" s="827"/>
      <c r="C23" s="2148"/>
      <c r="D23" s="3333" t="s">
        <v>1604</v>
      </c>
      <c r="E23" s="3334"/>
      <c r="F23" s="3310"/>
      <c r="G23" s="3310"/>
      <c r="H23" s="2272"/>
      <c r="I23" s="2275" t="s">
        <v>7853</v>
      </c>
      <c r="J23" s="3257"/>
      <c r="K23" s="3258"/>
      <c r="L23" s="3258"/>
      <c r="M23" s="3259"/>
      <c r="N23" s="3295" t="s">
        <v>9560</v>
      </c>
      <c r="O23" s="3296"/>
      <c r="P23" s="3296"/>
      <c r="Q23" s="3344"/>
      <c r="R23" s="3344"/>
      <c r="S23" s="2149"/>
      <c r="T23" s="828"/>
      <c r="U23" s="3"/>
      <c r="V23" s="4"/>
      <c r="W23" s="6"/>
      <c r="X23" s="3201"/>
      <c r="Y23" s="3202"/>
      <c r="Z23" s="3202"/>
      <c r="AA23" s="3222"/>
      <c r="AB23" s="3155"/>
      <c r="AC23" s="3157"/>
      <c r="AD23" s="2156"/>
      <c r="AE23" s="19"/>
      <c r="AF23" s="3192"/>
      <c r="AG23" s="3193"/>
      <c r="AH23" s="3193"/>
      <c r="AI23" s="3208"/>
      <c r="AJ23" s="3152"/>
      <c r="AK23" s="3154"/>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08"/>
      <c r="B24" s="827"/>
      <c r="C24" s="2148"/>
      <c r="D24" s="3333" t="s">
        <v>1605</v>
      </c>
      <c r="E24" s="3334"/>
      <c r="F24" s="2277"/>
      <c r="G24" s="2130"/>
      <c r="H24" s="2275" t="s">
        <v>1607</v>
      </c>
      <c r="I24" s="2278"/>
      <c r="J24" s="2276" t="s">
        <v>9292</v>
      </c>
      <c r="K24" s="2279" t="s">
        <v>1611</v>
      </c>
      <c r="L24" s="2280"/>
      <c r="M24" s="2276" t="s">
        <v>9293</v>
      </c>
      <c r="N24" s="3309" t="s">
        <v>1610</v>
      </c>
      <c r="O24" s="3309"/>
      <c r="P24" s="3301"/>
      <c r="Q24" s="3302"/>
      <c r="R24" s="3303"/>
      <c r="S24" s="2149"/>
      <c r="T24" s="828"/>
      <c r="U24" s="3"/>
      <c r="V24" s="4"/>
      <c r="W24" s="6"/>
      <c r="AE24" s="19"/>
      <c r="AF24" s="3192"/>
      <c r="AG24" s="3193"/>
      <c r="AH24" s="3193"/>
      <c r="AI24" s="3208"/>
      <c r="AJ24" s="3152"/>
      <c r="AK24" s="3154"/>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08"/>
      <c r="B25" s="827"/>
      <c r="C25" s="2148"/>
      <c r="D25" s="3333" t="s">
        <v>9556</v>
      </c>
      <c r="E25" s="3334"/>
      <c r="F25" s="3297"/>
      <c r="G25" s="3297"/>
      <c r="H25" s="2279" t="s">
        <v>1608</v>
      </c>
      <c r="I25" s="3301"/>
      <c r="J25" s="3302"/>
      <c r="K25" s="3302"/>
      <c r="L25" s="2273"/>
      <c r="M25" s="2275" t="s">
        <v>1612</v>
      </c>
      <c r="N25" s="3297"/>
      <c r="O25" s="3297"/>
      <c r="P25" s="3304"/>
      <c r="Q25" s="3304"/>
      <c r="R25" s="3304"/>
      <c r="S25" s="2149"/>
      <c r="T25" s="828"/>
      <c r="U25" s="3"/>
      <c r="V25" s="4"/>
      <c r="W25" s="6"/>
      <c r="X25" s="3220" t="s">
        <v>1609</v>
      </c>
      <c r="Y25" s="3221"/>
      <c r="Z25" s="3221"/>
      <c r="AA25" s="3221"/>
      <c r="AB25" s="3221"/>
      <c r="AC25" s="3221"/>
      <c r="AD25" s="2157" t="s">
        <v>1601</v>
      </c>
      <c r="AE25" s="19"/>
      <c r="AF25" s="3192"/>
      <c r="AG25" s="3193"/>
      <c r="AH25" s="3193"/>
      <c r="AI25" s="3208"/>
      <c r="AJ25" s="3152"/>
      <c r="AK25" s="3154"/>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08"/>
      <c r="B26" s="827"/>
      <c r="C26" s="2148"/>
      <c r="D26" s="3333" t="s">
        <v>1606</v>
      </c>
      <c r="E26" s="3334"/>
      <c r="F26" s="2280"/>
      <c r="G26" s="2130"/>
      <c r="H26" s="2275" t="s">
        <v>7033</v>
      </c>
      <c r="I26" s="3298"/>
      <c r="J26" s="3299"/>
      <c r="K26" s="3300"/>
      <c r="L26" s="2274"/>
      <c r="M26" s="2275" t="str">
        <f>IF(I26="","","Clase social:")</f>
        <v/>
      </c>
      <c r="N26" s="3297"/>
      <c r="O26" s="3297"/>
      <c r="P26" s="3297"/>
      <c r="Q26" s="3297"/>
      <c r="R26" s="3297"/>
      <c r="S26" s="2149"/>
      <c r="T26" s="828"/>
      <c r="U26" s="3"/>
      <c r="V26" s="4"/>
      <c r="W26" s="6"/>
      <c r="X26" s="3218"/>
      <c r="Y26" s="3219"/>
      <c r="Z26" s="3219"/>
      <c r="AA26" s="3219"/>
      <c r="AB26" s="3219"/>
      <c r="AC26" s="3219"/>
      <c r="AD26" s="2158"/>
      <c r="AE26" s="19"/>
      <c r="AF26" s="3192"/>
      <c r="AG26" s="3193"/>
      <c r="AH26" s="3193"/>
      <c r="AI26" s="3208"/>
      <c r="AJ26" s="3152"/>
      <c r="AK26" s="3154"/>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08"/>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92"/>
      <c r="Y27" s="3193"/>
      <c r="Z27" s="3193"/>
      <c r="AA27" s="3193"/>
      <c r="AB27" s="3193"/>
      <c r="AC27" s="3193"/>
      <c r="AD27" s="2159"/>
      <c r="AE27" s="19"/>
      <c r="AF27" s="3192"/>
      <c r="AG27" s="3193"/>
      <c r="AH27" s="3193"/>
      <c r="AI27" s="3208"/>
      <c r="AJ27" s="3152"/>
      <c r="AK27" s="3154"/>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08"/>
      <c r="B28" s="827"/>
      <c r="C28" s="5"/>
      <c r="D28" s="5"/>
      <c r="S28" s="5"/>
      <c r="T28" s="828"/>
      <c r="U28" s="3"/>
      <c r="V28" s="4"/>
      <c r="W28" s="6"/>
      <c r="X28" s="3192"/>
      <c r="Y28" s="3193"/>
      <c r="Z28" s="3193"/>
      <c r="AA28" s="3193"/>
      <c r="AB28" s="3193"/>
      <c r="AC28" s="3193"/>
      <c r="AD28" s="2159"/>
      <c r="AE28" s="19"/>
      <c r="AF28" s="3192"/>
      <c r="AG28" s="3193"/>
      <c r="AH28" s="3193"/>
      <c r="AI28" s="3208"/>
      <c r="AJ28" s="3152"/>
      <c r="AK28" s="3154"/>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08"/>
      <c r="B29" s="827"/>
      <c r="C29" s="5"/>
      <c r="D29" s="5"/>
      <c r="E29" s="5"/>
      <c r="F29" s="5"/>
      <c r="G29" s="5"/>
      <c r="H29" s="5"/>
      <c r="I29" s="5"/>
      <c r="J29" s="5"/>
      <c r="K29" s="5"/>
      <c r="L29" s="5"/>
      <c r="M29" s="5"/>
      <c r="N29" s="5"/>
      <c r="O29" s="5"/>
      <c r="P29" s="5"/>
      <c r="Q29" s="5"/>
      <c r="R29" s="5"/>
      <c r="S29" s="5"/>
      <c r="T29" s="828"/>
      <c r="U29" s="3"/>
      <c r="V29" s="4"/>
      <c r="W29" s="6"/>
      <c r="X29" s="3192"/>
      <c r="Y29" s="3193"/>
      <c r="Z29" s="3193"/>
      <c r="AA29" s="3193"/>
      <c r="AB29" s="3193"/>
      <c r="AC29" s="3193"/>
      <c r="AD29" s="2159"/>
      <c r="AE29" s="19"/>
      <c r="AF29" s="3192"/>
      <c r="AG29" s="3193"/>
      <c r="AH29" s="3193"/>
      <c r="AI29" s="3208"/>
      <c r="AJ29" s="3152"/>
      <c r="AK29" s="3154"/>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08"/>
      <c r="B30" s="827"/>
      <c r="C30" s="3278" t="s">
        <v>9367</v>
      </c>
      <c r="D30" s="3279"/>
      <c r="E30" s="3279"/>
      <c r="F30" s="3279"/>
      <c r="G30" s="3279"/>
      <c r="H30" s="3279"/>
      <c r="I30" s="3279"/>
      <c r="J30" s="3279"/>
      <c r="K30" s="3280"/>
      <c r="M30" s="3278" t="s">
        <v>9562</v>
      </c>
      <c r="N30" s="3279"/>
      <c r="O30" s="3279"/>
      <c r="P30" s="3279"/>
      <c r="Q30" s="3279"/>
      <c r="R30" s="3279"/>
      <c r="S30" s="3280"/>
      <c r="T30" s="828"/>
      <c r="U30" s="3"/>
      <c r="V30" s="4"/>
      <c r="W30" s="6"/>
      <c r="X30" s="3192"/>
      <c r="Y30" s="3193"/>
      <c r="Z30" s="3193"/>
      <c r="AA30" s="3193"/>
      <c r="AB30" s="3193"/>
      <c r="AC30" s="3193"/>
      <c r="AD30" s="2159"/>
      <c r="AE30" s="19"/>
      <c r="AF30" s="3192"/>
      <c r="AG30" s="3193"/>
      <c r="AH30" s="3193"/>
      <c r="AI30" s="3208"/>
      <c r="AJ30" s="3152"/>
      <c r="AK30" s="3154"/>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08"/>
      <c r="B31" s="827"/>
      <c r="C31" s="3269"/>
      <c r="D31" s="3270"/>
      <c r="E31" s="3270"/>
      <c r="F31" s="3270"/>
      <c r="G31" s="3270"/>
      <c r="H31" s="3270"/>
      <c r="I31" s="3270"/>
      <c r="J31" s="3270"/>
      <c r="K31" s="3271"/>
      <c r="L31" s="2281"/>
      <c r="M31" s="3260"/>
      <c r="N31" s="3261"/>
      <c r="O31" s="3261"/>
      <c r="P31" s="3261"/>
      <c r="Q31" s="3261"/>
      <c r="R31" s="3261"/>
      <c r="S31" s="3262"/>
      <c r="T31" s="828"/>
      <c r="U31" s="3"/>
      <c r="V31" s="4"/>
      <c r="W31" s="6"/>
      <c r="X31" s="3192"/>
      <c r="Y31" s="3193"/>
      <c r="Z31" s="3193"/>
      <c r="AA31" s="3193"/>
      <c r="AB31" s="3193"/>
      <c r="AC31" s="3193"/>
      <c r="AD31" s="2159"/>
      <c r="AE31" s="19"/>
      <c r="AF31" s="3209"/>
      <c r="AG31" s="3210"/>
      <c r="AH31" s="3210"/>
      <c r="AI31" s="3211"/>
      <c r="AJ31" s="3212"/>
      <c r="AK31" s="3213"/>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08"/>
      <c r="B32" s="827"/>
      <c r="C32" s="3269"/>
      <c r="D32" s="3270"/>
      <c r="E32" s="3270"/>
      <c r="F32" s="3270"/>
      <c r="G32" s="3270"/>
      <c r="H32" s="3270"/>
      <c r="I32" s="3270"/>
      <c r="J32" s="3270"/>
      <c r="K32" s="3271"/>
      <c r="L32" s="2281"/>
      <c r="M32" s="3263"/>
      <c r="N32" s="3264"/>
      <c r="O32" s="3264"/>
      <c r="P32" s="3264"/>
      <c r="Q32" s="3264"/>
      <c r="R32" s="3264"/>
      <c r="S32" s="3265"/>
      <c r="T32" s="828"/>
      <c r="U32" s="3"/>
      <c r="V32" s="4"/>
      <c r="W32" s="6"/>
      <c r="X32" s="3201"/>
      <c r="Y32" s="3202"/>
      <c r="Z32" s="3202"/>
      <c r="AA32" s="3202"/>
      <c r="AB32" s="3202"/>
      <c r="AC32" s="3202"/>
      <c r="AD32" s="2160"/>
      <c r="AE32" s="19"/>
      <c r="AF32" s="3214" t="s">
        <v>1613</v>
      </c>
      <c r="AG32" s="3215"/>
      <c r="AH32" s="3216" t="str">
        <f>IF(Principal!E14=0,0&amp;" kg",VLOOKUP(FUE,Tabla_Fuerza,3)&amp;" kg")</f>
        <v>0 kg</v>
      </c>
      <c r="AI32" s="3216"/>
      <c r="AJ32" s="3217" t="s">
        <v>1614</v>
      </c>
      <c r="AK32" s="3217"/>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08"/>
      <c r="B33" s="827"/>
      <c r="C33" s="3272"/>
      <c r="D33" s="3273"/>
      <c r="E33" s="3273"/>
      <c r="F33" s="3273"/>
      <c r="G33" s="3273"/>
      <c r="H33" s="3273"/>
      <c r="I33" s="3273"/>
      <c r="J33" s="3273"/>
      <c r="K33" s="3274"/>
      <c r="L33" s="2281"/>
      <c r="M33" s="3263"/>
      <c r="N33" s="3264"/>
      <c r="O33" s="3264"/>
      <c r="P33" s="3264"/>
      <c r="Q33" s="3264"/>
      <c r="R33" s="3264"/>
      <c r="S33" s="3265"/>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08"/>
      <c r="B34" s="827"/>
      <c r="C34" s="5"/>
      <c r="D34" s="5"/>
      <c r="E34" s="5"/>
      <c r="F34" s="5"/>
      <c r="G34" s="5"/>
      <c r="H34" s="5"/>
      <c r="I34" s="5"/>
      <c r="J34" s="5"/>
      <c r="K34" s="22"/>
      <c r="L34" s="2281"/>
      <c r="M34" s="3263"/>
      <c r="N34" s="3264"/>
      <c r="O34" s="3264"/>
      <c r="P34" s="3264"/>
      <c r="Q34" s="3264"/>
      <c r="R34" s="3264"/>
      <c r="S34" s="3265"/>
      <c r="T34" s="828"/>
      <c r="U34" s="3"/>
      <c r="V34" s="4"/>
      <c r="W34" s="6"/>
      <c r="X34" s="3226" t="s">
        <v>1615</v>
      </c>
      <c r="Y34" s="3190"/>
      <c r="Z34" s="3190"/>
      <c r="AA34" s="3190"/>
      <c r="AB34" s="3190"/>
      <c r="AC34" s="3190"/>
      <c r="AD34" s="3190"/>
      <c r="AE34" s="3190"/>
      <c r="AF34" s="3190"/>
      <c r="AG34" s="3190"/>
      <c r="AH34" s="3190"/>
      <c r="AI34" s="3190"/>
      <c r="AJ34" s="3190"/>
      <c r="AK34" s="3190"/>
      <c r="AL34" s="3191"/>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08"/>
      <c r="B35" s="827"/>
      <c r="C35" s="3278" t="s">
        <v>9368</v>
      </c>
      <c r="D35" s="3279"/>
      <c r="E35" s="3279"/>
      <c r="F35" s="3279"/>
      <c r="G35" s="3279"/>
      <c r="H35" s="3279"/>
      <c r="I35" s="3279"/>
      <c r="J35" s="3279"/>
      <c r="K35" s="3280"/>
      <c r="L35" s="2281"/>
      <c r="M35" s="3263"/>
      <c r="N35" s="3264"/>
      <c r="O35" s="3264"/>
      <c r="P35" s="3264"/>
      <c r="Q35" s="3264"/>
      <c r="R35" s="3264"/>
      <c r="S35" s="3265"/>
      <c r="T35" s="828"/>
      <c r="U35" s="3"/>
      <c r="V35" s="4"/>
      <c r="W35" s="6"/>
      <c r="X35" s="3292"/>
      <c r="Y35" s="3293"/>
      <c r="Z35" s="3294"/>
      <c r="AA35" s="3290"/>
      <c r="AB35" s="3193"/>
      <c r="AC35" s="3193"/>
      <c r="AD35" s="3193"/>
      <c r="AE35" s="3193"/>
      <c r="AF35" s="3193"/>
      <c r="AG35" s="3193"/>
      <c r="AH35" s="3193"/>
      <c r="AI35" s="3193"/>
      <c r="AJ35" s="3193"/>
      <c r="AK35" s="3193"/>
      <c r="AL35" s="3194"/>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08"/>
      <c r="B36" s="827"/>
      <c r="C36" s="3269"/>
      <c r="D36" s="3270"/>
      <c r="E36" s="3270"/>
      <c r="F36" s="3270"/>
      <c r="G36" s="3270"/>
      <c r="H36" s="3270"/>
      <c r="I36" s="3270"/>
      <c r="J36" s="3270"/>
      <c r="K36" s="3271"/>
      <c r="L36" s="2281"/>
      <c r="M36" s="3263"/>
      <c r="N36" s="3264"/>
      <c r="O36" s="3264"/>
      <c r="P36" s="3264"/>
      <c r="Q36" s="3264"/>
      <c r="R36" s="3264"/>
      <c r="S36" s="3265"/>
      <c r="T36" s="828"/>
      <c r="U36" s="3"/>
      <c r="V36" s="4"/>
      <c r="W36" s="6"/>
      <c r="X36" s="3284"/>
      <c r="Y36" s="3285"/>
      <c r="Z36" s="3286"/>
      <c r="AA36" s="3290"/>
      <c r="AB36" s="3193"/>
      <c r="AC36" s="3193"/>
      <c r="AD36" s="3193"/>
      <c r="AE36" s="3193"/>
      <c r="AF36" s="3193"/>
      <c r="AG36" s="3193"/>
      <c r="AH36" s="3193"/>
      <c r="AI36" s="3193"/>
      <c r="AJ36" s="3193"/>
      <c r="AK36" s="3193"/>
      <c r="AL36" s="3194"/>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08"/>
      <c r="B37" s="827"/>
      <c r="C37" s="3269"/>
      <c r="D37" s="3270"/>
      <c r="E37" s="3270"/>
      <c r="F37" s="3270"/>
      <c r="G37" s="3270"/>
      <c r="H37" s="3270"/>
      <c r="I37" s="3270"/>
      <c r="J37" s="3270"/>
      <c r="K37" s="3271"/>
      <c r="L37" s="2281"/>
      <c r="M37" s="3263"/>
      <c r="N37" s="3264"/>
      <c r="O37" s="3264"/>
      <c r="P37" s="3264"/>
      <c r="Q37" s="3264"/>
      <c r="R37" s="3264"/>
      <c r="S37" s="3265"/>
      <c r="T37" s="828"/>
      <c r="U37" s="3"/>
      <c r="V37" s="4"/>
      <c r="W37" s="6"/>
      <c r="X37" s="3284"/>
      <c r="Y37" s="3285"/>
      <c r="Z37" s="3286"/>
      <c r="AA37" s="3290"/>
      <c r="AB37" s="3193"/>
      <c r="AC37" s="3193"/>
      <c r="AD37" s="3193"/>
      <c r="AE37" s="3193"/>
      <c r="AF37" s="3193"/>
      <c r="AG37" s="3193"/>
      <c r="AH37" s="3193"/>
      <c r="AI37" s="3193"/>
      <c r="AJ37" s="3193"/>
      <c r="AK37" s="3193"/>
      <c r="AL37" s="3194"/>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08"/>
      <c r="B38" s="827"/>
      <c r="C38" s="3269"/>
      <c r="D38" s="3270"/>
      <c r="E38" s="3270"/>
      <c r="F38" s="3270"/>
      <c r="G38" s="3270"/>
      <c r="H38" s="3270"/>
      <c r="I38" s="3270"/>
      <c r="J38" s="3270"/>
      <c r="K38" s="3271"/>
      <c r="L38" s="2281"/>
      <c r="M38" s="3263"/>
      <c r="N38" s="3264"/>
      <c r="O38" s="3264"/>
      <c r="P38" s="3264"/>
      <c r="Q38" s="3264"/>
      <c r="R38" s="3264"/>
      <c r="S38" s="3265"/>
      <c r="T38" s="828"/>
      <c r="U38" s="3"/>
      <c r="V38" s="4"/>
      <c r="W38" s="6"/>
      <c r="X38" s="3284"/>
      <c r="Y38" s="3285"/>
      <c r="Z38" s="3286"/>
      <c r="AA38" s="3290"/>
      <c r="AB38" s="3193"/>
      <c r="AC38" s="3193"/>
      <c r="AD38" s="3193"/>
      <c r="AE38" s="3193"/>
      <c r="AF38" s="3193"/>
      <c r="AG38" s="3193"/>
      <c r="AH38" s="3193"/>
      <c r="AI38" s="3193"/>
      <c r="AJ38" s="3193"/>
      <c r="AK38" s="3193"/>
      <c r="AL38" s="3194"/>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08"/>
      <c r="B39" s="827"/>
      <c r="C39" s="3269"/>
      <c r="D39" s="3270"/>
      <c r="E39" s="3270"/>
      <c r="F39" s="3270"/>
      <c r="G39" s="3270"/>
      <c r="H39" s="3270"/>
      <c r="I39" s="3270"/>
      <c r="J39" s="3270"/>
      <c r="K39" s="3271"/>
      <c r="L39" s="2281"/>
      <c r="M39" s="3263"/>
      <c r="N39" s="3264"/>
      <c r="O39" s="3264"/>
      <c r="P39" s="3264"/>
      <c r="Q39" s="3264"/>
      <c r="R39" s="3264"/>
      <c r="S39" s="3265"/>
      <c r="T39" s="828"/>
      <c r="U39" s="3"/>
      <c r="V39" s="4"/>
      <c r="W39" s="6"/>
      <c r="X39" s="3284"/>
      <c r="Y39" s="3285"/>
      <c r="Z39" s="3286"/>
      <c r="AA39" s="3290"/>
      <c r="AB39" s="3193"/>
      <c r="AC39" s="3193"/>
      <c r="AD39" s="3193"/>
      <c r="AE39" s="3193"/>
      <c r="AF39" s="3193"/>
      <c r="AG39" s="3193"/>
      <c r="AH39" s="3193"/>
      <c r="AI39" s="3193"/>
      <c r="AJ39" s="3193"/>
      <c r="AK39" s="3193"/>
      <c r="AL39" s="3194"/>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08"/>
      <c r="B40" s="827"/>
      <c r="C40" s="3269"/>
      <c r="D40" s="3270"/>
      <c r="E40" s="3270"/>
      <c r="F40" s="3270"/>
      <c r="G40" s="3270"/>
      <c r="H40" s="3270"/>
      <c r="I40" s="3270"/>
      <c r="J40" s="3270"/>
      <c r="K40" s="3271"/>
      <c r="L40" s="2281"/>
      <c r="M40" s="3263"/>
      <c r="N40" s="3264"/>
      <c r="O40" s="3264"/>
      <c r="P40" s="3264"/>
      <c r="Q40" s="3264"/>
      <c r="R40" s="3264"/>
      <c r="S40" s="3265"/>
      <c r="T40" s="828"/>
      <c r="U40" s="3"/>
      <c r="V40" s="4"/>
      <c r="W40" s="6"/>
      <c r="X40" s="3284"/>
      <c r="Y40" s="3285"/>
      <c r="Z40" s="3286"/>
      <c r="AA40" s="3290"/>
      <c r="AB40" s="3193"/>
      <c r="AC40" s="3193"/>
      <c r="AD40" s="3193"/>
      <c r="AE40" s="3193"/>
      <c r="AF40" s="3193"/>
      <c r="AG40" s="3193"/>
      <c r="AH40" s="3193"/>
      <c r="AI40" s="3193"/>
      <c r="AJ40" s="3193"/>
      <c r="AK40" s="3193"/>
      <c r="AL40" s="3194"/>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08"/>
      <c r="B41" s="827"/>
      <c r="C41" s="3269"/>
      <c r="D41" s="3270"/>
      <c r="E41" s="3270"/>
      <c r="F41" s="3270"/>
      <c r="G41" s="3270"/>
      <c r="H41" s="3270"/>
      <c r="I41" s="3270"/>
      <c r="J41" s="3270"/>
      <c r="K41" s="3271"/>
      <c r="L41" s="2281"/>
      <c r="M41" s="3263"/>
      <c r="N41" s="3264"/>
      <c r="O41" s="3264"/>
      <c r="P41" s="3264"/>
      <c r="Q41" s="3264"/>
      <c r="R41" s="3264"/>
      <c r="S41" s="3265"/>
      <c r="T41" s="828"/>
      <c r="U41" s="3"/>
      <c r="V41" s="4"/>
      <c r="W41" s="6"/>
      <c r="X41" s="3284"/>
      <c r="Y41" s="3285"/>
      <c r="Z41" s="3286"/>
      <c r="AA41" s="3281"/>
      <c r="AB41" s="3282"/>
      <c r="AC41" s="3282"/>
      <c r="AD41" s="3282"/>
      <c r="AE41" s="3282"/>
      <c r="AF41" s="3282"/>
      <c r="AG41" s="3282"/>
      <c r="AH41" s="3282"/>
      <c r="AI41" s="3282"/>
      <c r="AJ41" s="3282"/>
      <c r="AK41" s="3282"/>
      <c r="AL41" s="3283"/>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08"/>
      <c r="B42" s="827"/>
      <c r="C42" s="3269"/>
      <c r="D42" s="3270"/>
      <c r="E42" s="3270"/>
      <c r="F42" s="3270"/>
      <c r="G42" s="3270"/>
      <c r="H42" s="3270"/>
      <c r="I42" s="3270"/>
      <c r="J42" s="3270"/>
      <c r="K42" s="3271"/>
      <c r="L42" s="2281"/>
      <c r="M42" s="3263"/>
      <c r="N42" s="3264"/>
      <c r="O42" s="3264"/>
      <c r="P42" s="3264"/>
      <c r="Q42" s="3264"/>
      <c r="R42" s="3264"/>
      <c r="S42" s="3265"/>
      <c r="T42" s="828"/>
      <c r="U42" s="3"/>
      <c r="V42" s="4"/>
      <c r="W42" s="6"/>
      <c r="X42" s="3284"/>
      <c r="Y42" s="3285"/>
      <c r="Z42" s="3286"/>
      <c r="AA42" s="3281"/>
      <c r="AB42" s="3282"/>
      <c r="AC42" s="3282"/>
      <c r="AD42" s="3282"/>
      <c r="AE42" s="3282"/>
      <c r="AF42" s="3282"/>
      <c r="AG42" s="3282"/>
      <c r="AH42" s="3282"/>
      <c r="AI42" s="3282"/>
      <c r="AJ42" s="3282"/>
      <c r="AK42" s="3282"/>
      <c r="AL42" s="3283"/>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08"/>
      <c r="B43" s="827"/>
      <c r="C43" s="3272"/>
      <c r="D43" s="3273"/>
      <c r="E43" s="3273"/>
      <c r="F43" s="3273"/>
      <c r="G43" s="3273"/>
      <c r="H43" s="3273"/>
      <c r="I43" s="3273"/>
      <c r="J43" s="3273"/>
      <c r="K43" s="3274"/>
      <c r="L43" s="2281"/>
      <c r="M43" s="3263"/>
      <c r="N43" s="3264"/>
      <c r="O43" s="3264"/>
      <c r="P43" s="3264"/>
      <c r="Q43" s="3264"/>
      <c r="R43" s="3264"/>
      <c r="S43" s="3265"/>
      <c r="T43" s="828"/>
      <c r="U43" s="3"/>
      <c r="V43" s="4"/>
      <c r="W43" s="6"/>
      <c r="X43" s="3284"/>
      <c r="Y43" s="3285"/>
      <c r="Z43" s="3286"/>
      <c r="AA43" s="3290"/>
      <c r="AB43" s="3193"/>
      <c r="AC43" s="3193"/>
      <c r="AD43" s="3193"/>
      <c r="AE43" s="3193"/>
      <c r="AF43" s="3193"/>
      <c r="AG43" s="3193"/>
      <c r="AH43" s="3193"/>
      <c r="AI43" s="3193"/>
      <c r="AJ43" s="3193"/>
      <c r="AK43" s="3193"/>
      <c r="AL43" s="3194"/>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08"/>
      <c r="B44" s="827"/>
      <c r="C44" s="5"/>
      <c r="D44" s="5"/>
      <c r="E44" s="5"/>
      <c r="F44" s="5"/>
      <c r="G44" s="5"/>
      <c r="H44" s="5"/>
      <c r="I44" s="5"/>
      <c r="J44" s="5"/>
      <c r="K44" s="5"/>
      <c r="L44" s="2281"/>
      <c r="M44" s="3263"/>
      <c r="N44" s="3264"/>
      <c r="O44" s="3264"/>
      <c r="P44" s="3264"/>
      <c r="Q44" s="3264"/>
      <c r="R44" s="3264"/>
      <c r="S44" s="3265"/>
      <c r="T44" s="828"/>
      <c r="U44" s="3"/>
      <c r="V44" s="4"/>
      <c r="W44" s="6"/>
      <c r="X44" s="3287"/>
      <c r="Y44" s="3288"/>
      <c r="Z44" s="3289"/>
      <c r="AA44" s="3291"/>
      <c r="AB44" s="3202"/>
      <c r="AC44" s="3202"/>
      <c r="AD44" s="3202"/>
      <c r="AE44" s="3202"/>
      <c r="AF44" s="3202"/>
      <c r="AG44" s="3202"/>
      <c r="AH44" s="3202"/>
      <c r="AI44" s="3202"/>
      <c r="AJ44" s="3202"/>
      <c r="AK44" s="3202"/>
      <c r="AL44" s="3203"/>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08"/>
      <c r="B45" s="827"/>
      <c r="C45" s="3278" t="s">
        <v>9369</v>
      </c>
      <c r="D45" s="3279"/>
      <c r="E45" s="3279"/>
      <c r="F45" s="3279"/>
      <c r="G45" s="3279"/>
      <c r="H45" s="3279"/>
      <c r="I45" s="3279"/>
      <c r="J45" s="3279"/>
      <c r="K45" s="3280"/>
      <c r="L45" s="2281"/>
      <c r="M45" s="3263"/>
      <c r="N45" s="3264"/>
      <c r="O45" s="3264"/>
      <c r="P45" s="3264"/>
      <c r="Q45" s="3264"/>
      <c r="R45" s="3264"/>
      <c r="S45" s="3265"/>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08"/>
      <c r="B46" s="827"/>
      <c r="C46" s="3275"/>
      <c r="D46" s="3276"/>
      <c r="E46" s="3276"/>
      <c r="F46" s="3276"/>
      <c r="G46" s="3276"/>
      <c r="H46" s="3276"/>
      <c r="I46" s="3276"/>
      <c r="J46" s="3276"/>
      <c r="K46" s="3277"/>
      <c r="L46" s="2281"/>
      <c r="M46" s="3263"/>
      <c r="N46" s="3264"/>
      <c r="O46" s="3264"/>
      <c r="P46" s="3264"/>
      <c r="Q46" s="3264"/>
      <c r="R46" s="3264"/>
      <c r="S46" s="3265"/>
      <c r="T46" s="828"/>
      <c r="U46" s="3"/>
      <c r="V46" s="4"/>
      <c r="W46" s="6"/>
      <c r="X46" s="3226" t="s">
        <v>1616</v>
      </c>
      <c r="Y46" s="3190"/>
      <c r="Z46" s="3190"/>
      <c r="AA46" s="3190"/>
      <c r="AB46" s="3190"/>
      <c r="AC46" s="3190"/>
      <c r="AD46" s="3191"/>
      <c r="AF46" s="3226" t="s">
        <v>1617</v>
      </c>
      <c r="AG46" s="3190"/>
      <c r="AH46" s="3190"/>
      <c r="AI46" s="3190"/>
      <c r="AJ46" s="3190"/>
      <c r="AK46" s="3190"/>
      <c r="AL46" s="3191"/>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08"/>
      <c r="B47" s="827"/>
      <c r="C47" s="3269"/>
      <c r="D47" s="3270"/>
      <c r="E47" s="3270"/>
      <c r="F47" s="3270"/>
      <c r="G47" s="3270"/>
      <c r="H47" s="3270"/>
      <c r="I47" s="3270"/>
      <c r="J47" s="3270"/>
      <c r="K47" s="3271"/>
      <c r="L47" s="2281"/>
      <c r="M47" s="3263"/>
      <c r="N47" s="3264"/>
      <c r="O47" s="3264"/>
      <c r="P47" s="3264"/>
      <c r="Q47" s="3264"/>
      <c r="R47" s="3264"/>
      <c r="S47" s="3265"/>
      <c r="T47" s="828"/>
      <c r="U47" s="3"/>
      <c r="V47" s="4"/>
      <c r="W47" s="6"/>
      <c r="X47" s="3192"/>
      <c r="Y47" s="3193"/>
      <c r="Z47" s="3193"/>
      <c r="AA47" s="3193"/>
      <c r="AB47" s="3193"/>
      <c r="AC47" s="3193"/>
      <c r="AD47" s="3194"/>
      <c r="AF47" s="3192"/>
      <c r="AG47" s="3193"/>
      <c r="AH47" s="3193"/>
      <c r="AI47" s="3193"/>
      <c r="AJ47" s="3193"/>
      <c r="AK47" s="3193"/>
      <c r="AL47" s="3194"/>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08"/>
      <c r="B48" s="827"/>
      <c r="C48" s="3269"/>
      <c r="D48" s="3270"/>
      <c r="E48" s="3270"/>
      <c r="F48" s="3270"/>
      <c r="G48" s="3270"/>
      <c r="H48" s="3270"/>
      <c r="I48" s="3270"/>
      <c r="J48" s="3270"/>
      <c r="K48" s="3271"/>
      <c r="L48" s="2281"/>
      <c r="M48" s="3263"/>
      <c r="N48" s="3264"/>
      <c r="O48" s="3264"/>
      <c r="P48" s="3264"/>
      <c r="Q48" s="3264"/>
      <c r="R48" s="3264"/>
      <c r="S48" s="3265"/>
      <c r="T48" s="828"/>
      <c r="U48" s="3"/>
      <c r="V48" s="4"/>
      <c r="W48" s="6"/>
      <c r="X48" s="3192"/>
      <c r="Y48" s="3193"/>
      <c r="Z48" s="3193"/>
      <c r="AA48" s="3193"/>
      <c r="AB48" s="3193"/>
      <c r="AC48" s="3193"/>
      <c r="AD48" s="3194"/>
      <c r="AF48" s="3192"/>
      <c r="AG48" s="3193"/>
      <c r="AH48" s="3193"/>
      <c r="AI48" s="3193"/>
      <c r="AJ48" s="3193"/>
      <c r="AK48" s="3193"/>
      <c r="AL48" s="3194"/>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08"/>
      <c r="B49" s="827"/>
      <c r="C49" s="3269"/>
      <c r="D49" s="3270"/>
      <c r="E49" s="3270"/>
      <c r="F49" s="3270"/>
      <c r="G49" s="3270"/>
      <c r="H49" s="3270"/>
      <c r="I49" s="3270"/>
      <c r="J49" s="3270"/>
      <c r="K49" s="3271"/>
      <c r="L49" s="2281"/>
      <c r="M49" s="3263"/>
      <c r="N49" s="3264"/>
      <c r="O49" s="3264"/>
      <c r="P49" s="3264"/>
      <c r="Q49" s="3264"/>
      <c r="R49" s="3264"/>
      <c r="S49" s="3265"/>
      <c r="T49" s="828"/>
      <c r="U49" s="3"/>
      <c r="V49" s="4"/>
      <c r="W49" s="6"/>
      <c r="X49" s="3192"/>
      <c r="Y49" s="3193"/>
      <c r="Z49" s="3193"/>
      <c r="AA49" s="3193"/>
      <c r="AB49" s="3193"/>
      <c r="AC49" s="3193"/>
      <c r="AD49" s="3194"/>
      <c r="AF49" s="3192"/>
      <c r="AG49" s="3193"/>
      <c r="AH49" s="3193"/>
      <c r="AI49" s="3193"/>
      <c r="AJ49" s="3193"/>
      <c r="AK49" s="3193"/>
      <c r="AL49" s="3194"/>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08"/>
      <c r="B50" s="827"/>
      <c r="C50" s="3269"/>
      <c r="D50" s="3270"/>
      <c r="E50" s="3270"/>
      <c r="F50" s="3270"/>
      <c r="G50" s="3270"/>
      <c r="H50" s="3270"/>
      <c r="I50" s="3270"/>
      <c r="J50" s="3270"/>
      <c r="K50" s="3271"/>
      <c r="L50" s="2281"/>
      <c r="M50" s="3263"/>
      <c r="N50" s="3264"/>
      <c r="O50" s="3264"/>
      <c r="P50" s="3264"/>
      <c r="Q50" s="3264"/>
      <c r="R50" s="3264"/>
      <c r="S50" s="3265"/>
      <c r="T50" s="828"/>
      <c r="U50" s="3"/>
      <c r="V50" s="4"/>
      <c r="W50" s="6"/>
      <c r="X50" s="3192"/>
      <c r="Y50" s="3193"/>
      <c r="Z50" s="3193"/>
      <c r="AA50" s="3193"/>
      <c r="AB50" s="3193"/>
      <c r="AC50" s="3193"/>
      <c r="AD50" s="3194"/>
      <c r="AF50" s="3192"/>
      <c r="AG50" s="3193"/>
      <c r="AH50" s="3193"/>
      <c r="AI50" s="3193"/>
      <c r="AJ50" s="3193"/>
      <c r="AK50" s="3193"/>
      <c r="AL50" s="3194"/>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08"/>
      <c r="B51" s="827"/>
      <c r="C51" s="3269"/>
      <c r="D51" s="3270"/>
      <c r="E51" s="3270"/>
      <c r="F51" s="3270"/>
      <c r="G51" s="3270"/>
      <c r="H51" s="3270"/>
      <c r="I51" s="3270"/>
      <c r="J51" s="3270"/>
      <c r="K51" s="3271"/>
      <c r="L51" s="2281"/>
      <c r="M51" s="3263"/>
      <c r="N51" s="3264"/>
      <c r="O51" s="3264"/>
      <c r="P51" s="3264"/>
      <c r="Q51" s="3264"/>
      <c r="R51" s="3264"/>
      <c r="S51" s="3265"/>
      <c r="T51" s="828"/>
      <c r="U51" s="3"/>
      <c r="V51" s="4"/>
      <c r="W51" s="6"/>
      <c r="X51" s="3192"/>
      <c r="Y51" s="3193"/>
      <c r="Z51" s="3193"/>
      <c r="AA51" s="3193"/>
      <c r="AB51" s="3193"/>
      <c r="AC51" s="3193"/>
      <c r="AD51" s="3194"/>
      <c r="AF51" s="3192"/>
      <c r="AG51" s="3193"/>
      <c r="AH51" s="3193"/>
      <c r="AI51" s="3193"/>
      <c r="AJ51" s="3193"/>
      <c r="AK51" s="3193"/>
      <c r="AL51" s="3194"/>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08"/>
      <c r="B52" s="827"/>
      <c r="C52" s="3269"/>
      <c r="D52" s="3270"/>
      <c r="E52" s="3270"/>
      <c r="F52" s="3270"/>
      <c r="G52" s="3270"/>
      <c r="H52" s="3270"/>
      <c r="I52" s="3270"/>
      <c r="J52" s="3270"/>
      <c r="K52" s="3271"/>
      <c r="L52" s="2281"/>
      <c r="M52" s="3263"/>
      <c r="N52" s="3264"/>
      <c r="O52" s="3264"/>
      <c r="P52" s="3264"/>
      <c r="Q52" s="3264"/>
      <c r="R52" s="3264"/>
      <c r="S52" s="3265"/>
      <c r="T52" s="828"/>
      <c r="U52" s="3"/>
      <c r="V52" s="4"/>
      <c r="W52" s="6"/>
      <c r="X52" s="3192"/>
      <c r="Y52" s="3193"/>
      <c r="Z52" s="3193"/>
      <c r="AA52" s="3193"/>
      <c r="AB52" s="3193"/>
      <c r="AC52" s="3193"/>
      <c r="AD52" s="3194"/>
      <c r="AF52" s="3192"/>
      <c r="AG52" s="3193"/>
      <c r="AH52" s="3193"/>
      <c r="AI52" s="3193"/>
      <c r="AJ52" s="3193"/>
      <c r="AK52" s="3193"/>
      <c r="AL52" s="3194"/>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08"/>
      <c r="B53" s="827"/>
      <c r="C53" s="3272"/>
      <c r="D53" s="3273"/>
      <c r="E53" s="3273"/>
      <c r="F53" s="3273"/>
      <c r="G53" s="3273"/>
      <c r="H53" s="3273"/>
      <c r="I53" s="3273"/>
      <c r="J53" s="3273"/>
      <c r="K53" s="3274"/>
      <c r="L53" s="2281"/>
      <c r="M53" s="3266"/>
      <c r="N53" s="3267"/>
      <c r="O53" s="3267"/>
      <c r="P53" s="3267"/>
      <c r="Q53" s="3267"/>
      <c r="R53" s="3267"/>
      <c r="S53" s="3268"/>
      <c r="T53" s="828"/>
      <c r="U53" s="3"/>
      <c r="V53" s="4"/>
      <c r="W53" s="6"/>
      <c r="X53" s="3192"/>
      <c r="Y53" s="3193"/>
      <c r="Z53" s="3193"/>
      <c r="AA53" s="3193"/>
      <c r="AB53" s="3193"/>
      <c r="AC53" s="3193"/>
      <c r="AD53" s="3194"/>
      <c r="AF53" s="3192"/>
      <c r="AG53" s="3193"/>
      <c r="AH53" s="3193"/>
      <c r="AI53" s="3193"/>
      <c r="AJ53" s="3193"/>
      <c r="AK53" s="3193"/>
      <c r="AL53" s="3194"/>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08"/>
      <c r="B54" s="827"/>
      <c r="C54" s="5"/>
      <c r="D54" s="5"/>
      <c r="E54" s="5"/>
      <c r="F54" s="5"/>
      <c r="G54" s="5"/>
      <c r="H54" s="5"/>
      <c r="I54" s="5"/>
      <c r="J54" s="5"/>
      <c r="K54" s="5"/>
      <c r="L54" s="5"/>
      <c r="M54" s="5"/>
      <c r="N54" s="5"/>
      <c r="O54" s="5"/>
      <c r="P54" s="5"/>
      <c r="Q54" s="5"/>
      <c r="R54" s="5"/>
      <c r="S54" s="5"/>
      <c r="T54" s="828"/>
      <c r="U54" s="3"/>
      <c r="V54" s="4"/>
      <c r="W54" s="6"/>
      <c r="X54" s="3192"/>
      <c r="Y54" s="3193"/>
      <c r="Z54" s="3193"/>
      <c r="AA54" s="3193"/>
      <c r="AB54" s="3193"/>
      <c r="AC54" s="3193"/>
      <c r="AD54" s="3194"/>
      <c r="AF54" s="3192"/>
      <c r="AG54" s="3193"/>
      <c r="AH54" s="3193"/>
      <c r="AI54" s="3193"/>
      <c r="AJ54" s="3193"/>
      <c r="AK54" s="3193"/>
      <c r="AL54" s="3194"/>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08"/>
      <c r="B55" s="827"/>
      <c r="C55" s="3278" t="s">
        <v>9561</v>
      </c>
      <c r="D55" s="3279"/>
      <c r="E55" s="3279"/>
      <c r="F55" s="3279"/>
      <c r="G55" s="3279"/>
      <c r="H55" s="3279"/>
      <c r="I55" s="3279"/>
      <c r="J55" s="3279"/>
      <c r="K55" s="3279"/>
      <c r="L55" s="3279"/>
      <c r="M55" s="3279"/>
      <c r="N55" s="3279"/>
      <c r="O55" s="3279"/>
      <c r="P55" s="3279"/>
      <c r="Q55" s="3279"/>
      <c r="R55" s="3279"/>
      <c r="S55" s="3280"/>
      <c r="T55" s="828"/>
      <c r="U55" s="3"/>
      <c r="V55" s="4"/>
      <c r="W55" s="6"/>
      <c r="X55" s="3201"/>
      <c r="Y55" s="3202"/>
      <c r="Z55" s="3202"/>
      <c r="AA55" s="3202"/>
      <c r="AB55" s="3202"/>
      <c r="AC55" s="3202"/>
      <c r="AD55" s="3203"/>
      <c r="AF55" s="3201"/>
      <c r="AG55" s="3202"/>
      <c r="AH55" s="3202"/>
      <c r="AI55" s="3202"/>
      <c r="AJ55" s="3202"/>
      <c r="AK55" s="3202"/>
      <c r="AL55" s="3203"/>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08"/>
      <c r="B56" s="827"/>
      <c r="C56" s="3313"/>
      <c r="D56" s="3314"/>
      <c r="E56" s="3315"/>
      <c r="F56" s="3315"/>
      <c r="G56" s="3315"/>
      <c r="H56" s="3315"/>
      <c r="I56" s="3315"/>
      <c r="J56" s="3315"/>
      <c r="K56" s="3315"/>
      <c r="L56" s="3315"/>
      <c r="M56" s="3315"/>
      <c r="N56" s="3315"/>
      <c r="O56" s="3315"/>
      <c r="P56" s="3315"/>
      <c r="Q56" s="3315"/>
      <c r="R56" s="3315"/>
      <c r="S56" s="3316"/>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08"/>
      <c r="B57" s="827"/>
      <c r="C57" s="3317"/>
      <c r="D57" s="3318"/>
      <c r="E57" s="3319"/>
      <c r="F57" s="3319"/>
      <c r="G57" s="3319"/>
      <c r="H57" s="3319"/>
      <c r="I57" s="3319"/>
      <c r="J57" s="3319"/>
      <c r="K57" s="3319"/>
      <c r="L57" s="3319"/>
      <c r="M57" s="3319"/>
      <c r="N57" s="3319"/>
      <c r="O57" s="3319"/>
      <c r="P57" s="3319"/>
      <c r="Q57" s="3319"/>
      <c r="R57" s="3319"/>
      <c r="S57" s="3320"/>
      <c r="T57" s="828"/>
      <c r="U57" s="3"/>
      <c r="V57" s="4"/>
      <c r="W57" s="6"/>
      <c r="X57" s="3188" t="s">
        <v>1618</v>
      </c>
      <c r="Y57" s="3189"/>
      <c r="Z57" s="3189"/>
      <c r="AA57" s="3189"/>
      <c r="AB57" s="3190"/>
      <c r="AC57" s="3190"/>
      <c r="AD57" s="3191"/>
      <c r="AF57" s="3204" t="s">
        <v>1619</v>
      </c>
      <c r="AG57" s="3205"/>
      <c r="AH57" s="3205"/>
      <c r="AI57" s="3205"/>
      <c r="AJ57" s="3205"/>
      <c r="AK57" s="3206" t="str">
        <f>VLOOKUP(AF59,Tabla_Fama,2)</f>
        <v>Desconocido</v>
      </c>
      <c r="AL57" s="3207"/>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08"/>
      <c r="B58" s="827"/>
      <c r="C58" s="3317"/>
      <c r="D58" s="3318"/>
      <c r="E58" s="3319"/>
      <c r="F58" s="3319"/>
      <c r="G58" s="3319"/>
      <c r="H58" s="3319"/>
      <c r="I58" s="3319"/>
      <c r="J58" s="3319"/>
      <c r="K58" s="3319"/>
      <c r="L58" s="3319"/>
      <c r="M58" s="3319"/>
      <c r="N58" s="3319"/>
      <c r="O58" s="3319"/>
      <c r="P58" s="3319"/>
      <c r="Q58" s="3319"/>
      <c r="R58" s="3319"/>
      <c r="S58" s="3320"/>
      <c r="T58" s="828"/>
      <c r="U58" s="3"/>
      <c r="V58" s="4"/>
      <c r="W58" s="6"/>
      <c r="X58" s="3195" t="s">
        <v>1620</v>
      </c>
      <c r="Y58" s="3196"/>
      <c r="Z58" s="3196"/>
      <c r="AA58" s="3197"/>
      <c r="AB58" s="3198" t="s">
        <v>1621</v>
      </c>
      <c r="AC58" s="3199"/>
      <c r="AD58" s="3200"/>
      <c r="AF58" s="2164" t="s">
        <v>1622</v>
      </c>
      <c r="AG58" s="3179" t="s">
        <v>1623</v>
      </c>
      <c r="AH58" s="3179"/>
      <c r="AI58" s="2153"/>
      <c r="AJ58" s="3179" t="s">
        <v>1624</v>
      </c>
      <c r="AK58" s="3179"/>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08"/>
      <c r="B59" s="827"/>
      <c r="C59" s="3317"/>
      <c r="D59" s="3318"/>
      <c r="E59" s="3319"/>
      <c r="F59" s="3319"/>
      <c r="G59" s="3319"/>
      <c r="H59" s="3319"/>
      <c r="I59" s="3319"/>
      <c r="J59" s="3319"/>
      <c r="K59" s="3319"/>
      <c r="L59" s="3319"/>
      <c r="M59" s="3319"/>
      <c r="N59" s="3319"/>
      <c r="O59" s="3319"/>
      <c r="P59" s="3319"/>
      <c r="Q59" s="3319"/>
      <c r="R59" s="3319"/>
      <c r="S59" s="3320"/>
      <c r="T59" s="828"/>
      <c r="U59" s="3"/>
      <c r="V59" s="4"/>
      <c r="W59" s="6"/>
      <c r="X59" s="3187" t="s">
        <v>1625</v>
      </c>
      <c r="Y59" s="3184"/>
      <c r="Z59" s="3185"/>
      <c r="AA59" s="3186"/>
      <c r="AB59" s="3168"/>
      <c r="AC59" s="3169"/>
      <c r="AD59" s="3170"/>
      <c r="AF59" s="3177">
        <f>MAX(AI58+AI60+AL59+AL58+AI59,IF(Tablas!$G$478&gt;0,40,IF(Tablas!$G$479&gt;0,65)))</f>
        <v>0</v>
      </c>
      <c r="AG59" s="3179" t="s">
        <v>1626</v>
      </c>
      <c r="AH59" s="3179"/>
      <c r="AI59" s="2128"/>
      <c r="AJ59" s="3179" t="s">
        <v>1627</v>
      </c>
      <c r="AK59" s="3180"/>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08"/>
      <c r="B60" s="827"/>
      <c r="C60" s="3317"/>
      <c r="D60" s="3318"/>
      <c r="E60" s="3319"/>
      <c r="F60" s="3319"/>
      <c r="G60" s="3319"/>
      <c r="H60" s="3319"/>
      <c r="I60" s="3319"/>
      <c r="J60" s="3319"/>
      <c r="K60" s="3319"/>
      <c r="L60" s="3319"/>
      <c r="M60" s="3319"/>
      <c r="N60" s="3319"/>
      <c r="O60" s="3319"/>
      <c r="P60" s="3319"/>
      <c r="Q60" s="3319"/>
      <c r="R60" s="3319"/>
      <c r="S60" s="3320"/>
      <c r="T60" s="828"/>
      <c r="U60" s="3"/>
      <c r="V60" s="4"/>
      <c r="W60" s="6"/>
      <c r="X60" s="3187"/>
      <c r="Y60" s="3152"/>
      <c r="Z60" s="3153"/>
      <c r="AA60" s="3154"/>
      <c r="AB60" s="3171"/>
      <c r="AC60" s="3172"/>
      <c r="AD60" s="3173"/>
      <c r="AF60" s="3178"/>
      <c r="AG60" s="3181" t="s">
        <v>1628</v>
      </c>
      <c r="AH60" s="3181"/>
      <c r="AI60" s="2167"/>
      <c r="AJ60" s="3182" t="s">
        <v>1629</v>
      </c>
      <c r="AK60" s="3183"/>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08"/>
      <c r="B61" s="827"/>
      <c r="C61" s="3317"/>
      <c r="D61" s="3318"/>
      <c r="E61" s="3319"/>
      <c r="F61" s="3319"/>
      <c r="G61" s="3319"/>
      <c r="H61" s="3319"/>
      <c r="I61" s="3319"/>
      <c r="J61" s="3319"/>
      <c r="K61" s="3319"/>
      <c r="L61" s="3319"/>
      <c r="M61" s="3319"/>
      <c r="N61" s="3319"/>
      <c r="O61" s="3319"/>
      <c r="P61" s="3319"/>
      <c r="Q61" s="3319"/>
      <c r="R61" s="3319"/>
      <c r="S61" s="3320"/>
      <c r="T61" s="828"/>
      <c r="U61" s="3"/>
      <c r="V61" s="4"/>
      <c r="W61" s="6"/>
      <c r="X61" s="3187" t="s">
        <v>1630</v>
      </c>
      <c r="Y61" s="3152"/>
      <c r="Z61" s="3153"/>
      <c r="AA61" s="3154"/>
      <c r="AB61" s="3171"/>
      <c r="AC61" s="3172"/>
      <c r="AD61" s="3173"/>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08"/>
      <c r="B62" s="827"/>
      <c r="C62" s="3317"/>
      <c r="D62" s="3318"/>
      <c r="E62" s="3319"/>
      <c r="F62" s="3319"/>
      <c r="G62" s="3319"/>
      <c r="H62" s="3319"/>
      <c r="I62" s="3319"/>
      <c r="J62" s="3319"/>
      <c r="K62" s="3319"/>
      <c r="L62" s="3319"/>
      <c r="M62" s="3319"/>
      <c r="N62" s="3319"/>
      <c r="O62" s="3319"/>
      <c r="P62" s="3319"/>
      <c r="Q62" s="3319"/>
      <c r="R62" s="3319"/>
      <c r="S62" s="3320"/>
      <c r="T62" s="828"/>
      <c r="U62" s="3"/>
      <c r="V62" s="4"/>
      <c r="W62" s="6"/>
      <c r="X62" s="3187"/>
      <c r="Y62" s="3152"/>
      <c r="Z62" s="3153"/>
      <c r="AA62" s="3154"/>
      <c r="AB62" s="3171"/>
      <c r="AC62" s="3172"/>
      <c r="AD62" s="3173"/>
      <c r="AF62" s="3188" t="s">
        <v>1631</v>
      </c>
      <c r="AG62" s="3189"/>
      <c r="AH62" s="3189"/>
      <c r="AI62" s="3189"/>
      <c r="AJ62" s="3189"/>
      <c r="AK62" s="3190"/>
      <c r="AL62" s="3191"/>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08"/>
      <c r="B63" s="827"/>
      <c r="C63" s="3317"/>
      <c r="D63" s="3318"/>
      <c r="E63" s="3319"/>
      <c r="F63" s="3319"/>
      <c r="G63" s="3319"/>
      <c r="H63" s="3319"/>
      <c r="I63" s="3319"/>
      <c r="J63" s="3319"/>
      <c r="K63" s="3319"/>
      <c r="L63" s="3319"/>
      <c r="M63" s="3319"/>
      <c r="N63" s="3319"/>
      <c r="O63" s="3319"/>
      <c r="P63" s="3319"/>
      <c r="Q63" s="3319"/>
      <c r="R63" s="3319"/>
      <c r="S63" s="3320"/>
      <c r="T63" s="828"/>
      <c r="U63" s="3"/>
      <c r="V63" s="4"/>
      <c r="W63" s="6"/>
      <c r="X63" s="3150" t="s">
        <v>1632</v>
      </c>
      <c r="Y63" s="3152"/>
      <c r="Z63" s="3153"/>
      <c r="AA63" s="3154"/>
      <c r="AB63" s="3171"/>
      <c r="AC63" s="3172"/>
      <c r="AD63" s="3173"/>
      <c r="AF63" s="3158" t="s">
        <v>1633</v>
      </c>
      <c r="AG63" s="3159"/>
      <c r="AH63" s="3159"/>
      <c r="AI63" s="2129">
        <f>IF(INT+POD+VOL=0,0,VLOOKUP(INT+POD+VOL,Tabla_Cordura,3))</f>
        <v>0</v>
      </c>
      <c r="AJ63" s="3160">
        <f>IF(INT+POD+VOL=0,0,VLOOKUP(INT+POD+VOL,Tabla_Cordura,2))</f>
        <v>0</v>
      </c>
      <c r="AK63" s="3162"/>
      <c r="AL63" s="3163"/>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08"/>
      <c r="B64" s="827"/>
      <c r="C64" s="3321"/>
      <c r="D64" s="3322"/>
      <c r="E64" s="3323"/>
      <c r="F64" s="3323"/>
      <c r="G64" s="3323"/>
      <c r="H64" s="3323"/>
      <c r="I64" s="3323"/>
      <c r="J64" s="3323"/>
      <c r="K64" s="3323"/>
      <c r="L64" s="3323"/>
      <c r="M64" s="3323"/>
      <c r="N64" s="3323"/>
      <c r="O64" s="3323"/>
      <c r="P64" s="3323"/>
      <c r="Q64" s="3323"/>
      <c r="R64" s="3323"/>
      <c r="S64" s="3324"/>
      <c r="T64" s="828"/>
      <c r="U64" s="3"/>
      <c r="V64" s="4"/>
      <c r="W64" s="6"/>
      <c r="X64" s="3151"/>
      <c r="Y64" s="3155"/>
      <c r="Z64" s="3156"/>
      <c r="AA64" s="3157"/>
      <c r="AB64" s="3174"/>
      <c r="AC64" s="3175"/>
      <c r="AD64" s="3176"/>
      <c r="AF64" s="3166"/>
      <c r="AG64" s="3167"/>
      <c r="AH64" s="3167"/>
      <c r="AI64" s="3167"/>
      <c r="AJ64" s="3161"/>
      <c r="AK64" s="3164"/>
      <c r="AL64" s="3165"/>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08"/>
      <c r="B65" s="3311"/>
      <c r="C65" s="3312"/>
      <c r="D65" s="3312"/>
      <c r="E65" s="3312"/>
      <c r="F65" s="3312"/>
      <c r="G65" s="3312"/>
      <c r="H65" s="3312"/>
      <c r="I65" s="3312"/>
      <c r="J65" s="3312"/>
      <c r="K65" s="3312"/>
      <c r="L65" s="3312"/>
      <c r="M65" s="3312"/>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0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97" priority="21" stopIfTrue="1" operator="equal">
      <formula>0</formula>
    </cfRule>
  </conditionalFormatting>
  <conditionalFormatting sqref="J23">
    <cfRule type="expression" dxfId="1196" priority="13" stopIfTrue="1">
      <formula>ISNUMBER(SEARCH(Raza,Nephilim))</formula>
    </cfRule>
  </conditionalFormatting>
  <conditionalFormatting sqref="X12">
    <cfRule type="expression" dxfId="1195" priority="2283">
      <formula>$X$12&gt;=$AC$12</formula>
    </cfRule>
  </conditionalFormatting>
  <conditionalFormatting sqref="X14:AD14">
    <cfRule type="expression" dxfId="1194" priority="8">
      <formula>$X$14&lt;&gt;""</formula>
    </cfRule>
  </conditionalFormatting>
  <conditionalFormatting sqref="N26:R26">
    <cfRule type="expression" dxfId="1193" priority="3">
      <formula>$M$26&lt;&gt;"Clase social:"</formula>
    </cfRule>
  </conditionalFormatting>
  <conditionalFormatting sqref="Q23:R23">
    <cfRule type="expression" dxfId="1192" priority="2">
      <formula>$F$23="Humano"</formula>
    </cfRule>
  </conditionalFormatting>
  <conditionalFormatting sqref="N23:P23">
    <cfRule type="expression" dxfId="1191"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A40" zoomScaleNormal="100" zoomScaleSheetLayoutView="55" workbookViewId="0">
      <selection activeCell="G47" sqref="G47:J47"/>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21"/>
      <c r="D3" s="3621"/>
      <c r="E3" s="3621"/>
      <c r="F3" s="3621"/>
      <c r="G3" s="3621"/>
      <c r="H3" s="3621"/>
      <c r="I3" s="31"/>
      <c r="J3" s="31"/>
      <c r="K3" s="813"/>
      <c r="L3" s="31"/>
      <c r="M3" s="31"/>
      <c r="N3" s="31"/>
      <c r="O3" s="31"/>
      <c r="P3" s="31"/>
      <c r="Q3" s="32"/>
      <c r="R3" s="823"/>
      <c r="S3" s="1413" t="s">
        <v>9127</v>
      </c>
      <c r="T3" s="1412">
        <f>Tablas!J1210</f>
        <v>10</v>
      </c>
      <c r="U3" s="1431"/>
      <c r="V3" s="3231"/>
      <c r="W3" s="3231"/>
      <c r="X3" s="3231"/>
      <c r="Y3" s="3231"/>
      <c r="Z3" s="3231"/>
      <c r="AA3" s="3231"/>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21"/>
      <c r="D4" s="3621"/>
      <c r="E4" s="3621"/>
      <c r="F4" s="3621"/>
      <c r="G4" s="3621"/>
      <c r="H4" s="3621"/>
      <c r="I4" s="35"/>
      <c r="J4" s="3232" t="s">
        <v>1595</v>
      </c>
      <c r="K4" s="3232"/>
      <c r="L4" s="3233" t="str">
        <f>IF(OR(General!$F$22="",General!$F$22=0),"",General!$F$22)</f>
        <v/>
      </c>
      <c r="M4" s="3233"/>
      <c r="N4" s="3233"/>
      <c r="O4" s="3233"/>
      <c r="P4" s="3233"/>
      <c r="Q4" s="11"/>
      <c r="R4" s="1205"/>
      <c r="S4" s="1406"/>
      <c r="T4" s="1407"/>
      <c r="U4" s="1431"/>
      <c r="V4" s="3231"/>
      <c r="W4" s="3231"/>
      <c r="X4" s="3231"/>
      <c r="Y4" s="3231"/>
      <c r="Z4" s="3231"/>
      <c r="AA4" s="3231"/>
      <c r="AB4" s="10"/>
      <c r="AC4" s="3232" t="s">
        <v>1595</v>
      </c>
      <c r="AD4" s="3232"/>
      <c r="AE4" s="3233" t="str">
        <f>IF(OR(General!$F$22="",General!$F$22=0),"",General!$F$22)</f>
        <v/>
      </c>
      <c r="AF4" s="3233"/>
      <c r="AG4" s="3233"/>
      <c r="AH4" s="3233"/>
      <c r="AI4" s="3233"/>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21"/>
      <c r="D5" s="3621"/>
      <c r="E5" s="3621"/>
      <c r="F5" s="3621"/>
      <c r="G5" s="3621"/>
      <c r="H5" s="3621"/>
      <c r="I5" s="35"/>
      <c r="J5" s="3223" t="s">
        <v>1596</v>
      </c>
      <c r="K5" s="3223"/>
      <c r="L5" s="3224" t="str">
        <f>IF(PDs!P13=0,IF(PDs!P11=0,IF(PDs!P9=0,IF(PDs!P7=0,IF(PDs!P5=0,"",PDs!P5),PDs!P7),PDs!P9),PDs!P11),PDs!P13)</f>
        <v/>
      </c>
      <c r="M5" s="3224"/>
      <c r="N5" s="3224"/>
      <c r="O5" s="37" t="s">
        <v>1597</v>
      </c>
      <c r="P5" s="13" t="str">
        <f>PDs!R15&amp;IF(Principal!AA27=0,""," + "&amp;Principal!AA27)</f>
        <v>0 + 1</v>
      </c>
      <c r="Q5" s="38"/>
      <c r="R5" s="823"/>
      <c r="S5" s="1406"/>
      <c r="T5" s="1407"/>
      <c r="U5" s="1431"/>
      <c r="V5" s="3231"/>
      <c r="W5" s="3231"/>
      <c r="X5" s="3231"/>
      <c r="Y5" s="3231"/>
      <c r="Z5" s="3231"/>
      <c r="AA5" s="3231"/>
      <c r="AB5" s="10"/>
      <c r="AC5" s="3223" t="s">
        <v>1596</v>
      </c>
      <c r="AD5" s="3223"/>
      <c r="AE5" s="3224" t="str">
        <f>$L$5</f>
        <v/>
      </c>
      <c r="AF5" s="3224"/>
      <c r="AG5" s="3224"/>
      <c r="AH5" s="12" t="s">
        <v>1597</v>
      </c>
      <c r="AI5" s="13" t="str">
        <f>$P$5</f>
        <v>0 + 1</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21"/>
      <c r="D6" s="3621"/>
      <c r="E6" s="3621"/>
      <c r="F6" s="3621"/>
      <c r="G6" s="3621"/>
      <c r="H6" s="3621"/>
      <c r="I6" s="35"/>
      <c r="J6" s="3223" t="s">
        <v>1634</v>
      </c>
      <c r="K6" s="3223"/>
      <c r="L6" s="2264">
        <f>MIN(IF(Raza="Criatura",99,IF(OR(Raza="Jayán",AND(Raza="Turak",COUNTIF(Cercanía_Dragón,"Descomunales"))),24,22)),AS21)</f>
        <v>1</v>
      </c>
      <c r="M6" s="3224" t="str">
        <f>IF(Raza="Criatura",VLOOKUP($L$6,Tablas!W47:X54,2),IF(AND(Raza="Jayán",Tamaño&gt;22),"Grande","Medio"))</f>
        <v>Medio</v>
      </c>
      <c r="N6" s="3224"/>
      <c r="O6" s="39"/>
      <c r="P6" s="39"/>
      <c r="Q6" s="38"/>
      <c r="R6" s="823"/>
      <c r="S6" s="1406"/>
      <c r="T6" s="1407"/>
      <c r="U6" s="1431"/>
      <c r="V6" s="3231"/>
      <c r="W6" s="3231"/>
      <c r="X6" s="3231"/>
      <c r="Y6" s="3231"/>
      <c r="Z6" s="3231"/>
      <c r="AA6" s="3231"/>
      <c r="AB6" s="10"/>
      <c r="AC6" s="3225" t="s">
        <v>1635</v>
      </c>
      <c r="AD6" s="3225"/>
      <c r="AE6" s="3225"/>
      <c r="AF6" s="3225"/>
      <c r="AG6" s="3225"/>
      <c r="AH6" s="3225"/>
      <c r="AI6" s="3225"/>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21"/>
      <c r="D7" s="3621"/>
      <c r="E7" s="3621"/>
      <c r="F7" s="3621"/>
      <c r="G7" s="3621"/>
      <c r="H7" s="3621"/>
      <c r="I7" s="35"/>
      <c r="J7" s="1305" t="s">
        <v>1636</v>
      </c>
      <c r="K7" s="3224" t="str">
        <f>TipoDeCriatura&amp;IF(AND(TipoDeCriatura="Natural",NOT(Raza=0)),", "&amp;Raza&amp;" ","")&amp;IF(Nephilim="",""," ("&amp;Nephilim&amp;")")&amp;" "&amp;Principal!AB13</f>
        <v>Natural 10</v>
      </c>
      <c r="L7" s="3224"/>
      <c r="M7" s="3224"/>
      <c r="N7" s="3224"/>
      <c r="O7" s="3224"/>
      <c r="P7" s="3224"/>
      <c r="Q7" s="38"/>
      <c r="R7" s="823"/>
      <c r="S7" s="1406"/>
      <c r="T7" s="1407"/>
      <c r="U7" s="1431"/>
      <c r="V7" s="3231"/>
      <c r="W7" s="3231"/>
      <c r="X7" s="3231"/>
      <c r="Y7" s="3231"/>
      <c r="Z7" s="3231"/>
      <c r="AA7" s="3231"/>
      <c r="AB7" s="10"/>
      <c r="AC7" s="3225"/>
      <c r="AD7" s="3225"/>
      <c r="AE7" s="3225"/>
      <c r="AF7" s="3225"/>
      <c r="AG7" s="3225"/>
      <c r="AH7" s="3225"/>
      <c r="AI7" s="3225"/>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21"/>
      <c r="D8" s="3621"/>
      <c r="E8" s="3621"/>
      <c r="F8" s="3621"/>
      <c r="G8" s="3621"/>
      <c r="H8" s="3621"/>
      <c r="I8" s="42"/>
      <c r="J8" s="42"/>
      <c r="K8" s="814"/>
      <c r="L8" s="42"/>
      <c r="M8" s="42"/>
      <c r="N8" s="42"/>
      <c r="O8" s="42"/>
      <c r="P8" s="42"/>
      <c r="Q8" s="43"/>
      <c r="R8" s="823"/>
      <c r="S8" s="1406"/>
      <c r="T8" s="1407"/>
      <c r="U8" s="1431"/>
      <c r="V8" s="3231"/>
      <c r="W8" s="3231"/>
      <c r="X8" s="3231"/>
      <c r="Y8" s="3231"/>
      <c r="Z8" s="3231"/>
      <c r="AA8" s="3231"/>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31" t="s">
        <v>1637</v>
      </c>
      <c r="D10" s="2186" t="str">
        <f>SUM(E11:E18)+COUNTIF(E11:E18,10)&amp;" pts"</f>
        <v>0 pts</v>
      </c>
      <c r="E10" s="2187" t="s">
        <v>1638</v>
      </c>
      <c r="F10" s="2188" t="s">
        <v>1639</v>
      </c>
      <c r="G10" s="2189" t="s">
        <v>1622</v>
      </c>
      <c r="H10" s="2190" t="s">
        <v>1640</v>
      </c>
      <c r="I10" s="57"/>
      <c r="J10" s="3188" t="s">
        <v>1641</v>
      </c>
      <c r="K10" s="3190"/>
      <c r="L10" s="3191"/>
      <c r="M10" s="57"/>
      <c r="N10" s="3391" t="s">
        <v>1642</v>
      </c>
      <c r="O10" s="3391"/>
      <c r="P10" s="3391"/>
      <c r="Q10" s="3391"/>
      <c r="R10" s="1206"/>
      <c r="S10" s="1406"/>
      <c r="T10" s="1407"/>
      <c r="U10" s="1432"/>
      <c r="V10" s="3335" t="s">
        <v>1643</v>
      </c>
      <c r="W10" s="3336"/>
      <c r="X10" s="3336"/>
      <c r="Y10" s="3336"/>
      <c r="Z10" s="3336"/>
      <c r="AA10" s="3336"/>
      <c r="AB10" s="3337"/>
      <c r="AC10" s="49"/>
      <c r="AD10" s="3226" t="s">
        <v>1644</v>
      </c>
      <c r="AE10" s="3190"/>
      <c r="AF10" s="3190"/>
      <c r="AG10" s="3190"/>
      <c r="AH10" s="3619" t="s">
        <v>1645</v>
      </c>
      <c r="AI10" s="3620"/>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32"/>
      <c r="D11" s="2173" t="s">
        <v>1646</v>
      </c>
      <c r="E11" s="2171"/>
      <c r="F11" s="2437"/>
      <c r="G11" s="51">
        <f>MIN(20,MAX(0,AS11+F11))</f>
        <v>0</v>
      </c>
      <c r="H11" s="1091">
        <f>IF(G11&lt;1,0,VLOOKUP(G11,Tablas!$C$14:$D$33,2))</f>
        <v>0</v>
      </c>
      <c r="I11" s="49"/>
      <c r="J11" s="3623">
        <f>MIN(20,IF(COUNTIF(AB42:AE69,"Degeneración")&gt;0,0,AS19+L13))</f>
        <v>0</v>
      </c>
      <c r="K11" s="3605" t="str">
        <f>INDEX(Tabla_Regen,MATCH(J11,INDEX(Tabla_Regen,,2),0),3)</f>
        <v>Ninguna</v>
      </c>
      <c r="L11" s="3606"/>
      <c r="M11" s="57"/>
      <c r="N11" s="3607">
        <f>PDs!Z185</f>
        <v>20</v>
      </c>
      <c r="O11" s="3607"/>
      <c r="P11" s="3562"/>
      <c r="Q11" s="3562"/>
      <c r="R11" s="1206"/>
      <c r="S11" s="1406"/>
      <c r="T11" s="1407"/>
      <c r="U11" s="1432"/>
      <c r="V11" s="3616" t="s">
        <v>1647</v>
      </c>
      <c r="W11" s="3617"/>
      <c r="X11" s="3618"/>
      <c r="Y11" s="3392" t="s">
        <v>2263</v>
      </c>
      <c r="Z11" s="3392"/>
      <c r="AA11" s="3392"/>
      <c r="AB11" s="3393"/>
      <c r="AC11" s="49"/>
      <c r="AD11" s="3403" t="s">
        <v>10228</v>
      </c>
      <c r="AE11" s="3404"/>
      <c r="AF11" s="3404"/>
      <c r="AG11" s="3404" t="s">
        <v>8123</v>
      </c>
      <c r="AH11" s="3405"/>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32"/>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23"/>
      <c r="K12" s="3603" t="str">
        <f>IF(Tablas!$S$1413=0,INDEX(Tabla_Regen,MATCH(J11,INDEX(Tabla_Regen,,2),0),5),Tablas!$S$1413&amp;" PV al día")</f>
        <v>Ninguna</v>
      </c>
      <c r="L12" s="3604"/>
      <c r="M12" s="57"/>
      <c r="N12" s="3607"/>
      <c r="O12" s="3607"/>
      <c r="P12" s="3562"/>
      <c r="Q12" s="3562"/>
      <c r="R12" s="1206"/>
      <c r="S12" s="1406"/>
      <c r="T12" s="1407"/>
      <c r="U12" s="1432"/>
      <c r="V12" s="3616"/>
      <c r="W12" s="3617"/>
      <c r="X12" s="3618"/>
      <c r="Y12" s="3392"/>
      <c r="Z12" s="3392"/>
      <c r="AA12" s="3392"/>
      <c r="AB12" s="3393"/>
      <c r="AC12" s="49"/>
      <c r="AD12" s="3406"/>
      <c r="AE12" s="3407"/>
      <c r="AF12" s="3407"/>
      <c r="AG12" s="3408"/>
      <c r="AH12" s="3409"/>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32"/>
      <c r="D13" s="2174" t="s">
        <v>1651</v>
      </c>
      <c r="E13" s="2170"/>
      <c r="F13" s="2438"/>
      <c r="G13" s="51">
        <f>MIN(20,MAX(0,AS13+F13))</f>
        <v>0</v>
      </c>
      <c r="H13" s="1091">
        <f>IF(G13&lt;1,0,VLOOKUP(G13,Tablas!$C$14:$D$33,2))</f>
        <v>0</v>
      </c>
      <c r="I13" s="353"/>
      <c r="J13" s="3608" t="s">
        <v>1652</v>
      </c>
      <c r="K13" s="3215"/>
      <c r="L13" s="2195"/>
      <c r="M13" s="57"/>
      <c r="N13" s="3607"/>
      <c r="O13" s="3607"/>
      <c r="P13" s="3562"/>
      <c r="Q13" s="3562"/>
      <c r="R13" s="1206"/>
      <c r="S13" s="1406"/>
      <c r="T13" s="1407"/>
      <c r="U13" s="1432"/>
      <c r="V13" s="3609" t="s">
        <v>1653</v>
      </c>
      <c r="W13" s="3610"/>
      <c r="X13" s="3610"/>
      <c r="Y13" s="2179" t="s">
        <v>1654</v>
      </c>
      <c r="Z13" s="2180"/>
      <c r="AA13" s="2181" t="s">
        <v>1655</v>
      </c>
      <c r="AB13" s="2214">
        <v>10</v>
      </c>
      <c r="AC13" s="49"/>
      <c r="AD13" s="3410"/>
      <c r="AE13" s="3411"/>
      <c r="AF13" s="3411"/>
      <c r="AG13" s="3412"/>
      <c r="AH13" s="3413"/>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32"/>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611" t="s">
        <v>1657</v>
      </c>
      <c r="W14" s="3612"/>
      <c r="X14" s="3612"/>
      <c r="Y14" s="2182" t="s">
        <v>1654</v>
      </c>
      <c r="Z14" s="2215"/>
      <c r="AA14" s="2216" t="s">
        <v>1658</v>
      </c>
      <c r="AB14" s="2217">
        <f>IF(TipoDeCriatura="Natural",MAX(Principal!AB13-HLOOKUP("Natura",Bonos_Raza_Base,2,FALSE),0),"-")</f>
        <v>10</v>
      </c>
      <c r="AC14" s="49"/>
      <c r="AD14" s="3410"/>
      <c r="AE14" s="3411"/>
      <c r="AF14" s="3411"/>
      <c r="AG14" s="3412"/>
      <c r="AH14" s="3413"/>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32"/>
      <c r="D15" s="2174" t="s">
        <v>1659</v>
      </c>
      <c r="E15" s="2170"/>
      <c r="F15" s="2438"/>
      <c r="G15" s="51">
        <f t="shared" si="6"/>
        <v>0</v>
      </c>
      <c r="H15" s="1091">
        <f>IF(G15&lt;1,0,VLOOKUP(G15,Tablas!$C$14:$D$33,2))</f>
        <v>0</v>
      </c>
      <c r="I15" s="102"/>
      <c r="J15" s="3613" t="s">
        <v>1660</v>
      </c>
      <c r="K15" s="3614"/>
      <c r="L15" s="3615"/>
      <c r="M15" s="57"/>
      <c r="N15" s="3391" t="s">
        <v>1661</v>
      </c>
      <c r="O15" s="3391"/>
      <c r="P15" s="3391"/>
      <c r="Q15" s="3391"/>
      <c r="R15" s="1206"/>
      <c r="S15" s="1406"/>
      <c r="T15" s="1407"/>
      <c r="U15" s="1432"/>
      <c r="V15" s="3394" t="str">
        <f>IF(TipoDeCriatura="Natural",IF(AB14=0,"Sin tirada abierta",IF(AB14&gt;14,"Tirada abierta adicional","")),"")&amp;IF(TipoDeCriatura="Natural",IF(AB14&gt;19,", Núcleo trascendental",""),"")</f>
        <v/>
      </c>
      <c r="W15" s="3395"/>
      <c r="X15" s="3395"/>
      <c r="Y15" s="3395"/>
      <c r="Z15" s="3395"/>
      <c r="AA15" s="3395"/>
      <c r="AB15" s="3396"/>
      <c r="AC15" s="17"/>
      <c r="AD15" s="3410"/>
      <c r="AE15" s="3411"/>
      <c r="AF15" s="3411"/>
      <c r="AG15" s="3412"/>
      <c r="AH15" s="3413"/>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32"/>
      <c r="D16" s="2174" t="s">
        <v>1662</v>
      </c>
      <c r="E16" s="2170"/>
      <c r="F16" s="2438"/>
      <c r="G16" s="51">
        <f t="shared" si="6"/>
        <v>0</v>
      </c>
      <c r="H16" s="1091">
        <f>IF(G16&lt;1,0,VLOOKUP(G16,Tablas!$C$14:$D$33,2))</f>
        <v>0</v>
      </c>
      <c r="I16" s="102"/>
      <c r="J16" s="3623">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648">
        <f>IF(OR(Tablas!H1270&gt;0,Tablas!H1277&gt;0,Y11="Ánima",Y11="Ánima, Elemental",Y11="No muerto, Espectro",Tablas!J1848=1),0,AS22)+O18</f>
        <v>0</v>
      </c>
      <c r="O16" s="3648"/>
      <c r="P16" s="3562"/>
      <c r="Q16" s="3562"/>
      <c r="R16" s="1206"/>
      <c r="S16" s="1406"/>
      <c r="T16" s="1407"/>
      <c r="U16" s="1432"/>
      <c r="V16" s="356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8"/>
      <c r="X16" s="3568"/>
      <c r="Y16" s="3568"/>
      <c r="Z16" s="3568"/>
      <c r="AA16" s="3568"/>
      <c r="AB16" s="3569"/>
      <c r="AC16" s="49"/>
      <c r="AD16" s="3410"/>
      <c r="AE16" s="3411"/>
      <c r="AF16" s="3411"/>
      <c r="AG16" s="3412"/>
      <c r="AH16" s="3413"/>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32"/>
      <c r="D17" s="2174" t="s">
        <v>1664</v>
      </c>
      <c r="E17" s="2170"/>
      <c r="F17" s="2438"/>
      <c r="G17" s="51">
        <f t="shared" si="6"/>
        <v>0</v>
      </c>
      <c r="H17" s="1091">
        <f>IF(G17&lt;1,0,VLOOKUP(G17,Tablas!$C$14:$D$33,2))</f>
        <v>0</v>
      </c>
      <c r="I17" s="102"/>
      <c r="J17" s="3623"/>
      <c r="K17" s="3636" t="str">
        <f>IF(J16&lt;1,"",VLOOKUP(J16,Tabla_TipoMovimiento,2))</f>
        <v>&lt; 1 m / asalto</v>
      </c>
      <c r="L17" s="3637"/>
      <c r="M17" s="62"/>
      <c r="N17" s="3648"/>
      <c r="O17" s="3648"/>
      <c r="P17" s="3562"/>
      <c r="Q17" s="3562"/>
      <c r="R17" s="1206"/>
      <c r="S17" s="1406"/>
      <c r="T17" s="1407"/>
      <c r="U17" s="1432"/>
      <c r="V17" s="3567"/>
      <c r="W17" s="3568"/>
      <c r="X17" s="3568"/>
      <c r="Y17" s="3568"/>
      <c r="Z17" s="3568"/>
      <c r="AA17" s="3568"/>
      <c r="AB17" s="3569"/>
      <c r="AC17" s="49"/>
      <c r="AD17" s="3410"/>
      <c r="AE17" s="3411"/>
      <c r="AF17" s="3411"/>
      <c r="AG17" s="3412"/>
      <c r="AH17" s="3413"/>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33"/>
      <c r="D18" s="2191" t="s">
        <v>1665</v>
      </c>
      <c r="E18" s="2192"/>
      <c r="F18" s="2439"/>
      <c r="G18" s="2194">
        <f t="shared" si="6"/>
        <v>0</v>
      </c>
      <c r="H18" s="1092">
        <f>IF(G18&lt;1,0,VLOOKUP(G18,Tablas!$C$14:$D$33,2))</f>
        <v>0</v>
      </c>
      <c r="I18" s="57"/>
      <c r="J18" s="2089" t="s">
        <v>9354</v>
      </c>
      <c r="K18" s="2040" t="s">
        <v>1652</v>
      </c>
      <c r="L18" s="2195"/>
      <c r="M18" s="102"/>
      <c r="N18" s="2057" t="s">
        <v>1652</v>
      </c>
      <c r="O18" s="2431"/>
      <c r="P18" s="3562"/>
      <c r="Q18" s="3562"/>
      <c r="R18" s="1206"/>
      <c r="S18" s="1406"/>
      <c r="T18" s="1407"/>
      <c r="U18" s="1432"/>
      <c r="V18" s="3570"/>
      <c r="W18" s="3571"/>
      <c r="X18" s="3571"/>
      <c r="Y18" s="3571"/>
      <c r="Z18" s="3571"/>
      <c r="AA18" s="3571"/>
      <c r="AB18" s="3572"/>
      <c r="AC18" s="49"/>
      <c r="AD18" s="3410"/>
      <c r="AE18" s="3411"/>
      <c r="AF18" s="3411"/>
      <c r="AG18" s="3412"/>
      <c r="AH18" s="3413"/>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22"/>
      <c r="D19" s="3622"/>
      <c r="E19" s="3622"/>
      <c r="F19" s="3622"/>
      <c r="G19" s="3622"/>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10"/>
      <c r="AE19" s="3411"/>
      <c r="AF19" s="3411"/>
      <c r="AG19" s="3412"/>
      <c r="AH19" s="3413"/>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14" t="s">
        <v>9239</v>
      </c>
      <c r="D20" s="3116"/>
      <c r="E20" s="3642" t="str">
        <f>INDEX(Tabla_Regen,MATCH(Regeneración_final,INDEX(Tabla_Regen,,2),0),6)</f>
        <v/>
      </c>
      <c r="F20" s="3643"/>
      <c r="G20" s="3643"/>
      <c r="H20" s="3643"/>
      <c r="I20" s="3643"/>
      <c r="J20" s="3644"/>
      <c r="K20" s="815"/>
      <c r="L20" s="3188" t="s">
        <v>1668</v>
      </c>
      <c r="M20" s="3189"/>
      <c r="N20" s="3189"/>
      <c r="O20" s="3189"/>
      <c r="P20" s="3189"/>
      <c r="Q20" s="3563"/>
      <c r="R20" s="823"/>
      <c r="S20" s="1406"/>
      <c r="T20" s="1407"/>
      <c r="U20" s="1432"/>
      <c r="V20" s="3188" t="s">
        <v>1669</v>
      </c>
      <c r="W20" s="3189"/>
      <c r="X20" s="3189"/>
      <c r="Y20" s="3189"/>
      <c r="Z20" s="3189"/>
      <c r="AA20" s="3189"/>
      <c r="AB20" s="3563"/>
      <c r="AC20" s="49"/>
      <c r="AD20" s="3410"/>
      <c r="AE20" s="3411"/>
      <c r="AF20" s="3411"/>
      <c r="AG20" s="3412"/>
      <c r="AH20" s="3413"/>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17"/>
      <c r="D21" s="3119"/>
      <c r="E21" s="3645"/>
      <c r="F21" s="3646"/>
      <c r="G21" s="3646"/>
      <c r="H21" s="3646"/>
      <c r="I21" s="3646"/>
      <c r="J21" s="3647"/>
      <c r="K21" s="815"/>
      <c r="L21" s="1306" t="s">
        <v>1672</v>
      </c>
      <c r="M21" s="3630" t="s">
        <v>1648</v>
      </c>
      <c r="N21" s="3630"/>
      <c r="O21" s="3564" t="s">
        <v>1673</v>
      </c>
      <c r="P21" s="3564"/>
      <c r="Q21" s="674" t="s">
        <v>1622</v>
      </c>
      <c r="R21" s="823"/>
      <c r="S21" s="1406"/>
      <c r="T21" s="1407"/>
      <c r="U21" s="1432"/>
      <c r="V21" s="3195" t="s">
        <v>1674</v>
      </c>
      <c r="W21" s="3565"/>
      <c r="X21" s="3565"/>
      <c r="Y21" s="3566" t="s">
        <v>1675</v>
      </c>
      <c r="Z21" s="3566"/>
      <c r="AA21" s="56" t="s">
        <v>1676</v>
      </c>
      <c r="AB21" s="873" t="s">
        <v>1650</v>
      </c>
      <c r="AC21" s="49"/>
      <c r="AD21" s="3410"/>
      <c r="AE21" s="3411"/>
      <c r="AF21" s="3411"/>
      <c r="AG21" s="3412"/>
      <c r="AH21" s="3413"/>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55" t="s">
        <v>1677</v>
      </c>
      <c r="M22" s="3359" t="s">
        <v>1678</v>
      </c>
      <c r="N22" s="3359"/>
      <c r="O22" s="3361">
        <f>PenNatural</f>
        <v>0</v>
      </c>
      <c r="P22" s="3361"/>
      <c r="Q22" s="675">
        <f>IF(Acrobacias_final="-","-",Acrobacias_final+O22)</f>
        <v>-30</v>
      </c>
      <c r="R22" s="823"/>
      <c r="S22" s="1406"/>
      <c r="T22" s="1407"/>
      <c r="U22" s="1432"/>
      <c r="V22" s="3577" t="s">
        <v>9510</v>
      </c>
      <c r="W22" s="3578"/>
      <c r="X22" s="3579"/>
      <c r="Y22" s="3587" t="str">
        <f>IF(AA22=0,"",Raza)</f>
        <v/>
      </c>
      <c r="Z22" s="3588"/>
      <c r="AA22" s="2042">
        <f>IF(Personalización!$L$6="Sin ajuste por Raza",0,IF(Raza=0,0,VLOOKUP(Raza,Tabla_Razas,7,FALSE)))</f>
        <v>0</v>
      </c>
      <c r="AB22" s="874">
        <v>0</v>
      </c>
      <c r="AC22" s="49"/>
      <c r="AD22" s="3410"/>
      <c r="AE22" s="3411"/>
      <c r="AF22" s="3411"/>
      <c r="AG22" s="3412"/>
      <c r="AH22" s="3413"/>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88" t="s">
        <v>1666</v>
      </c>
      <c r="D23" s="3563"/>
      <c r="E23" s="49"/>
      <c r="F23" s="3188" t="s">
        <v>1667</v>
      </c>
      <c r="G23" s="3189"/>
      <c r="H23" s="3189"/>
      <c r="I23" s="3189"/>
      <c r="J23" s="3563"/>
      <c r="K23" s="815"/>
      <c r="L23" s="3356"/>
      <c r="M23" s="3362" t="s">
        <v>1679</v>
      </c>
      <c r="N23" s="3362"/>
      <c r="O23" s="3360">
        <f>PenNatural</f>
        <v>0</v>
      </c>
      <c r="P23" s="3360"/>
      <c r="Q23" s="676">
        <f>IF(Atletismo_final="-","-",Atletismo_final+O23)</f>
        <v>-30</v>
      </c>
      <c r="R23" s="823"/>
      <c r="S23" s="1406"/>
      <c r="T23" s="1407"/>
      <c r="U23" s="1432"/>
      <c r="V23" s="3577" t="s">
        <v>1680</v>
      </c>
      <c r="W23" s="3578"/>
      <c r="X23" s="3579"/>
      <c r="Y23" s="3585"/>
      <c r="Z23" s="3586"/>
      <c r="AA23" s="2042">
        <v>0</v>
      </c>
      <c r="AB23" s="874">
        <f>IF(Y23="PDs",VLOOKUP(Principal!$AB$13,Tablas!W27:X37,2),0)</f>
        <v>0</v>
      </c>
      <c r="AC23" s="49"/>
      <c r="AD23" s="3573"/>
      <c r="AE23" s="3574"/>
      <c r="AF23" s="3574"/>
      <c r="AG23" s="3575"/>
      <c r="AH23" s="3576"/>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24" t="s">
        <v>1670</v>
      </c>
      <c r="G24" s="3625"/>
      <c r="H24" s="3626">
        <f>MAX(HA_final,HA_SinArmas_final)</f>
        <v>0</v>
      </c>
      <c r="I24" s="3634" t="s">
        <v>1671</v>
      </c>
      <c r="J24" s="3635"/>
      <c r="K24" s="815"/>
      <c r="L24" s="3356"/>
      <c r="M24" s="3362" t="s">
        <v>1682</v>
      </c>
      <c r="N24" s="3362"/>
      <c r="O24" s="3360"/>
      <c r="P24" s="3360"/>
      <c r="Q24" s="676">
        <f>IF(Montar_final="-","-",Montar_final+O24)</f>
        <v>-30</v>
      </c>
      <c r="R24" s="823"/>
      <c r="S24" s="1406"/>
      <c r="T24" s="1407"/>
      <c r="U24" s="1431"/>
      <c r="V24" s="3577" t="s">
        <v>1683</v>
      </c>
      <c r="W24" s="3578"/>
      <c r="X24" s="3579"/>
      <c r="Y24" s="3585"/>
      <c r="Z24" s="3586"/>
      <c r="AA24" s="2042">
        <f>IF(Personalización!$L$7="Sin ajuste por Legados",0,IF(Principal!Y24="No",0,IF(SUM(Tablas!P236:P261)&gt;0,1,0)))</f>
        <v>1</v>
      </c>
      <c r="AB24" s="1979">
        <f>40*Tablas!P248+80*Tablas!P249+120*Tablas!P250</f>
        <v>0</v>
      </c>
      <c r="AC24" s="57"/>
      <c r="AD24" s="358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90"/>
      <c r="AF24" s="3590"/>
      <c r="AG24" s="3590"/>
      <c r="AH24" s="3590"/>
      <c r="AI24" s="3590"/>
      <c r="AJ24" s="3591"/>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624"/>
      <c r="G25" s="3625"/>
      <c r="H25" s="3626"/>
      <c r="I25" s="3638">
        <f>Combate!AD15+Combate!AF15</f>
        <v>0</v>
      </c>
      <c r="J25" s="3639"/>
      <c r="K25" s="815"/>
      <c r="L25" s="3356"/>
      <c r="M25" s="3362" t="s">
        <v>1686</v>
      </c>
      <c r="N25" s="3362"/>
      <c r="O25" s="3360">
        <f>PenNatural-MIN(MAX(LlevarArmadura_final-Combate!H16,0)+Combate!H17,0)+Combate!H17</f>
        <v>0</v>
      </c>
      <c r="P25" s="3360"/>
      <c r="Q25" s="676">
        <f>IF(Nadar_final="-","-",Nadar_final+O25)</f>
        <v>-30</v>
      </c>
      <c r="R25" s="823"/>
      <c r="S25" s="1406"/>
      <c r="T25" s="1407"/>
      <c r="U25" s="1431"/>
      <c r="V25" s="3595" t="s">
        <v>1687</v>
      </c>
      <c r="W25" s="3596"/>
      <c r="X25" s="3597"/>
      <c r="Y25" s="3585"/>
      <c r="Z25" s="3586"/>
      <c r="AA25" s="2042">
        <f>IF(Personalización!$O$6="Sin ajuste por Artefactos",0,IF(Y25="Si",1,0))</f>
        <v>0</v>
      </c>
      <c r="AB25" s="1013">
        <v>0</v>
      </c>
      <c r="AC25" s="57"/>
      <c r="AD25" s="3592"/>
      <c r="AE25" s="3593"/>
      <c r="AF25" s="3593"/>
      <c r="AG25" s="3593"/>
      <c r="AH25" s="3593"/>
      <c r="AI25" s="3593"/>
      <c r="AJ25" s="3594"/>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627" t="str">
        <f>IF(HP_final&gt;HE_final,"H. Parada:","H. Esquiva:")</f>
        <v>H. Esquiva:</v>
      </c>
      <c r="G26" s="3628"/>
      <c r="H26" s="3629">
        <f>MAX(HP_final,HE_final,HD_SinArmas_final)</f>
        <v>0</v>
      </c>
      <c r="I26" s="3638"/>
      <c r="J26" s="3639"/>
      <c r="K26" s="815"/>
      <c r="L26" s="3356"/>
      <c r="M26" s="3362" t="s">
        <v>1689</v>
      </c>
      <c r="N26" s="3362"/>
      <c r="O26" s="3360">
        <f>PenNatural</f>
        <v>0</v>
      </c>
      <c r="P26" s="3360"/>
      <c r="Q26" s="676">
        <f>IF(Trepar_final="-","-",Trepar_final+O26)</f>
        <v>-30</v>
      </c>
      <c r="R26" s="823"/>
      <c r="S26" s="1406"/>
      <c r="T26" s="1407"/>
      <c r="U26" s="1431"/>
      <c r="V26" s="3580" t="s">
        <v>1690</v>
      </c>
      <c r="W26" s="3581"/>
      <c r="X26" s="3582"/>
      <c r="Y26" s="3583"/>
      <c r="Z26" s="3584"/>
      <c r="AA26" s="2222">
        <f>IF(Personalización!$O$7="Sin ajuste por PDs",0,ROUNDUP((AB27-AB22-AB23-AB24-AB25)/100,0))</f>
        <v>0</v>
      </c>
      <c r="AB26" s="2223"/>
      <c r="AC26" s="49"/>
      <c r="AD26" s="3592"/>
      <c r="AE26" s="3593"/>
      <c r="AF26" s="3593"/>
      <c r="AG26" s="3593"/>
      <c r="AH26" s="3593"/>
      <c r="AI26" s="3593"/>
      <c r="AJ26" s="3594"/>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627"/>
      <c r="G27" s="3628"/>
      <c r="H27" s="3629"/>
      <c r="I27" s="3638"/>
      <c r="J27" s="3639"/>
      <c r="K27" s="815"/>
      <c r="L27" s="3356"/>
      <c r="M27" s="3362" t="s">
        <v>1692</v>
      </c>
      <c r="N27" s="3362"/>
      <c r="O27" s="3360">
        <f>PenNatural</f>
        <v>0</v>
      </c>
      <c r="P27" s="3360"/>
      <c r="Q27" s="676">
        <f>IF(Saltar_final="-","-",Saltar_final+O27)</f>
        <v>-30</v>
      </c>
      <c r="R27" s="823"/>
      <c r="S27" s="1406"/>
      <c r="T27" s="1407"/>
      <c r="U27" s="1431"/>
      <c r="V27" s="3600" t="str">
        <f>IF(COUNTA(Personalización!$L$6:$Q$7)&gt;0,"Sin ajuste(s)","")</f>
        <v/>
      </c>
      <c r="W27" s="3601"/>
      <c r="X27" s="3601"/>
      <c r="Y27" s="3598" t="s">
        <v>1693</v>
      </c>
      <c r="Z27" s="3599"/>
      <c r="AA27" s="2041">
        <f>SUM(AA22:AA26)</f>
        <v>1</v>
      </c>
      <c r="AB27" s="2224">
        <f>SUM(AB22:AB26)+50*Tablas!G345+100*Tablas!G346+150*Tablas!G347+Tablas!K1841</f>
        <v>0</v>
      </c>
      <c r="AC27" s="49"/>
      <c r="AD27" s="1367"/>
      <c r="AE27" s="3602" t="s">
        <v>1694</v>
      </c>
      <c r="AF27" s="3602"/>
      <c r="AG27" s="3602"/>
      <c r="AH27" s="3602"/>
      <c r="AI27" s="3602"/>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44" t="s">
        <v>1685</v>
      </c>
      <c r="G28" s="3545"/>
      <c r="H28" s="3548">
        <f>LlevarArmadura_final</f>
        <v>0</v>
      </c>
      <c r="I28" s="3638"/>
      <c r="J28" s="3639"/>
      <c r="K28" s="817"/>
      <c r="L28" s="3357"/>
      <c r="M28" s="3358" t="s">
        <v>6948</v>
      </c>
      <c r="N28" s="3358"/>
      <c r="O28" s="3354"/>
      <c r="P28" s="3354"/>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546"/>
      <c r="G29" s="3547"/>
      <c r="H29" s="3549"/>
      <c r="I29" s="3640"/>
      <c r="J29" s="3641"/>
      <c r="K29" s="815"/>
      <c r="L29" s="3356" t="s">
        <v>1695</v>
      </c>
      <c r="M29" s="3362" t="s">
        <v>1696</v>
      </c>
      <c r="N29" s="3362"/>
      <c r="O29" s="3360"/>
      <c r="P29" s="3360"/>
      <c r="Q29" s="676">
        <f>IF(Estilo_final="-","-",Estilo_final+O29)</f>
        <v>-30</v>
      </c>
      <c r="R29" s="823"/>
      <c r="S29" s="1406"/>
      <c r="T29" s="1407"/>
      <c r="U29" s="1431"/>
      <c r="V29" s="3391" t="s">
        <v>1699</v>
      </c>
      <c r="W29" s="3391"/>
      <c r="X29" s="3391"/>
      <c r="Y29" s="3391"/>
      <c r="Z29" s="3391"/>
      <c r="AA29" s="3391"/>
      <c r="AB29" s="3391"/>
      <c r="AC29" s="3391"/>
      <c r="AD29" s="3391"/>
      <c r="AE29" s="3391"/>
      <c r="AF29" s="3390" t="s">
        <v>1700</v>
      </c>
      <c r="AG29" s="3390"/>
      <c r="AH29" s="3390"/>
      <c r="AI29" s="3390"/>
      <c r="AJ29" s="3390"/>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49" t="str">
        <f>IF(Tablas!G519&gt;0,"Arma exclusiva:","Arma desarrollada:")</f>
        <v>Arma desarrollada:</v>
      </c>
      <c r="G30" s="3650"/>
      <c r="H30" s="3651"/>
      <c r="I30" s="3652"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53"/>
      <c r="K30" s="815"/>
      <c r="L30" s="3356"/>
      <c r="M30" s="3362" t="s">
        <v>1698</v>
      </c>
      <c r="N30" s="3362"/>
      <c r="O30" s="3360"/>
      <c r="P30" s="3360"/>
      <c r="Q30" s="676">
        <f>IF(Intimidar_final="-","-",Intimidar_final+O30)</f>
        <v>-30</v>
      </c>
      <c r="R30" s="823"/>
      <c r="S30" s="1406"/>
      <c r="T30" s="1407"/>
      <c r="U30" s="1431"/>
      <c r="V30" s="3375" t="str">
        <f>IF(Raza="","",VLOOKUP(Raza,Tabla_Razas,20,FALSE))</f>
        <v/>
      </c>
      <c r="W30" s="3376"/>
      <c r="X30" s="3376"/>
      <c r="Y30" s="3376"/>
      <c r="Z30" s="3376"/>
      <c r="AA30" s="3376"/>
      <c r="AB30" s="3376"/>
      <c r="AC30" s="3376"/>
      <c r="AD30" s="3376"/>
      <c r="AE30" s="3377"/>
      <c r="AF30" s="3537" t="str">
        <f>Tablas!R262</f>
        <v>Afinidad Elemental (Fuego), Empatía Elemental (Fuego)</v>
      </c>
      <c r="AG30" s="3376"/>
      <c r="AH30" s="3376"/>
      <c r="AI30" s="3376"/>
      <c r="AJ30" s="3538"/>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57" t="s">
        <v>1622</v>
      </c>
      <c r="D31" s="3530">
        <f>SUM(D24:D30)+25*Tablas!G308+45*Tablas!G309+60*Tablas!G310-30*Tablas!G520-50*Tablas!G521+IF(Ki!P40="-",10,0)+IF(Mod_ATA&lt;0,TRUNC(Mod_ATA/2,0),0)+IF(Raza="Nephilim Turak",-10)+IF(Raza="Turak",-20)+'Tablas psiquica'!$AH$58</f>
        <v>40</v>
      </c>
      <c r="F31" s="3532" t="s">
        <v>2421</v>
      </c>
      <c r="G31" s="3533"/>
      <c r="H31" s="3534"/>
      <c r="I31" s="3652"/>
      <c r="J31" s="3653"/>
      <c r="K31" s="815"/>
      <c r="L31" s="3356"/>
      <c r="M31" s="3362" t="s">
        <v>1701</v>
      </c>
      <c r="N31" s="3362"/>
      <c r="O31" s="3360"/>
      <c r="P31" s="3360"/>
      <c r="Q31" s="676">
        <f>IF(Liderazgo_final="-","-",Liderazgo_final+O31)</f>
        <v>-30</v>
      </c>
      <c r="R31" s="823"/>
      <c r="S31" s="1406"/>
      <c r="T31" s="1407"/>
      <c r="U31" s="1431"/>
      <c r="V31" s="3378"/>
      <c r="W31" s="3379"/>
      <c r="X31" s="3379"/>
      <c r="Y31" s="3379"/>
      <c r="Z31" s="3379"/>
      <c r="AA31" s="3379"/>
      <c r="AB31" s="3379"/>
      <c r="AC31" s="3379"/>
      <c r="AD31" s="3379"/>
      <c r="AE31" s="3380"/>
      <c r="AF31" s="3539"/>
      <c r="AG31" s="3379"/>
      <c r="AH31" s="3379"/>
      <c r="AI31" s="3379"/>
      <c r="AJ31" s="3540"/>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58"/>
      <c r="D32" s="3531"/>
      <c r="F32" s="3535" t="s">
        <v>1697</v>
      </c>
      <c r="G32" s="3536"/>
      <c r="H32" s="3536"/>
      <c r="I32" s="3536"/>
      <c r="J32" s="1785">
        <f>VLOOKUP(G13+G11,Tabla_NumAcciones,2)</f>
        <v>1</v>
      </c>
      <c r="K32" s="815"/>
      <c r="L32" s="3356"/>
      <c r="M32" s="3362" t="s">
        <v>1703</v>
      </c>
      <c r="N32" s="3362"/>
      <c r="O32" s="3360"/>
      <c r="P32" s="3360"/>
      <c r="Q32" s="676">
        <f>IF(Persuasión_final="-","-",Persuasión_final+O32)</f>
        <v>-30</v>
      </c>
      <c r="R32" s="823"/>
      <c r="S32" s="1406"/>
      <c r="T32" s="1407"/>
      <c r="U32" s="1431"/>
      <c r="V32" s="3378"/>
      <c r="W32" s="3379"/>
      <c r="X32" s="3379"/>
      <c r="Y32" s="3379"/>
      <c r="Z32" s="3379"/>
      <c r="AA32" s="3379"/>
      <c r="AB32" s="3379"/>
      <c r="AC32" s="3379"/>
      <c r="AD32" s="3379"/>
      <c r="AE32" s="3380"/>
      <c r="AF32" s="3539"/>
      <c r="AG32" s="3379"/>
      <c r="AH32" s="3379"/>
      <c r="AI32" s="3379"/>
      <c r="AJ32" s="3540"/>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56"/>
      <c r="M33" s="3362" t="s">
        <v>1083</v>
      </c>
      <c r="N33" s="3362"/>
      <c r="O33" s="3360"/>
      <c r="P33" s="3360"/>
      <c r="Q33" s="676">
        <f>IF(Comercio_final="-","-",Comercio_final+O33)</f>
        <v>-30</v>
      </c>
      <c r="R33" s="823"/>
      <c r="S33" s="1406"/>
      <c r="T33" s="1407"/>
      <c r="U33" s="1431"/>
      <c r="V33" s="3378"/>
      <c r="W33" s="3379"/>
      <c r="X33" s="3379"/>
      <c r="Y33" s="3379"/>
      <c r="Z33" s="3379"/>
      <c r="AA33" s="3379"/>
      <c r="AB33" s="3379"/>
      <c r="AC33" s="3379"/>
      <c r="AD33" s="3379"/>
      <c r="AE33" s="3380"/>
      <c r="AF33" s="3539"/>
      <c r="AG33" s="3379"/>
      <c r="AH33" s="3379"/>
      <c r="AI33" s="3379"/>
      <c r="AJ33" s="3540"/>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55" t="s">
        <v>1702</v>
      </c>
      <c r="D34" s="3656"/>
      <c r="E34" s="3656"/>
      <c r="F34" s="3656"/>
      <c r="G34" s="3115"/>
      <c r="H34" s="3115"/>
      <c r="I34" s="3116"/>
      <c r="J34" s="2125">
        <f>IF(Raza="Criatura",0,3)+TRUNC((PDs!S5+PDs!S7+PDs!S9+PDs!S11+PDs!S13)/2,0)-Tablas!C234+IF(Y23="PDs",0,IF($AB$13=0,0,VLOOKUP($AB$13,Tabla_Gnosis,3,FALSE)))</f>
        <v>2</v>
      </c>
      <c r="K34" s="900"/>
      <c r="L34" s="3356"/>
      <c r="M34" s="3362" t="s">
        <v>1084</v>
      </c>
      <c r="N34" s="3362"/>
      <c r="O34" s="3561"/>
      <c r="P34" s="3561"/>
      <c r="Q34" s="676">
        <f>IF(Callejeo_final="-","-",Callejeo_final+O34)</f>
        <v>-30</v>
      </c>
      <c r="R34" s="823"/>
      <c r="S34" s="1406"/>
      <c r="T34" s="1407"/>
      <c r="U34" s="1431"/>
      <c r="V34" s="3378"/>
      <c r="W34" s="3379"/>
      <c r="X34" s="3379"/>
      <c r="Y34" s="3379"/>
      <c r="Z34" s="3379"/>
      <c r="AA34" s="3379"/>
      <c r="AB34" s="3379"/>
      <c r="AC34" s="3379"/>
      <c r="AD34" s="3379"/>
      <c r="AE34" s="3380"/>
      <c r="AF34" s="3541"/>
      <c r="AG34" s="3542"/>
      <c r="AH34" s="3542"/>
      <c r="AI34" s="3542"/>
      <c r="AJ34" s="3543"/>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54"/>
      <c r="D35" s="3349"/>
      <c r="E35" s="3349"/>
      <c r="F35" s="3350"/>
      <c r="G35" s="3558"/>
      <c r="H35" s="3559"/>
      <c r="I35" s="3559"/>
      <c r="J35" s="3560"/>
      <c r="K35" s="900"/>
      <c r="L35" s="3356"/>
      <c r="M35" s="3362" t="s">
        <v>1085</v>
      </c>
      <c r="N35" s="3362"/>
      <c r="O35" s="3561"/>
      <c r="P35" s="3561"/>
      <c r="Q35" s="676">
        <f>IF(Etiqueta_final="-","-",Etiqueta_final+O35)</f>
        <v>-30</v>
      </c>
      <c r="R35" s="823"/>
      <c r="S35" s="1406"/>
      <c r="T35" s="1407"/>
      <c r="U35" s="1431"/>
      <c r="V35" s="3381"/>
      <c r="W35" s="3382"/>
      <c r="X35" s="3382"/>
      <c r="Y35" s="3382"/>
      <c r="Z35" s="3382"/>
      <c r="AA35" s="3382"/>
      <c r="AB35" s="3382"/>
      <c r="AC35" s="3382"/>
      <c r="AD35" s="3382"/>
      <c r="AE35" s="3383"/>
      <c r="AF35" s="3389" t="str">
        <f>IF(ISNUMBER(SEARCH("Afinidad Elemental",AF30)),"+10 Daño base ataques elemento afín","")</f>
        <v>+10 Daño base ataques elemento afín</v>
      </c>
      <c r="AG35" s="3389"/>
      <c r="AH35" s="3389"/>
      <c r="AI35" s="3389"/>
      <c r="AJ35" s="3389"/>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23"/>
      <c r="D36" s="3373"/>
      <c r="E36" s="3373"/>
      <c r="F36" s="3374"/>
      <c r="G36" s="3433"/>
      <c r="H36" s="3434"/>
      <c r="I36" s="3434"/>
      <c r="J36" s="3435"/>
      <c r="K36" s="900"/>
      <c r="L36" s="3355" t="s">
        <v>1704</v>
      </c>
      <c r="M36" s="3359" t="s">
        <v>1705</v>
      </c>
      <c r="N36" s="3359"/>
      <c r="O36" s="3361">
        <f>IF(Combate!$C$15=0,0,VLOOKUP(Combate!$C$15,Tabla_Yelmos,3,FALSE))</f>
        <v>0</v>
      </c>
      <c r="P36" s="3361"/>
      <c r="Q36" s="675">
        <f>IF(Advertir_final="-","-",Advertir_final+O36)</f>
        <v>-30</v>
      </c>
      <c r="R36" s="823"/>
      <c r="S36" s="1406"/>
      <c r="T36" s="1407"/>
      <c r="U36" s="1431"/>
      <c r="V36" s="3234" t="s">
        <v>7854</v>
      </c>
      <c r="W36" s="3235"/>
      <c r="X36" s="3235"/>
      <c r="Y36" s="3235"/>
      <c r="Z36" s="3235"/>
      <c r="AA36" s="3235"/>
      <c r="AB36" s="3235"/>
      <c r="AC36" s="3235"/>
      <c r="AD36" s="3235"/>
      <c r="AE36" s="3235"/>
      <c r="AF36" s="3235"/>
      <c r="AG36" s="3235"/>
      <c r="AH36" s="3235"/>
      <c r="AI36" s="3235"/>
      <c r="AJ36" s="3236"/>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23"/>
      <c r="D37" s="3373"/>
      <c r="E37" s="3373"/>
      <c r="F37" s="3374"/>
      <c r="G37" s="3433"/>
      <c r="H37" s="3434"/>
      <c r="I37" s="3434"/>
      <c r="J37" s="3435"/>
      <c r="K37" s="900"/>
      <c r="L37" s="3356"/>
      <c r="M37" s="3362" t="s">
        <v>1706</v>
      </c>
      <c r="N37" s="3362"/>
      <c r="O37" s="3360">
        <f>IF(Combate!$C$15=0,0,VLOOKUP(Combate!$C$15,Tabla_Yelmos,3,FALSE))</f>
        <v>0</v>
      </c>
      <c r="P37" s="3360"/>
      <c r="Q37" s="676">
        <f>IF(Buscar_final="-","-",Buscar_final+O37)</f>
        <v>-30</v>
      </c>
      <c r="R37" s="823"/>
      <c r="S37" s="1406"/>
      <c r="T37" s="1407"/>
      <c r="U37" s="1431"/>
      <c r="V37" s="3363" t="str">
        <f>IF(Nephilim="","",VLOOKUP(Nephilim,Tabla_Razas,20,FALSE))</f>
        <v/>
      </c>
      <c r="W37" s="3364"/>
      <c r="X37" s="3364"/>
      <c r="Y37" s="3364"/>
      <c r="Z37" s="3364"/>
      <c r="AA37" s="3364"/>
      <c r="AB37" s="3364"/>
      <c r="AC37" s="3364"/>
      <c r="AD37" s="3364"/>
      <c r="AE37" s="3364"/>
      <c r="AF37" s="3364"/>
      <c r="AG37" s="3364"/>
      <c r="AH37" s="3364"/>
      <c r="AI37" s="3364"/>
      <c r="AJ37" s="3365"/>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23"/>
      <c r="D38" s="3373"/>
      <c r="E38" s="3373"/>
      <c r="F38" s="3374"/>
      <c r="G38" s="3433"/>
      <c r="H38" s="3434"/>
      <c r="I38" s="3434"/>
      <c r="J38" s="3435"/>
      <c r="K38" s="900"/>
      <c r="L38" s="3357"/>
      <c r="M38" s="3358" t="s">
        <v>1707</v>
      </c>
      <c r="N38" s="3358"/>
      <c r="O38" s="3354"/>
      <c r="P38" s="3354"/>
      <c r="Q38" s="677">
        <f>IF(Rastrear_final="-","-",Rastrear_final+O38)</f>
        <v>-30</v>
      </c>
      <c r="R38" s="823"/>
      <c r="S38" s="1406"/>
      <c r="T38" s="1407"/>
      <c r="U38" s="1431"/>
      <c r="V38" s="3366"/>
      <c r="W38" s="3367"/>
      <c r="X38" s="3367"/>
      <c r="Y38" s="3367"/>
      <c r="Z38" s="3367"/>
      <c r="AA38" s="3367"/>
      <c r="AB38" s="3367"/>
      <c r="AC38" s="3367"/>
      <c r="AD38" s="3367"/>
      <c r="AE38" s="3367"/>
      <c r="AF38" s="3367"/>
      <c r="AG38" s="3367"/>
      <c r="AH38" s="3367"/>
      <c r="AI38" s="3367"/>
      <c r="AJ38" s="3368"/>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23"/>
      <c r="D39" s="3373"/>
      <c r="E39" s="3373"/>
      <c r="F39" s="3374"/>
      <c r="G39" s="3433"/>
      <c r="H39" s="3434"/>
      <c r="I39" s="3434"/>
      <c r="J39" s="3435"/>
      <c r="K39" s="900"/>
      <c r="L39" s="3356" t="s">
        <v>1708</v>
      </c>
      <c r="M39" s="3362" t="s">
        <v>1709</v>
      </c>
      <c r="N39" s="3362"/>
      <c r="O39" s="3360"/>
      <c r="P39" s="3360"/>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23"/>
      <c r="D40" s="3373"/>
      <c r="E40" s="3373"/>
      <c r="F40" s="3374"/>
      <c r="G40" s="3433"/>
      <c r="H40" s="3434"/>
      <c r="I40" s="3434"/>
      <c r="J40" s="3435"/>
      <c r="K40" s="900"/>
      <c r="L40" s="3356"/>
      <c r="M40" s="3362" t="s">
        <v>1710</v>
      </c>
      <c r="N40" s="3362"/>
      <c r="O40" s="3360"/>
      <c r="P40" s="3360"/>
      <c r="Q40" s="676" t="str">
        <f>IF(Ciencia_final="-","-",Ciencia_final+O40)</f>
        <v>-</v>
      </c>
      <c r="R40" s="823"/>
      <c r="S40" s="1406"/>
      <c r="T40" s="1407"/>
      <c r="U40" s="1431"/>
      <c r="V40" s="3335" t="s">
        <v>1712</v>
      </c>
      <c r="W40" s="3336"/>
      <c r="X40" s="3336"/>
      <c r="Y40" s="3336"/>
      <c r="Z40" s="3336"/>
      <c r="AA40" s="3336"/>
      <c r="AB40" s="3190"/>
      <c r="AC40" s="3190"/>
      <c r="AD40" s="3190"/>
      <c r="AE40" s="3190"/>
      <c r="AF40" s="3336"/>
      <c r="AG40" s="3337"/>
      <c r="AH40" s="3384" t="s">
        <v>1645</v>
      </c>
      <c r="AI40" s="3385"/>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23"/>
      <c r="D41" s="3373"/>
      <c r="E41" s="3373"/>
      <c r="F41" s="3374"/>
      <c r="G41" s="3433"/>
      <c r="H41" s="3434"/>
      <c r="I41" s="3434"/>
      <c r="J41" s="3435"/>
      <c r="K41" s="900"/>
      <c r="L41" s="3356"/>
      <c r="M41" s="3362" t="s">
        <v>2919</v>
      </c>
      <c r="N41" s="3362"/>
      <c r="O41" s="3360"/>
      <c r="P41" s="3360"/>
      <c r="Q41" s="676">
        <f>IF(Ley_final="-","-",Ley_final+O41)</f>
        <v>-30</v>
      </c>
      <c r="R41" s="823"/>
      <c r="S41" s="1408"/>
      <c r="T41" s="1407"/>
      <c r="U41" s="1431"/>
      <c r="V41" s="3397" t="s">
        <v>9139</v>
      </c>
      <c r="W41" s="3398"/>
      <c r="X41" s="3398"/>
      <c r="Y41" s="3398"/>
      <c r="Z41" s="3398"/>
      <c r="AA41" s="3399"/>
      <c r="AB41" s="3405" t="s">
        <v>10229</v>
      </c>
      <c r="AC41" s="3414"/>
      <c r="AD41" s="3414"/>
      <c r="AE41" s="3415"/>
      <c r="AF41" s="3416" t="s">
        <v>8123</v>
      </c>
      <c r="AG41" s="3416"/>
      <c r="AH41" s="3417"/>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55"/>
      <c r="D42" s="3556"/>
      <c r="E42" s="3556"/>
      <c r="F42" s="3557"/>
      <c r="G42" s="3418"/>
      <c r="H42" s="3419"/>
      <c r="I42" s="3419"/>
      <c r="J42" s="3489"/>
      <c r="K42" s="900"/>
      <c r="L42" s="3356"/>
      <c r="M42" s="3362" t="s">
        <v>1711</v>
      </c>
      <c r="N42" s="3362"/>
      <c r="O42" s="3360"/>
      <c r="P42" s="3360"/>
      <c r="Q42" s="676">
        <f>IF(Herbolaria_final="-","-",Herbolaria_final+O42)</f>
        <v>-30</v>
      </c>
      <c r="R42" s="823"/>
      <c r="S42" s="1408">
        <f>IF(V42="",MAX($S$41:S41)+1,0)</f>
        <v>1</v>
      </c>
      <c r="T42" s="1407">
        <f>IF(V42="",0,MAX($T$41:T41)+1)</f>
        <v>0</v>
      </c>
      <c r="U42" s="1432">
        <f>IF(V42="",Tablas!A1,V42&amp;1)</f>
        <v>1</v>
      </c>
      <c r="V42" s="3386"/>
      <c r="W42" s="3387"/>
      <c r="X42" s="3387"/>
      <c r="Y42" s="3387"/>
      <c r="Z42" s="3387"/>
      <c r="AA42" s="3388"/>
      <c r="AB42" s="3400"/>
      <c r="AC42" s="3401"/>
      <c r="AD42" s="3401"/>
      <c r="AE42" s="3402"/>
      <c r="AF42" s="3348"/>
      <c r="AG42" s="3349"/>
      <c r="AH42" s="3350"/>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20"/>
      <c r="D43" s="3421"/>
      <c r="E43" s="3421"/>
      <c r="F43" s="3422"/>
      <c r="G43" s="3497"/>
      <c r="H43" s="3408"/>
      <c r="I43" s="3408"/>
      <c r="J43" s="3498"/>
      <c r="K43" s="900"/>
      <c r="L43" s="3356"/>
      <c r="M43" s="3362" t="s">
        <v>1713</v>
      </c>
      <c r="N43" s="3362"/>
      <c r="O43" s="3360"/>
      <c r="P43" s="3360"/>
      <c r="Q43" s="676" t="str">
        <f>IF(Historia_final="-","-",Historia_final+O43)</f>
        <v>-</v>
      </c>
      <c r="R43" s="823"/>
      <c r="S43" s="1408">
        <f>IF(V43="",MAX($S$41:S42)+1,0)</f>
        <v>2</v>
      </c>
      <c r="T43" s="1407">
        <f>IF(V43="",0,MAX($T$41:T42)+1)</f>
        <v>0</v>
      </c>
      <c r="U43" s="1432">
        <f>IF(V43="",Tablas!A2,IF(COUNTIF(V$42:V42,V43)&gt;0,V43&amp;COUNTIF(V$42:V42,V43)+1,V43&amp;1))</f>
        <v>2</v>
      </c>
      <c r="V43" s="3369"/>
      <c r="W43" s="3370"/>
      <c r="X43" s="3370"/>
      <c r="Y43" s="3370"/>
      <c r="Z43" s="3370"/>
      <c r="AA43" s="3371"/>
      <c r="AB43" s="3345"/>
      <c r="AC43" s="3346"/>
      <c r="AD43" s="3346"/>
      <c r="AE43" s="3347"/>
      <c r="AF43" s="3351"/>
      <c r="AG43" s="3352"/>
      <c r="AH43" s="3353"/>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23"/>
      <c r="D44" s="3373"/>
      <c r="E44" s="3373"/>
      <c r="F44" s="3424"/>
      <c r="G44" s="3428"/>
      <c r="H44" s="3429"/>
      <c r="I44" s="3429"/>
      <c r="J44" s="3430"/>
      <c r="K44" s="818"/>
      <c r="L44" s="3356"/>
      <c r="M44" s="3362" t="s">
        <v>1086</v>
      </c>
      <c r="N44" s="3362"/>
      <c r="O44" s="3360"/>
      <c r="P44" s="3360"/>
      <c r="Q44" s="676">
        <f>IF(Tactica_final="-","-",Tactica_final+O44)</f>
        <v>-30</v>
      </c>
      <c r="R44" s="823"/>
      <c r="S44" s="1408">
        <f>IF(V44="",MAX($S$41:S43)+1,0)</f>
        <v>3</v>
      </c>
      <c r="T44" s="1407">
        <f>IF(V44="",0,MAX($T$41:T43)+1)</f>
        <v>0</v>
      </c>
      <c r="U44" s="1432">
        <f>IF(V44="",Tablas!A3,IF(COUNTIF(V$42:V43,V44)&gt;0,V44&amp;COUNTIF(V$42:V43,V44)+1,V44&amp;1))</f>
        <v>3</v>
      </c>
      <c r="V44" s="3369"/>
      <c r="W44" s="3370"/>
      <c r="X44" s="3370"/>
      <c r="Y44" s="3370"/>
      <c r="Z44" s="3370"/>
      <c r="AA44" s="3371"/>
      <c r="AB44" s="3345"/>
      <c r="AC44" s="3346"/>
      <c r="AD44" s="3346"/>
      <c r="AE44" s="3347"/>
      <c r="AF44" s="3372"/>
      <c r="AG44" s="3373"/>
      <c r="AH44" s="3374"/>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23"/>
      <c r="D45" s="3373"/>
      <c r="E45" s="3373"/>
      <c r="F45" s="3424"/>
      <c r="G45" s="3428"/>
      <c r="H45" s="3429"/>
      <c r="I45" s="3429"/>
      <c r="J45" s="3430"/>
      <c r="K45" s="818"/>
      <c r="L45" s="3356"/>
      <c r="M45" s="3362" t="s">
        <v>1716</v>
      </c>
      <c r="N45" s="3362"/>
      <c r="O45" s="3360"/>
      <c r="P45" s="3360"/>
      <c r="Q45" s="676" t="str">
        <f>IF(Medicina_final="-","-",Medicina_final+O45)</f>
        <v>-</v>
      </c>
      <c r="R45" s="823"/>
      <c r="S45" s="1408">
        <f>IF(V45="",MAX($S$41:S44)+1,0)</f>
        <v>4</v>
      </c>
      <c r="T45" s="1407">
        <f>IF(V45="",0,MAX($T$41:T44)+1)</f>
        <v>0</v>
      </c>
      <c r="U45" s="1432">
        <f>IF(V45="",Tablas!A4,IF(COUNTIF(V$42:V44,V45)&gt;0,V45&amp;COUNTIF(V$42:V44,V45)+1,V45&amp;1))</f>
        <v>4</v>
      </c>
      <c r="V45" s="3369"/>
      <c r="W45" s="3370"/>
      <c r="X45" s="3370"/>
      <c r="Y45" s="3370"/>
      <c r="Z45" s="3370"/>
      <c r="AA45" s="3371"/>
      <c r="AB45" s="3345"/>
      <c r="AC45" s="3346"/>
      <c r="AD45" s="3346"/>
      <c r="AE45" s="3347"/>
      <c r="AF45" s="3351"/>
      <c r="AG45" s="3352"/>
      <c r="AH45" s="3353"/>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23"/>
      <c r="D46" s="3373"/>
      <c r="E46" s="3373"/>
      <c r="F46" s="3424"/>
      <c r="G46" s="3490"/>
      <c r="H46" s="3491"/>
      <c r="I46" s="3491"/>
      <c r="J46" s="3492"/>
      <c r="K46" s="818"/>
      <c r="L46" s="3356"/>
      <c r="M46" s="3362" t="s">
        <v>1717</v>
      </c>
      <c r="N46" s="3362"/>
      <c r="O46" s="3360"/>
      <c r="P46" s="3360"/>
      <c r="Q46" s="676">
        <f>IF(Memorizar_final="-","-",Memorizar_final+O46)</f>
        <v>-30</v>
      </c>
      <c r="R46" s="823"/>
      <c r="S46" s="1408">
        <f>IF(V46="",MAX($S$41:S45)+1,0)</f>
        <v>5</v>
      </c>
      <c r="T46" s="1407">
        <f>IF(V46="",0,MAX($T$41:T45)+1)</f>
        <v>0</v>
      </c>
      <c r="U46" s="1432">
        <f>IF(V46="",Tablas!A5,IF(COUNTIF(V$42:V45,V46)&gt;0,V46&amp;COUNTIF(V$42:V45,V46)+1,V46&amp;1))</f>
        <v>5</v>
      </c>
      <c r="V46" s="3369"/>
      <c r="W46" s="3370"/>
      <c r="X46" s="3370"/>
      <c r="Y46" s="3370"/>
      <c r="Z46" s="3370"/>
      <c r="AA46" s="3371"/>
      <c r="AB46" s="3345"/>
      <c r="AC46" s="3346"/>
      <c r="AD46" s="3346"/>
      <c r="AE46" s="3347"/>
      <c r="AF46" s="3351"/>
      <c r="AG46" s="3352"/>
      <c r="AH46" s="3353"/>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23"/>
      <c r="D47" s="3373"/>
      <c r="E47" s="3373"/>
      <c r="F47" s="3424"/>
      <c r="G47" s="3497" t="s">
        <v>2849</v>
      </c>
      <c r="H47" s="3408"/>
      <c r="I47" s="3408"/>
      <c r="J47" s="3498"/>
      <c r="K47" s="816"/>
      <c r="L47" s="3356"/>
      <c r="M47" s="3362" t="s">
        <v>1718</v>
      </c>
      <c r="N47" s="3362"/>
      <c r="O47" s="3360"/>
      <c r="P47" s="3360"/>
      <c r="Q47" s="676">
        <f>IF(Navegación_final="-","-",Navegación_final+O47)</f>
        <v>-30</v>
      </c>
      <c r="R47" s="823"/>
      <c r="S47" s="1408">
        <f>IF(V47="",MAX($S$41:S46)+1,0)</f>
        <v>6</v>
      </c>
      <c r="T47" s="1407">
        <f>IF(V47="",0,MAX($T$41:T46)+1)</f>
        <v>0</v>
      </c>
      <c r="U47" s="1432">
        <f>IF(V47="",Tablas!A6,IF(COUNTIF(V$42:V46,V47)&gt;0,V47&amp;COUNTIF(V$42:V46,V47)+1,V47&amp;1))</f>
        <v>6</v>
      </c>
      <c r="V47" s="3369"/>
      <c r="W47" s="3370"/>
      <c r="X47" s="3370"/>
      <c r="Y47" s="3370"/>
      <c r="Z47" s="3370"/>
      <c r="AA47" s="3371"/>
      <c r="AB47" s="3345"/>
      <c r="AC47" s="3346"/>
      <c r="AD47" s="3346"/>
      <c r="AE47" s="3347"/>
      <c r="AF47" s="3351"/>
      <c r="AG47" s="3352"/>
      <c r="AH47" s="3353"/>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23"/>
      <c r="D48" s="3373"/>
      <c r="E48" s="3373"/>
      <c r="F48" s="3424"/>
      <c r="G48" s="3436"/>
      <c r="H48" s="3437"/>
      <c r="I48" s="3437"/>
      <c r="J48" s="3438"/>
      <c r="K48" s="818"/>
      <c r="L48" s="3356"/>
      <c r="M48" s="3362" t="s">
        <v>1719</v>
      </c>
      <c r="N48" s="3362"/>
      <c r="O48" s="3360"/>
      <c r="P48" s="3360"/>
      <c r="Q48" s="676">
        <f>IF(Ocultismo_final="-","-",Ocultismo_final+O48)</f>
        <v>-30</v>
      </c>
      <c r="R48" s="823"/>
      <c r="S48" s="1408">
        <f>IF(V48="",MAX($S$41:S47)+1,0)</f>
        <v>7</v>
      </c>
      <c r="T48" s="1407">
        <f>IF(V48="",0,MAX($T$41:T47)+1)</f>
        <v>0</v>
      </c>
      <c r="U48" s="1432">
        <f>IF(V48="",Tablas!A7,IF(COUNTIF(V$42:V47,V48)&gt;0,V48&amp;COUNTIF(V$42:V47,V48)+1,V48&amp;1))</f>
        <v>7</v>
      </c>
      <c r="V48" s="3369"/>
      <c r="W48" s="3370"/>
      <c r="X48" s="3370"/>
      <c r="Y48" s="3370"/>
      <c r="Z48" s="3370"/>
      <c r="AA48" s="3371"/>
      <c r="AB48" s="3345"/>
      <c r="AC48" s="3346"/>
      <c r="AD48" s="3346"/>
      <c r="AE48" s="3347"/>
      <c r="AF48" s="3351"/>
      <c r="AG48" s="3352"/>
      <c r="AH48" s="3353"/>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39"/>
      <c r="D49" s="3440"/>
      <c r="E49" s="3440"/>
      <c r="F49" s="3441"/>
      <c r="G49" s="3436"/>
      <c r="H49" s="3437"/>
      <c r="I49" s="3437"/>
      <c r="J49" s="3438"/>
      <c r="K49" s="815"/>
      <c r="L49" s="3356"/>
      <c r="M49" s="3362" t="s">
        <v>1720</v>
      </c>
      <c r="N49" s="3362"/>
      <c r="O49" s="3360"/>
      <c r="P49" s="3360"/>
      <c r="Q49" s="676" t="str">
        <f>IF(Tasación_final="-","-",Tasación_final+O49)</f>
        <v>-</v>
      </c>
      <c r="R49" s="823"/>
      <c r="S49" s="1408">
        <f>IF(V49="",MAX($S$41:S48)+1,0)</f>
        <v>8</v>
      </c>
      <c r="T49" s="1407">
        <f>IF(V49="",0,MAX($T$41:T48)+1)</f>
        <v>0</v>
      </c>
      <c r="U49" s="1432">
        <f>IF(V49="",Tablas!A8,IF(COUNTIF(V$42:V48,V49)&gt;0,V49&amp;COUNTIF(V$42:V48,V49)+1,V49&amp;1))</f>
        <v>8</v>
      </c>
      <c r="V49" s="3369"/>
      <c r="W49" s="3370"/>
      <c r="X49" s="3370"/>
      <c r="Y49" s="3370"/>
      <c r="Z49" s="3370"/>
      <c r="AA49" s="3371"/>
      <c r="AB49" s="3345"/>
      <c r="AC49" s="3346"/>
      <c r="AD49" s="3346"/>
      <c r="AE49" s="3347"/>
      <c r="AF49" s="3351"/>
      <c r="AG49" s="3352"/>
      <c r="AH49" s="3353"/>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25" t="s">
        <v>3218</v>
      </c>
      <c r="D50" s="3426"/>
      <c r="E50" s="3426"/>
      <c r="F50" s="3427"/>
      <c r="G50" s="3436"/>
      <c r="H50" s="3437"/>
      <c r="I50" s="3437"/>
      <c r="J50" s="3438"/>
      <c r="K50" s="815"/>
      <c r="L50" s="3356"/>
      <c r="M50" s="3362" t="s">
        <v>1721</v>
      </c>
      <c r="N50" s="3362"/>
      <c r="O50" s="3360"/>
      <c r="P50" s="3360"/>
      <c r="Q50" s="676" t="str">
        <f>IF(V.Mágica_final="-","-",V.Mágica_final+O50)</f>
        <v>-</v>
      </c>
      <c r="R50" s="823"/>
      <c r="S50" s="1408">
        <f>IF(V50="",MAX($S$41:S49)+1,0)</f>
        <v>9</v>
      </c>
      <c r="T50" s="1407">
        <f>IF(V50="",0,MAX($T$41:T49)+1)</f>
        <v>0</v>
      </c>
      <c r="U50" s="1432">
        <f>IF(V50="",Tablas!A9,IF(COUNTIF(V$42:V49,V50)&gt;0,V50&amp;COUNTIF(V$42:V49,V50)+1,V50&amp;1))</f>
        <v>9</v>
      </c>
      <c r="V50" s="3369"/>
      <c r="W50" s="3370"/>
      <c r="X50" s="3370"/>
      <c r="Y50" s="3370"/>
      <c r="Z50" s="3370"/>
      <c r="AA50" s="3371"/>
      <c r="AB50" s="3345"/>
      <c r="AC50" s="3346"/>
      <c r="AD50" s="3346"/>
      <c r="AE50" s="3347"/>
      <c r="AF50" s="3351"/>
      <c r="AG50" s="3352"/>
      <c r="AH50" s="3353"/>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50"/>
      <c r="D51" s="3551"/>
      <c r="E51" s="3551"/>
      <c r="F51" s="3552"/>
      <c r="G51" s="3436"/>
      <c r="H51" s="3437"/>
      <c r="I51" s="3437"/>
      <c r="J51" s="3438"/>
      <c r="K51" s="815"/>
      <c r="L51" s="3355" t="s">
        <v>1722</v>
      </c>
      <c r="M51" s="3359" t="s">
        <v>1723</v>
      </c>
      <c r="N51" s="3359"/>
      <c r="O51" s="3361"/>
      <c r="P51" s="3361"/>
      <c r="Q51" s="675">
        <f>IF(Frialdad_final="-","-",Frialdad_final+O51)</f>
        <v>-30</v>
      </c>
      <c r="R51" s="823"/>
      <c r="S51" s="1408">
        <f>IF(V51="",MAX($S$41:S50)+1,0)</f>
        <v>10</v>
      </c>
      <c r="T51" s="1407">
        <f>IF(V51="",0,MAX($T$41:T50)+1)</f>
        <v>0</v>
      </c>
      <c r="U51" s="1432">
        <f>IF(V51="",Tablas!A10,IF(COUNTIF(V$42:V50,V51)&gt;0,V51&amp;COUNTIF(V$42:V50,V51)+1,V51&amp;1))</f>
        <v>10</v>
      </c>
      <c r="V51" s="3369"/>
      <c r="W51" s="3370"/>
      <c r="X51" s="3370"/>
      <c r="Y51" s="3370"/>
      <c r="Z51" s="3370"/>
      <c r="AA51" s="3371"/>
      <c r="AB51" s="3345"/>
      <c r="AC51" s="3346"/>
      <c r="AD51" s="3346"/>
      <c r="AE51" s="3347"/>
      <c r="AF51" s="3351"/>
      <c r="AG51" s="3352"/>
      <c r="AH51" s="3353"/>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53"/>
      <c r="D52" s="3434"/>
      <c r="E52" s="3434"/>
      <c r="F52" s="3554"/>
      <c r="G52" s="3436"/>
      <c r="H52" s="3437"/>
      <c r="I52" s="3437"/>
      <c r="J52" s="3438"/>
      <c r="K52" s="1086"/>
      <c r="L52" s="3356"/>
      <c r="M52" s="3362" t="s">
        <v>1724</v>
      </c>
      <c r="N52" s="3362"/>
      <c r="O52" s="3360">
        <f>PenNatural</f>
        <v>0</v>
      </c>
      <c r="P52" s="3360"/>
      <c r="Q52" s="676">
        <f>IF(P.Fuerza_final="-","-",P.Fuerza_final+O52)</f>
        <v>-30</v>
      </c>
      <c r="R52" s="823"/>
      <c r="S52" s="1408">
        <f>IF(V52="",MAX($S$41:S51)+1,0)</f>
        <v>11</v>
      </c>
      <c r="T52" s="1407">
        <f>IF(V52="",0,MAX($T$41:T51)+1)</f>
        <v>0</v>
      </c>
      <c r="U52" s="1432">
        <f>IF(V52="",Tablas!A11,IF(COUNTIF(V$42:V51,V52)&gt;0,V52&amp;COUNTIF(V$42:V51,V52)+1,V52&amp;1))</f>
        <v>11</v>
      </c>
      <c r="V52" s="3369"/>
      <c r="W52" s="3370"/>
      <c r="X52" s="3370"/>
      <c r="Y52" s="3370"/>
      <c r="Z52" s="3370"/>
      <c r="AA52" s="3371"/>
      <c r="AB52" s="3345"/>
      <c r="AC52" s="3346"/>
      <c r="AD52" s="3346"/>
      <c r="AE52" s="3347"/>
      <c r="AF52" s="3351"/>
      <c r="AG52" s="3352"/>
      <c r="AH52" s="3353"/>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03"/>
      <c r="D53" s="3504"/>
      <c r="E53" s="3504"/>
      <c r="F53" s="3505"/>
      <c r="G53" s="3506"/>
      <c r="H53" s="3507"/>
      <c r="I53" s="3507"/>
      <c r="J53" s="3508"/>
      <c r="K53" s="1086"/>
      <c r="L53" s="3357"/>
      <c r="M53" s="3358" t="s">
        <v>1727</v>
      </c>
      <c r="N53" s="3358"/>
      <c r="O53" s="3354"/>
      <c r="P53" s="3354"/>
      <c r="Q53" s="677">
        <f>IF(Res.Dolor_final="-","-",Res.Dolor_final+O53)</f>
        <v>-30</v>
      </c>
      <c r="R53" s="823"/>
      <c r="S53" s="1408">
        <f>IF(V53="",MAX($S$41:S52)+1,0)</f>
        <v>12</v>
      </c>
      <c r="T53" s="1407">
        <f>IF(V53="",0,MAX($T$41:T52)+1)</f>
        <v>0</v>
      </c>
      <c r="U53" s="1432">
        <f>IF(V53="",Tablas!A12,IF(COUNTIF(V$42:V52,V53)&gt;0,V53&amp;COUNTIF(V$42:V52,V53)+1,V53&amp;1))</f>
        <v>12</v>
      </c>
      <c r="V53" s="3369"/>
      <c r="W53" s="3370"/>
      <c r="X53" s="3370"/>
      <c r="Y53" s="3370"/>
      <c r="Z53" s="3370"/>
      <c r="AA53" s="3371"/>
      <c r="AB53" s="3345"/>
      <c r="AC53" s="3346"/>
      <c r="AD53" s="3346"/>
      <c r="AE53" s="3347"/>
      <c r="AF53" s="3351"/>
      <c r="AG53" s="3352"/>
      <c r="AH53" s="3353"/>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01" t="str">
        <f>IF(COUNTIF(Principal!$AS$43:$AS$45,"Trasfondo")&gt;0,"PC exclusivos trasfondo","")</f>
        <v/>
      </c>
      <c r="D54" s="3501"/>
      <c r="E54" s="3501"/>
      <c r="F54" s="2126">
        <f>-Tablas!$F$234</f>
        <v>0</v>
      </c>
      <c r="G54" s="3502" t="str">
        <f>IF(AND(COUNTIF(Principal!$AS$43:$AS$45,"Don")&gt;0,COUNTIF(Principal!$AS$43:$AS$45,"Psiquicos")&gt;0),"PC exclusivos Don/Psíquicos",IF(COUNTIF(Principal!$AS$43:$AS$45,"Don")&gt;0,"PC exclusivos Don",IF(COUNTIF(Principal!$AS$43:$AS$45,"Psiquicos")&gt;0,"PC exclusivos Psíquica","")))</f>
        <v/>
      </c>
      <c r="H54" s="3501"/>
      <c r="I54" s="3501"/>
      <c r="J54" s="901">
        <f>-Tablas!E234</f>
        <v>0</v>
      </c>
      <c r="K54" s="815"/>
      <c r="L54" s="3356" t="s">
        <v>1730</v>
      </c>
      <c r="M54" s="3362" t="s">
        <v>1731</v>
      </c>
      <c r="N54" s="3362"/>
      <c r="O54" s="3360"/>
      <c r="P54" s="3360"/>
      <c r="Q54" s="676">
        <f>IF(Cerrajería_final="-","-",Cerrajería_final+O54)</f>
        <v>-30</v>
      </c>
      <c r="R54" s="823"/>
      <c r="S54" s="1408">
        <f>IF(V54="",MAX($S$41:S53)+1,0)</f>
        <v>13</v>
      </c>
      <c r="T54" s="1407">
        <f>IF(V54="",0,MAX($T$41:T53)+1)</f>
        <v>0</v>
      </c>
      <c r="U54" s="1432">
        <f>IF(V54="",Tablas!A13,IF(COUNTIF(V$42:V53,V54)&gt;0,V54&amp;COUNTIF(V$42:V53,V54)+1,V54&amp;1))</f>
        <v>13</v>
      </c>
      <c r="V54" s="3369"/>
      <c r="W54" s="3370"/>
      <c r="X54" s="3370"/>
      <c r="Y54" s="3370"/>
      <c r="Z54" s="3370"/>
      <c r="AA54" s="3371"/>
      <c r="AB54" s="3345"/>
      <c r="AC54" s="3346"/>
      <c r="AD54" s="3346"/>
      <c r="AE54" s="3347"/>
      <c r="AF54" s="3351"/>
      <c r="AG54" s="3352"/>
      <c r="AH54" s="3353"/>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56"/>
      <c r="M55" s="3362" t="s">
        <v>1733</v>
      </c>
      <c r="N55" s="3362"/>
      <c r="O55" s="3360"/>
      <c r="P55" s="3360"/>
      <c r="Q55" s="676">
        <f>IF(Disfraz_final="-","-",Disfraz_final+O55)</f>
        <v>-30</v>
      </c>
      <c r="R55" s="823"/>
      <c r="S55" s="1408">
        <f>IF(V55="",MAX($S$41:S54)+1,0)</f>
        <v>14</v>
      </c>
      <c r="T55" s="1407">
        <f>IF(V55="",0,MAX($T$41:T54)+1)</f>
        <v>0</v>
      </c>
      <c r="U55" s="1432">
        <f>IF(V55="",Tablas!A14,IF(COUNTIF(V$42:V54,V55)&gt;0,V55&amp;COUNTIF(V$42:V54,V55)+1,V55&amp;1))</f>
        <v>14</v>
      </c>
      <c r="V55" s="3369"/>
      <c r="W55" s="3370"/>
      <c r="X55" s="3370"/>
      <c r="Y55" s="3370"/>
      <c r="Z55" s="3370"/>
      <c r="AA55" s="3371"/>
      <c r="AB55" s="3345"/>
      <c r="AC55" s="3346"/>
      <c r="AD55" s="3346"/>
      <c r="AE55" s="3347"/>
      <c r="AF55" s="3351"/>
      <c r="AG55" s="3352"/>
      <c r="AH55" s="3353"/>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93" t="s">
        <v>1725</v>
      </c>
      <c r="D56" s="3242"/>
      <c r="E56" s="3243"/>
      <c r="F56" s="2203" t="s">
        <v>1638</v>
      </c>
      <c r="G56" s="2047" t="s">
        <v>1640</v>
      </c>
      <c r="H56" s="2047" t="s">
        <v>1726</v>
      </c>
      <c r="I56" s="2204" t="s">
        <v>1691</v>
      </c>
      <c r="J56" s="2205" t="s">
        <v>1622</v>
      </c>
      <c r="K56" s="815"/>
      <c r="L56" s="3356"/>
      <c r="M56" s="3362" t="s">
        <v>1735</v>
      </c>
      <c r="N56" s="3362"/>
      <c r="O56" s="3360">
        <f>PenNatural</f>
        <v>0</v>
      </c>
      <c r="P56" s="3360"/>
      <c r="Q56" s="676">
        <f>IF(Ocultarse_final="-","-",Ocultarse_final+O56)</f>
        <v>-30</v>
      </c>
      <c r="R56" s="823"/>
      <c r="S56" s="1408">
        <f>IF(V56="",MAX($S$41:S55)+1,0)</f>
        <v>15</v>
      </c>
      <c r="T56" s="1407">
        <f>IF(V56="",0,MAX($T$41:T55)+1)</f>
        <v>0</v>
      </c>
      <c r="U56" s="1432">
        <f>IF(V56="",Tablas!A15,IF(COUNTIF(V$42:V55,V56)&gt;0,V56&amp;COUNTIF(V$42:V55,V56)+1,V56&amp;1))</f>
        <v>15</v>
      </c>
      <c r="V56" s="3369"/>
      <c r="W56" s="3370"/>
      <c r="X56" s="3370"/>
      <c r="Y56" s="3370"/>
      <c r="Z56" s="3370"/>
      <c r="AA56" s="3371"/>
      <c r="AB56" s="3345"/>
      <c r="AC56" s="3346"/>
      <c r="AD56" s="3346"/>
      <c r="AE56" s="3347"/>
      <c r="AF56" s="3351"/>
      <c r="AG56" s="3352"/>
      <c r="AH56" s="3353"/>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94"/>
      <c r="D57" s="3442" t="s">
        <v>1728</v>
      </c>
      <c r="E57" s="3443"/>
      <c r="F57" s="2175">
        <f>IF(SUM(PDs!$S$5:$S$14)=0,20,25+(SUM(PDs!$S$5:$S$14)*5))</f>
        <v>20</v>
      </c>
      <c r="G57" s="2176" t="s">
        <v>1729</v>
      </c>
      <c r="H57" s="2176" t="s">
        <v>1729</v>
      </c>
      <c r="I57" s="2437"/>
      <c r="J57" s="2206">
        <f>F57+I57</f>
        <v>20</v>
      </c>
      <c r="K57" s="1086"/>
      <c r="L57" s="3356"/>
      <c r="M57" s="3362" t="s">
        <v>1737</v>
      </c>
      <c r="N57" s="3362"/>
      <c r="O57" s="3360"/>
      <c r="P57" s="3360"/>
      <c r="Q57" s="676">
        <f>IF(Robo_final="-","-",Robo_final+O57)</f>
        <v>-30</v>
      </c>
      <c r="R57" s="823"/>
      <c r="S57" s="1408">
        <f>IF(V57="",MAX($S$41:S56)+1,0)</f>
        <v>16</v>
      </c>
      <c r="T57" s="1407">
        <f>IF(V57="",0,MAX($T$41:T56)+1)</f>
        <v>0</v>
      </c>
      <c r="U57" s="1432">
        <f>IF(V57="",Tablas!A16,IF(COUNTIF(V$42:V56,V57)&gt;0,V57&amp;COUNTIF(V$42:V56,V57)+1,V57&amp;1))</f>
        <v>16</v>
      </c>
      <c r="V57" s="3369"/>
      <c r="W57" s="3370"/>
      <c r="X57" s="3370"/>
      <c r="Y57" s="3370"/>
      <c r="Z57" s="3370"/>
      <c r="AA57" s="3371"/>
      <c r="AB57" s="3345"/>
      <c r="AC57" s="3346"/>
      <c r="AD57" s="3346"/>
      <c r="AE57" s="3347"/>
      <c r="AF57" s="3351"/>
      <c r="AG57" s="3352"/>
      <c r="AH57" s="3353"/>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94"/>
      <c r="D58" s="3431" t="s">
        <v>1732</v>
      </c>
      <c r="E58" s="3432"/>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356"/>
      <c r="M58" s="3362" t="s">
        <v>1739</v>
      </c>
      <c r="N58" s="3362"/>
      <c r="O58" s="3360">
        <f>PenNatural-MIN(MAX(LlevarArmadura_final-Combate!H16,0)+Combate!H17,0)+MIN(Combate!H17+MAX(LlevarArmadura_final-Combate!H16,0),ROUNDDOWN(Combate!H17/2,0))</f>
        <v>0</v>
      </c>
      <c r="P58" s="3360"/>
      <c r="Q58" s="676">
        <f>IF(Sigilo_final="-","-",Sigilo_final+O58)</f>
        <v>-30</v>
      </c>
      <c r="R58" s="823"/>
      <c r="S58" s="1408">
        <f>IF(V58="",MAX($S$41:S57)+1,0)</f>
        <v>17</v>
      </c>
      <c r="T58" s="1407">
        <f>IF(V58="",0,MAX($T$41:T57)+1)</f>
        <v>0</v>
      </c>
      <c r="U58" s="1432">
        <f>IF(V58="",Tablas!A17,IF(COUNTIF(V$42:V57,V58)&gt;0,V58&amp;COUNTIF(V$42:V57,V58)+1,V58&amp;1))</f>
        <v>17</v>
      </c>
      <c r="V58" s="3369"/>
      <c r="W58" s="3370"/>
      <c r="X58" s="3370"/>
      <c r="Y58" s="3370"/>
      <c r="Z58" s="3370"/>
      <c r="AA58" s="3371"/>
      <c r="AB58" s="3345"/>
      <c r="AC58" s="3346"/>
      <c r="AD58" s="3346"/>
      <c r="AE58" s="3347"/>
      <c r="AF58" s="3351"/>
      <c r="AG58" s="3352"/>
      <c r="AH58" s="3353"/>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94"/>
      <c r="D59" s="3431" t="s">
        <v>1734</v>
      </c>
      <c r="E59" s="3432"/>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356"/>
      <c r="M59" s="3362" t="s">
        <v>1741</v>
      </c>
      <c r="N59" s="3362"/>
      <c r="O59" s="3360"/>
      <c r="P59" s="3360"/>
      <c r="Q59" s="676">
        <f>IF(Trampería_final="-","-",Trampería_final+O59)</f>
        <v>-30</v>
      </c>
      <c r="R59" s="823"/>
      <c r="S59" s="1408">
        <f>IF(V59="",MAX($S$41:S58)+1,0)</f>
        <v>18</v>
      </c>
      <c r="T59" s="1407">
        <f>IF(V59="",0,MAX($T$41:T58)+1)</f>
        <v>0</v>
      </c>
      <c r="U59" s="1432">
        <f>IF(V59="",Tablas!A18,IF(COUNTIF(V$42:V58,V59)&gt;0,V59&amp;COUNTIF(V$42:V58,V59)+1,V59&amp;1))</f>
        <v>18</v>
      </c>
      <c r="V59" s="3369"/>
      <c r="W59" s="3370"/>
      <c r="X59" s="3370"/>
      <c r="Y59" s="3370"/>
      <c r="Z59" s="3370"/>
      <c r="AA59" s="3371"/>
      <c r="AB59" s="3345"/>
      <c r="AC59" s="3346"/>
      <c r="AD59" s="3346"/>
      <c r="AE59" s="3347"/>
      <c r="AF59" s="3351"/>
      <c r="AG59" s="3352"/>
      <c r="AH59" s="3353"/>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94"/>
      <c r="D60" s="3431" t="s">
        <v>1736</v>
      </c>
      <c r="E60" s="3432"/>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356"/>
      <c r="M60" s="3362" t="s">
        <v>1742</v>
      </c>
      <c r="N60" s="3362"/>
      <c r="O60" s="3360"/>
      <c r="P60" s="3360"/>
      <c r="Q60" s="676">
        <f>IF(Venenos_final="-","-",Venenos_final+O60)</f>
        <v>-30</v>
      </c>
      <c r="R60" s="823"/>
      <c r="S60" s="1408">
        <f>IF(V60="",MAX($S$41:S59)+1,0)</f>
        <v>19</v>
      </c>
      <c r="T60" s="1407">
        <f>IF(V60="",0,MAX($T$41:T59)+1)</f>
        <v>0</v>
      </c>
      <c r="U60" s="1432">
        <f>IF(V60="",Tablas!A19,IF(COUNTIF(V$42:V59,V60)&gt;0,V60&amp;COUNTIF(V$42:V59,V60)+1,V60&amp;1))</f>
        <v>19</v>
      </c>
      <c r="V60" s="3369"/>
      <c r="W60" s="3370"/>
      <c r="X60" s="3370"/>
      <c r="Y60" s="3370"/>
      <c r="Z60" s="3370"/>
      <c r="AA60" s="3371"/>
      <c r="AB60" s="3345"/>
      <c r="AC60" s="3346"/>
      <c r="AD60" s="3346"/>
      <c r="AE60" s="3347"/>
      <c r="AF60" s="3351"/>
      <c r="AG60" s="3352"/>
      <c r="AH60" s="3353"/>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94"/>
      <c r="D61" s="3431" t="s">
        <v>1738</v>
      </c>
      <c r="E61" s="3432"/>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355" t="s">
        <v>1743</v>
      </c>
      <c r="M61" s="3359" t="s">
        <v>1744</v>
      </c>
      <c r="N61" s="3359"/>
      <c r="O61" s="3361"/>
      <c r="P61" s="3361"/>
      <c r="Q61" s="675">
        <f>IF(Arte_final="-","-",Arte_final+O61)</f>
        <v>-30</v>
      </c>
      <c r="R61" s="823"/>
      <c r="S61" s="1408">
        <f>IF(V61="",MAX($S$41:S60)+1,0)</f>
        <v>20</v>
      </c>
      <c r="T61" s="1407">
        <f>IF(V61="",0,MAX($T$41:T60)+1)</f>
        <v>0</v>
      </c>
      <c r="U61" s="1432">
        <f>IF(V61="",Tablas!A20,IF(COUNTIF(V$42:V60,V61)&gt;0,V61&amp;COUNTIF(V$42:V60,V61)+1,V61&amp;1))</f>
        <v>20</v>
      </c>
      <c r="V61" s="3369"/>
      <c r="W61" s="3370"/>
      <c r="X61" s="3370"/>
      <c r="Y61" s="3370"/>
      <c r="Z61" s="3370"/>
      <c r="AA61" s="3371"/>
      <c r="AB61" s="3345"/>
      <c r="AC61" s="3346"/>
      <c r="AD61" s="3346"/>
      <c r="AE61" s="3347"/>
      <c r="AF61" s="3351"/>
      <c r="AG61" s="3352"/>
      <c r="AH61" s="3353"/>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94"/>
      <c r="D62" s="3509" t="s">
        <v>1740</v>
      </c>
      <c r="E62" s="3510"/>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356"/>
      <c r="M62" s="3362" t="s">
        <v>1745</v>
      </c>
      <c r="N62" s="3362"/>
      <c r="O62" s="3360">
        <f>PenNatural</f>
        <v>0</v>
      </c>
      <c r="P62" s="3360"/>
      <c r="Q62" s="676">
        <f>IF(Baile_final="-","-",Baile_final+O62)</f>
        <v>-30</v>
      </c>
      <c r="R62" s="823"/>
      <c r="S62" s="1408">
        <f>IF(V62="",MAX($S$41:S61)+1,0)</f>
        <v>21</v>
      </c>
      <c r="T62" s="1407">
        <f>IF(V62="",0,MAX($T$41:T61)+1)</f>
        <v>0</v>
      </c>
      <c r="U62" s="1432">
        <f>IF(V62="",Tablas!A21,IF(COUNTIF(V$42:V61,V62)&gt;0,V62&amp;COUNTIF(V$42:V61,V62)+1,V62&amp;1))</f>
        <v>21</v>
      </c>
      <c r="V62" s="3369"/>
      <c r="W62" s="3370"/>
      <c r="X62" s="3370"/>
      <c r="Y62" s="3370"/>
      <c r="Z62" s="3370"/>
      <c r="AA62" s="3371"/>
      <c r="AB62" s="3345"/>
      <c r="AC62" s="3346"/>
      <c r="AD62" s="3346"/>
      <c r="AE62" s="3347"/>
      <c r="AF62" s="3351"/>
      <c r="AG62" s="3352"/>
      <c r="AH62" s="3353"/>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95"/>
      <c r="D63" s="3515" t="s">
        <v>1652</v>
      </c>
      <c r="E63" s="3511"/>
      <c r="F63" s="3511"/>
      <c r="G63" s="3511"/>
      <c r="H63" s="3511"/>
      <c r="I63" s="3511"/>
      <c r="J63" s="3512"/>
      <c r="K63" s="815"/>
      <c r="L63" s="3356"/>
      <c r="M63" s="3362" t="s">
        <v>1746</v>
      </c>
      <c r="N63" s="3362"/>
      <c r="O63" s="3360"/>
      <c r="P63" s="3360"/>
      <c r="Q63" s="676" t="str">
        <f>IF(Forja_final="-","-",Forja_final+O63)</f>
        <v>-</v>
      </c>
      <c r="R63" s="823"/>
      <c r="S63" s="1408">
        <f>IF(V63="",MAX($S$41:S62)+1,0)</f>
        <v>22</v>
      </c>
      <c r="T63" s="1407">
        <f>IF(V63="",0,MAX($T$41:T62)+1)</f>
        <v>0</v>
      </c>
      <c r="U63" s="1432">
        <f>IF(V63="",Tablas!A22,IF(COUNTIF(V$42:V62,V63)&gt;0,V63&amp;COUNTIF(V$42:V62,V63)+1,V63&amp;1))</f>
        <v>22</v>
      </c>
      <c r="V63" s="3369"/>
      <c r="W63" s="3370"/>
      <c r="X63" s="3370"/>
      <c r="Y63" s="3370"/>
      <c r="Z63" s="3370"/>
      <c r="AA63" s="3371"/>
      <c r="AB63" s="3345"/>
      <c r="AC63" s="3346"/>
      <c r="AD63" s="3346"/>
      <c r="AE63" s="3347"/>
      <c r="AF63" s="3351"/>
      <c r="AG63" s="3352"/>
      <c r="AH63" s="3353"/>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95"/>
      <c r="D64" s="3515"/>
      <c r="E64" s="3513"/>
      <c r="F64" s="3513"/>
      <c r="G64" s="3513"/>
      <c r="H64" s="3513"/>
      <c r="I64" s="3513"/>
      <c r="J64" s="3514"/>
      <c r="K64" s="815"/>
      <c r="L64" s="3356"/>
      <c r="M64" s="3362" t="s">
        <v>1080</v>
      </c>
      <c r="N64" s="3362"/>
      <c r="O64" s="3360"/>
      <c r="P64" s="3360"/>
      <c r="Q64" s="676" t="str">
        <f>IF(Runas_final="-","-",Runas_final+O64)</f>
        <v>-</v>
      </c>
      <c r="R64" s="823"/>
      <c r="S64" s="1408">
        <f>IF(V64="",MAX($S$41:S63)+1,0)</f>
        <v>23</v>
      </c>
      <c r="T64" s="1407">
        <f>IF(V64="",0,MAX($T$41:T63)+1)</f>
        <v>0</v>
      </c>
      <c r="U64" s="1432">
        <f>IF(V64="",Tablas!A23,IF(COUNTIF(V$42:V63,V64)&gt;0,V64&amp;COUNTIF(V$42:V63,V64)+1,V64&amp;1))</f>
        <v>23</v>
      </c>
      <c r="V64" s="3369"/>
      <c r="W64" s="3370"/>
      <c r="X64" s="3370"/>
      <c r="Y64" s="3370"/>
      <c r="Z64" s="3370"/>
      <c r="AA64" s="3371"/>
      <c r="AB64" s="3345"/>
      <c r="AC64" s="3346"/>
      <c r="AD64" s="3346"/>
      <c r="AE64" s="3347"/>
      <c r="AF64" s="3351"/>
      <c r="AG64" s="3352"/>
      <c r="AH64" s="3353"/>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96"/>
      <c r="D65" s="3499"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a los controles de Resistencias afines: Legado</v>
      </c>
      <c r="E65" s="3499"/>
      <c r="F65" s="3499"/>
      <c r="G65" s="3499"/>
      <c r="H65" s="3499"/>
      <c r="I65" s="3499"/>
      <c r="J65" s="3500"/>
      <c r="K65" s="815"/>
      <c r="L65" s="3356"/>
      <c r="M65" s="3362" t="s">
        <v>1081</v>
      </c>
      <c r="N65" s="3362"/>
      <c r="O65" s="3360"/>
      <c r="P65" s="3360"/>
      <c r="Q65" s="676" t="str">
        <f>IF(Alquimia_final="-","-",Alquimia_final+O65)</f>
        <v>-</v>
      </c>
      <c r="R65" s="823"/>
      <c r="S65" s="1408">
        <f>IF(V65="",MAX($S$41:S64)+1,0)</f>
        <v>24</v>
      </c>
      <c r="T65" s="1407">
        <f>IF(V65="",0,MAX($T$41:T64)+1)</f>
        <v>0</v>
      </c>
      <c r="U65" s="1432">
        <f>IF(V65="",Tablas!A24,IF(COUNTIF(V$42:V64,V65)&gt;0,V65&amp;COUNTIF(V$42:V64,V65)+1,V65&amp;1))</f>
        <v>24</v>
      </c>
      <c r="V65" s="3369"/>
      <c r="W65" s="3370"/>
      <c r="X65" s="3370"/>
      <c r="Y65" s="3370"/>
      <c r="Z65" s="3370"/>
      <c r="AA65" s="3371"/>
      <c r="AB65" s="3345"/>
      <c r="AC65" s="3346"/>
      <c r="AD65" s="3346"/>
      <c r="AE65" s="3347"/>
      <c r="AF65" s="3351"/>
      <c r="AG65" s="3352"/>
      <c r="AH65" s="3353"/>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56"/>
      <c r="M66" s="3362" t="s">
        <v>1082</v>
      </c>
      <c r="N66" s="3362"/>
      <c r="O66" s="3360"/>
      <c r="P66" s="3360"/>
      <c r="Q66" s="676" t="str">
        <f>IF(Animismo_final="-","-",Animismo_final+O66)</f>
        <v>-</v>
      </c>
      <c r="R66" s="823"/>
      <c r="S66" s="1408">
        <f>IF(V66="",MAX($S$41:S65)+1,0)</f>
        <v>25</v>
      </c>
      <c r="T66" s="1407">
        <f>IF(V66="",0,MAX($T$41:T65)+1)</f>
        <v>0</v>
      </c>
      <c r="U66" s="1432">
        <f>IF(V66="",Tablas!A25,IF(COUNTIF(V$42:V65,V66)&gt;0,V66&amp;COUNTIF(V$42:V65,V66)+1,V66&amp;1))</f>
        <v>25</v>
      </c>
      <c r="V66" s="3369"/>
      <c r="W66" s="3370"/>
      <c r="X66" s="3370"/>
      <c r="Y66" s="3370"/>
      <c r="Z66" s="3370"/>
      <c r="AA66" s="3371"/>
      <c r="AB66" s="3345"/>
      <c r="AC66" s="3346"/>
      <c r="AD66" s="3346"/>
      <c r="AE66" s="3347"/>
      <c r="AF66" s="3351"/>
      <c r="AG66" s="3352"/>
      <c r="AH66" s="3353"/>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14" t="s">
        <v>1748</v>
      </c>
      <c r="D67" s="3516"/>
      <c r="E67" s="2208">
        <f>IF(INT=0,0,VLOOKUP(INT,Tabla_Idiomas,2))</f>
        <v>0</v>
      </c>
      <c r="F67" s="49"/>
      <c r="G67" s="3517" t="s">
        <v>1749</v>
      </c>
      <c r="H67" s="3518"/>
      <c r="I67" s="3518"/>
      <c r="J67" s="3519"/>
      <c r="K67" s="815"/>
      <c r="L67" s="3356"/>
      <c r="M67" s="3362" t="s">
        <v>1747</v>
      </c>
      <c r="N67" s="3362"/>
      <c r="O67" s="3360"/>
      <c r="P67" s="3360"/>
      <c r="Q67" s="676" t="str">
        <f>IF(Música_final="-","-",Música_final+O67)</f>
        <v>-</v>
      </c>
      <c r="R67" s="823"/>
      <c r="S67" s="1408">
        <f>IF(V67="",MAX($S$41:S66)+1,0)</f>
        <v>26</v>
      </c>
      <c r="T67" s="1407">
        <f>IF(V67="",0,MAX($T$41:T66)+1)</f>
        <v>0</v>
      </c>
      <c r="U67" s="1432">
        <f>IF(V67="",Tablas!A26,IF(COUNTIF(V$42:V66,V67)&gt;0,V67&amp;COUNTIF(V$42:V66,V67)+1,V67&amp;1))</f>
        <v>26</v>
      </c>
      <c r="V67" s="3369"/>
      <c r="W67" s="3370"/>
      <c r="X67" s="3370"/>
      <c r="Y67" s="3370"/>
      <c r="Z67" s="3370"/>
      <c r="AA67" s="3371"/>
      <c r="AB67" s="3345"/>
      <c r="AC67" s="3346"/>
      <c r="AD67" s="3346"/>
      <c r="AE67" s="3347"/>
      <c r="AF67" s="3351"/>
      <c r="AG67" s="3352"/>
      <c r="AH67" s="3353"/>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28"/>
      <c r="E68" s="3529"/>
      <c r="F68" s="49"/>
      <c r="G68" s="3522"/>
      <c r="H68" s="3523"/>
      <c r="I68" s="3523"/>
      <c r="J68" s="3524"/>
      <c r="K68" s="815"/>
      <c r="L68" s="3356"/>
      <c r="M68" s="3362" t="s">
        <v>1750</v>
      </c>
      <c r="N68" s="3362"/>
      <c r="O68" s="3360"/>
      <c r="P68" s="3360"/>
      <c r="Q68" s="676">
        <f>IF(T.Manos_final="-","-",T.Manos_final+O68)</f>
        <v>-30</v>
      </c>
      <c r="R68" s="823"/>
      <c r="S68" s="1408">
        <f>IF(V68="",MAX($S$41:S67)+1,0)</f>
        <v>27</v>
      </c>
      <c r="T68" s="1407">
        <f>IF(V68="",0,MAX($T$41:T67)+1)</f>
        <v>0</v>
      </c>
      <c r="U68" s="1432">
        <f>IF(V68="",Tablas!A27,IF(COUNTIF(V$42:V67,V68)&gt;0,V68&amp;COUNTIF(V$42:V67,V68)+1,V68&amp;1))</f>
        <v>27</v>
      </c>
      <c r="V68" s="3369"/>
      <c r="W68" s="3370"/>
      <c r="X68" s="3370"/>
      <c r="Y68" s="3370"/>
      <c r="Z68" s="3370"/>
      <c r="AA68" s="3371"/>
      <c r="AB68" s="3345"/>
      <c r="AC68" s="3346"/>
      <c r="AD68" s="3346"/>
      <c r="AE68" s="3347"/>
      <c r="AF68" s="3351"/>
      <c r="AG68" s="3352"/>
      <c r="AH68" s="3353"/>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20"/>
      <c r="E69" s="3521"/>
      <c r="F69" s="49"/>
      <c r="G69" s="3525"/>
      <c r="H69" s="3526"/>
      <c r="I69" s="3526"/>
      <c r="J69" s="3527"/>
      <c r="K69" s="815"/>
      <c r="L69" s="3356"/>
      <c r="M69" s="3362" t="s">
        <v>6949</v>
      </c>
      <c r="N69" s="3362"/>
      <c r="O69" s="3360"/>
      <c r="P69" s="3360"/>
      <c r="Q69" s="676" t="str">
        <f>IF(Caligrafíaritual_final="-","-",Caligrafíaritual_final+O69)</f>
        <v>-</v>
      </c>
      <c r="R69" s="823"/>
      <c r="S69" s="1408">
        <f>IF(V69="",MAX($S$41:S68)+1,0)</f>
        <v>28</v>
      </c>
      <c r="T69" s="1407">
        <f>IF(V69="",0,MAX($T$41:T68)+1)</f>
        <v>0</v>
      </c>
      <c r="U69" s="1432">
        <f>IF(V69="",Tablas!A28,IF(COUNTIF(V$42:V68,V69)&gt;0,V69&amp;COUNTIF(V$42:V68,V69)+1,V69&amp;1))</f>
        <v>28</v>
      </c>
      <c r="V69" s="3478"/>
      <c r="W69" s="3479"/>
      <c r="X69" s="3479"/>
      <c r="Y69" s="3479"/>
      <c r="Z69" s="3479"/>
      <c r="AA69" s="3480"/>
      <c r="AB69" s="3460"/>
      <c r="AC69" s="3461"/>
      <c r="AD69" s="3461"/>
      <c r="AE69" s="3462"/>
      <c r="AF69" s="3463"/>
      <c r="AG69" s="3464"/>
      <c r="AH69" s="3465"/>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46"/>
      <c r="E70" s="3447"/>
      <c r="F70" s="49"/>
      <c r="G70" s="3525"/>
      <c r="H70" s="3526"/>
      <c r="I70" s="3526"/>
      <c r="J70" s="3527"/>
      <c r="K70" s="819"/>
      <c r="L70" s="3356"/>
      <c r="M70" s="3362" t="s">
        <v>6950</v>
      </c>
      <c r="N70" s="3362"/>
      <c r="O70" s="3360"/>
      <c r="P70" s="3360"/>
      <c r="Q70" s="676">
        <f>IF(Orfebrería_final="-","-",Orfebrería_final+O70)</f>
        <v>-30</v>
      </c>
      <c r="R70" s="1205"/>
      <c r="S70" s="1406"/>
      <c r="T70" s="1407"/>
      <c r="U70" s="1431"/>
      <c r="V70" s="3481"/>
      <c r="W70" s="3482"/>
      <c r="X70" s="3482"/>
      <c r="Y70" s="3482"/>
      <c r="Z70" s="3482"/>
      <c r="AA70" s="3482"/>
      <c r="AB70" s="3485"/>
      <c r="AC70" s="3482"/>
      <c r="AD70" s="3482"/>
      <c r="AE70" s="3482"/>
      <c r="AF70" s="3482"/>
      <c r="AG70" s="3482"/>
      <c r="AH70" s="3486"/>
      <c r="AI70" s="3456"/>
      <c r="AJ70" s="3451"/>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46"/>
      <c r="E71" s="3447"/>
      <c r="F71" s="49"/>
      <c r="G71" s="3525"/>
      <c r="H71" s="3526"/>
      <c r="I71" s="3526"/>
      <c r="J71" s="3527"/>
      <c r="K71" s="819"/>
      <c r="L71" s="3356"/>
      <c r="M71" s="3362" t="s">
        <v>6951</v>
      </c>
      <c r="N71" s="3362"/>
      <c r="O71" s="3360"/>
      <c r="P71" s="3360"/>
      <c r="Q71" s="676" t="str">
        <f>IF(Confección_final="-","-",Confección_final+O71)</f>
        <v>-</v>
      </c>
      <c r="R71" s="1205"/>
      <c r="S71" s="1406"/>
      <c r="T71" s="1407"/>
      <c r="U71" s="1431"/>
      <c r="V71" s="3483"/>
      <c r="W71" s="3484"/>
      <c r="X71" s="3484"/>
      <c r="Y71" s="3484"/>
      <c r="Z71" s="3484"/>
      <c r="AA71" s="3484"/>
      <c r="AB71" s="3487"/>
      <c r="AC71" s="3484"/>
      <c r="AD71" s="3484"/>
      <c r="AE71" s="3484"/>
      <c r="AF71" s="3484"/>
      <c r="AG71" s="3484"/>
      <c r="AH71" s="3488"/>
      <c r="AI71" s="3457"/>
      <c r="AJ71" s="3452"/>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46"/>
      <c r="E72" s="3447"/>
      <c r="F72" s="46"/>
      <c r="G72" s="3525"/>
      <c r="H72" s="3526"/>
      <c r="I72" s="3526"/>
      <c r="J72" s="3527"/>
      <c r="K72" s="815"/>
      <c r="L72" s="3357"/>
      <c r="M72" s="3450" t="s">
        <v>6952</v>
      </c>
      <c r="N72" s="3450"/>
      <c r="O72" s="3354"/>
      <c r="P72" s="3354"/>
      <c r="Q72" s="677" t="str">
        <f>IF(Conf.marionetas_final="-","-",Conf.marionetas_final+O72)</f>
        <v>-</v>
      </c>
      <c r="R72" s="823"/>
      <c r="S72" s="1406"/>
      <c r="T72" s="1407"/>
      <c r="U72" s="1431"/>
      <c r="V72" s="3453" t="str">
        <f>IF(SUM(AJ42:AJ69)&gt;PDs!T5/2,"Exceso de PDs en Poderes","")</f>
        <v/>
      </c>
      <c r="W72" s="3454"/>
      <c r="X72" s="3454"/>
      <c r="Y72" s="3454"/>
      <c r="Z72" s="3454"/>
      <c r="AA72" s="3454"/>
      <c r="AB72" s="3454"/>
      <c r="AC72" s="3454"/>
      <c r="AD72" s="3454"/>
      <c r="AE72" s="3454"/>
      <c r="AF72" s="3454"/>
      <c r="AG72" s="3454"/>
      <c r="AH72" s="3454"/>
      <c r="AI72" s="3454"/>
      <c r="AJ72" s="3455"/>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46"/>
      <c r="E73" s="3447"/>
      <c r="F73" s="46"/>
      <c r="G73" s="3525"/>
      <c r="H73" s="3526"/>
      <c r="I73" s="3526"/>
      <c r="J73" s="3527"/>
      <c r="K73" s="815"/>
      <c r="L73" s="3356" t="s">
        <v>1751</v>
      </c>
      <c r="M73" s="3362" t="str">
        <f>IF(PDs!E177="","-",PDs!E177)</f>
        <v>-</v>
      </c>
      <c r="N73" s="3362"/>
      <c r="O73" s="3360"/>
      <c r="P73" s="3360"/>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46"/>
      <c r="E74" s="3447"/>
      <c r="F74" s="46"/>
      <c r="G74" s="3525"/>
      <c r="H74" s="3526"/>
      <c r="I74" s="3526"/>
      <c r="J74" s="3527"/>
      <c r="K74" s="815"/>
      <c r="L74" s="3356"/>
      <c r="M74" s="3362" t="str">
        <f>IF(PDs!E178="","-",PDs!E178)</f>
        <v>-</v>
      </c>
      <c r="N74" s="3362"/>
      <c r="O74" s="3360"/>
      <c r="P74" s="3360"/>
      <c r="Q74" s="676" t="str">
        <f>IF(PDs!AA178="-","-",PDs!AA178+O74)</f>
        <v>-</v>
      </c>
      <c r="R74" s="823"/>
      <c r="S74" s="1406"/>
      <c r="T74" s="1407"/>
      <c r="U74" s="1431"/>
      <c r="V74" s="3466" t="s">
        <v>1675</v>
      </c>
      <c r="W74" s="3469"/>
      <c r="X74" s="3470"/>
      <c r="Y74" s="3470"/>
      <c r="Z74" s="3470"/>
      <c r="AA74" s="3470"/>
      <c r="AB74" s="3470"/>
      <c r="AC74" s="3470"/>
      <c r="AD74" s="3470"/>
      <c r="AE74" s="3470"/>
      <c r="AF74" s="3470"/>
      <c r="AG74" s="3470"/>
      <c r="AH74" s="3470"/>
      <c r="AI74" s="3470"/>
      <c r="AJ74" s="3471"/>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46"/>
      <c r="E75" s="3447"/>
      <c r="F75" s="46"/>
      <c r="G75" s="3525"/>
      <c r="H75" s="3526"/>
      <c r="I75" s="3526"/>
      <c r="J75" s="3527"/>
      <c r="K75" s="815"/>
      <c r="L75" s="3356"/>
      <c r="M75" s="3362" t="str">
        <f>IF(PDs!E179="","-",PDs!E179)</f>
        <v>-</v>
      </c>
      <c r="N75" s="3362"/>
      <c r="O75" s="3360"/>
      <c r="P75" s="3360"/>
      <c r="Q75" s="676" t="str">
        <f>IF(PDs!AA179="-","-",PDs!AA179+O75)</f>
        <v>-</v>
      </c>
      <c r="R75" s="823"/>
      <c r="S75" s="1406"/>
      <c r="T75" s="1407"/>
      <c r="U75" s="1431"/>
      <c r="V75" s="3467"/>
      <c r="W75" s="3472"/>
      <c r="X75" s="3473"/>
      <c r="Y75" s="3473"/>
      <c r="Z75" s="3473"/>
      <c r="AA75" s="3473"/>
      <c r="AB75" s="3473"/>
      <c r="AC75" s="3473"/>
      <c r="AD75" s="3473"/>
      <c r="AE75" s="3473"/>
      <c r="AF75" s="3473"/>
      <c r="AG75" s="3473"/>
      <c r="AH75" s="3473"/>
      <c r="AI75" s="3473"/>
      <c r="AJ75" s="3474"/>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46"/>
      <c r="E76" s="3447"/>
      <c r="F76" s="46"/>
      <c r="G76" s="3448" t="s">
        <v>1758</v>
      </c>
      <c r="H76" s="3449"/>
      <c r="I76" s="3449"/>
      <c r="J76" s="2212">
        <f>IF(TipoDeCriatura="Natural",IF(AB14&gt;19,9,IF(AB14&gt;14,6,IF(AB14&gt;9,3,0))),"")</f>
        <v>3</v>
      </c>
      <c r="K76" s="815"/>
      <c r="L76" s="3356"/>
      <c r="M76" s="3362" t="str">
        <f>IF(PDs!E180="","-",PDs!E180)</f>
        <v>-</v>
      </c>
      <c r="N76" s="3362"/>
      <c r="O76" s="3360"/>
      <c r="P76" s="3360"/>
      <c r="Q76" s="676" t="str">
        <f>IF(PDs!AA180="-","-",PDs!AA180+O76)</f>
        <v>-</v>
      </c>
      <c r="R76" s="823"/>
      <c r="S76" s="1406"/>
      <c r="T76" s="1407"/>
      <c r="U76" s="1431"/>
      <c r="V76" s="3467"/>
      <c r="W76" s="3472"/>
      <c r="X76" s="3473"/>
      <c r="Y76" s="3473"/>
      <c r="Z76" s="3473"/>
      <c r="AA76" s="3473"/>
      <c r="AB76" s="3473"/>
      <c r="AC76" s="3473"/>
      <c r="AD76" s="3473"/>
      <c r="AE76" s="3473"/>
      <c r="AF76" s="3473"/>
      <c r="AG76" s="3473"/>
      <c r="AH76" s="3473"/>
      <c r="AI76" s="3473"/>
      <c r="AJ76" s="3474"/>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44"/>
      <c r="E77" s="3445"/>
      <c r="F77" s="46"/>
      <c r="G77" s="3214" t="s">
        <v>7851</v>
      </c>
      <c r="H77" s="3215"/>
      <c r="I77" s="3215"/>
      <c r="J77" s="2213"/>
      <c r="K77" s="815"/>
      <c r="L77" s="3458"/>
      <c r="M77" s="3217" t="str">
        <f>IF(PDs!E181="","-",PDs!E181)</f>
        <v>-</v>
      </c>
      <c r="N77" s="3217"/>
      <c r="O77" s="3459"/>
      <c r="P77" s="3459"/>
      <c r="Q77" s="678" t="str">
        <f>IF(PDs!AA181="-","-",PDs!AA181+O77)</f>
        <v>-</v>
      </c>
      <c r="R77" s="823"/>
      <c r="S77" s="1406"/>
      <c r="T77" s="1407"/>
      <c r="U77" s="1431"/>
      <c r="V77" s="3468"/>
      <c r="W77" s="3475"/>
      <c r="X77" s="3476"/>
      <c r="Y77" s="3476"/>
      <c r="Z77" s="3476"/>
      <c r="AA77" s="3476"/>
      <c r="AB77" s="3476"/>
      <c r="AC77" s="3476"/>
      <c r="AD77" s="3476"/>
      <c r="AE77" s="3476"/>
      <c r="AF77" s="3476"/>
      <c r="AG77" s="3476"/>
      <c r="AH77" s="3476"/>
      <c r="AI77" s="3476"/>
      <c r="AJ77" s="3477"/>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89" priority="63" stopIfTrue="1">
      <formula>NA()</formula>
    </cfRule>
    <cfRule type="expression" dxfId="1188" priority="64" stopIfTrue="1">
      <formula>NA()</formula>
    </cfRule>
  </conditionalFormatting>
  <conditionalFormatting sqref="F35">
    <cfRule type="expression" dxfId="1187" priority="65" stopIfTrue="1">
      <formula>A39=1</formula>
    </cfRule>
    <cfRule type="expression" dxfId="1186" priority="66" stopIfTrue="1">
      <formula>A39</formula>
    </cfRule>
  </conditionalFormatting>
  <conditionalFormatting sqref="AF35:AJ35">
    <cfRule type="expression" dxfId="1185" priority="75" stopIfTrue="1">
      <formula>F1=1</formula>
    </cfRule>
    <cfRule type="expression" dxfId="1184" priority="76" stopIfTrue="1">
      <formula>F1=2</formula>
    </cfRule>
  </conditionalFormatting>
  <conditionalFormatting sqref="AF30">
    <cfRule type="expression" dxfId="1183" priority="77" stopIfTrue="1">
      <formula>F1=1</formula>
    </cfRule>
    <cfRule type="expression" dxfId="1182" priority="78" stopIfTrue="1">
      <formula>F1=2</formula>
    </cfRule>
    <cfRule type="cellIs" dxfId="1181" priority="79" stopIfTrue="1" operator="equal">
      <formula>0</formula>
    </cfRule>
  </conditionalFormatting>
  <conditionalFormatting sqref="AI42 AI12:AI23">
    <cfRule type="cellIs" dxfId="1180" priority="80" stopIfTrue="1" operator="greaterThan">
      <formula>$AB$13</formula>
    </cfRule>
  </conditionalFormatting>
  <conditionalFormatting sqref="J34">
    <cfRule type="cellIs" dxfId="1179" priority="84" stopIfTrue="1" operator="lessThan">
      <formula>0</formula>
    </cfRule>
  </conditionalFormatting>
  <conditionalFormatting sqref="V30">
    <cfRule type="expression" dxfId="1178" priority="95" stopIfTrue="1">
      <formula>$V$39=1</formula>
    </cfRule>
    <cfRule type="expression" dxfId="1177" priority="96" stopIfTrue="1">
      <formula>$V$39=2</formula>
    </cfRule>
    <cfRule type="cellIs" dxfId="1176" priority="97" stopIfTrue="1" operator="equal">
      <formula>0</formula>
    </cfRule>
  </conditionalFormatting>
  <conditionalFormatting sqref="D35:E35">
    <cfRule type="expression" dxfId="1175" priority="131" stopIfTrue="1">
      <formula>NA()</formula>
    </cfRule>
    <cfRule type="expression" dxfId="1174" priority="132" stopIfTrue="1">
      <formula>NA()</formula>
    </cfRule>
  </conditionalFormatting>
  <conditionalFormatting sqref="C35">
    <cfRule type="expression" dxfId="1173" priority="133" stopIfTrue="1">
      <formula>NA()</formula>
    </cfRule>
    <cfRule type="expression" dxfId="1172" priority="134" stopIfTrue="1">
      <formula>NA()</formula>
    </cfRule>
  </conditionalFormatting>
  <conditionalFormatting sqref="D36:F36">
    <cfRule type="expression" dxfId="1171" priority="135" stopIfTrue="1">
      <formula>NA()</formula>
    </cfRule>
    <cfRule type="expression" dxfId="1170" priority="136" stopIfTrue="1">
      <formula>NA()</formula>
    </cfRule>
  </conditionalFormatting>
  <conditionalFormatting sqref="C36">
    <cfRule type="expression" dxfId="1169" priority="137" stopIfTrue="1">
      <formula>NA()</formula>
    </cfRule>
    <cfRule type="expression" dxfId="1168" priority="138" stopIfTrue="1">
      <formula>NA()</formula>
    </cfRule>
  </conditionalFormatting>
  <conditionalFormatting sqref="C40">
    <cfRule type="expression" dxfId="1167" priority="139" stopIfTrue="1">
      <formula>NA()</formula>
    </cfRule>
    <cfRule type="expression" dxfId="1166" priority="140" stopIfTrue="1">
      <formula>NA()</formula>
    </cfRule>
  </conditionalFormatting>
  <conditionalFormatting sqref="D38:F38">
    <cfRule type="expression" dxfId="1165" priority="141" stopIfTrue="1">
      <formula>NA()</formula>
    </cfRule>
    <cfRule type="expression" dxfId="1164" priority="142" stopIfTrue="1">
      <formula>NA()</formula>
    </cfRule>
  </conditionalFormatting>
  <conditionalFormatting sqref="C37:C38">
    <cfRule type="expression" dxfId="1163" priority="143" stopIfTrue="1">
      <formula>NA()</formula>
    </cfRule>
    <cfRule type="expression" dxfId="1162" priority="144" stopIfTrue="1">
      <formula>NA()</formula>
    </cfRule>
  </conditionalFormatting>
  <conditionalFormatting sqref="D37:F37">
    <cfRule type="expression" dxfId="1161" priority="145" stopIfTrue="1">
      <formula>NA()</formula>
    </cfRule>
    <cfRule type="expression" dxfId="1160" priority="146" stopIfTrue="1">
      <formula>NA()</formula>
    </cfRule>
  </conditionalFormatting>
  <conditionalFormatting sqref="AI70">
    <cfRule type="cellIs" dxfId="1159" priority="163" stopIfTrue="1" operator="greaterThan">
      <formula>$AB$13</formula>
    </cfRule>
  </conditionalFormatting>
  <conditionalFormatting sqref="V69">
    <cfRule type="cellIs" dxfId="1158" priority="164" stopIfTrue="1" operator="equal">
      <formula>"Armas naturales"</formula>
    </cfRule>
  </conditionalFormatting>
  <conditionalFormatting sqref="C46">
    <cfRule type="expression" dxfId="1157" priority="47" stopIfTrue="1">
      <formula>NA()</formula>
    </cfRule>
    <cfRule type="expression" dxfId="1156" priority="48" stopIfTrue="1">
      <formula>NA()</formula>
    </cfRule>
  </conditionalFormatting>
  <conditionalFormatting sqref="D43:F43">
    <cfRule type="expression" dxfId="1155" priority="51" stopIfTrue="1">
      <formula>NA()</formula>
    </cfRule>
    <cfRule type="expression" dxfId="1154" priority="52" stopIfTrue="1">
      <formula>NA()</formula>
    </cfRule>
  </conditionalFormatting>
  <conditionalFormatting sqref="C43">
    <cfRule type="expression" dxfId="1153" priority="53" stopIfTrue="1">
      <formula>NA()</formula>
    </cfRule>
    <cfRule type="expression" dxfId="1152" priority="54" stopIfTrue="1">
      <formula>NA()</formula>
    </cfRule>
  </conditionalFormatting>
  <conditionalFormatting sqref="C47">
    <cfRule type="expression" dxfId="1151" priority="55" stopIfTrue="1">
      <formula>NA()</formula>
    </cfRule>
    <cfRule type="expression" dxfId="1150" priority="56" stopIfTrue="1">
      <formula>NA()</formula>
    </cfRule>
  </conditionalFormatting>
  <conditionalFormatting sqref="D45:F45">
    <cfRule type="expression" dxfId="1149" priority="57" stopIfTrue="1">
      <formula>NA()</formula>
    </cfRule>
    <cfRule type="expression" dxfId="1148" priority="58" stopIfTrue="1">
      <formula>NA()</formula>
    </cfRule>
  </conditionalFormatting>
  <conditionalFormatting sqref="C44:C45">
    <cfRule type="expression" dxfId="1147" priority="59" stopIfTrue="1">
      <formula>NA()</formula>
    </cfRule>
    <cfRule type="expression" dxfId="1146" priority="60" stopIfTrue="1">
      <formula>NA()</formula>
    </cfRule>
  </conditionalFormatting>
  <conditionalFormatting sqref="D44:F44">
    <cfRule type="expression" dxfId="1145" priority="61" stopIfTrue="1">
      <formula>NA()</formula>
    </cfRule>
    <cfRule type="expression" dxfId="1144" priority="62" stopIfTrue="1">
      <formula>NA()</formula>
    </cfRule>
  </conditionalFormatting>
  <conditionalFormatting sqref="C49:F49 C43:F47">
    <cfRule type="expression" dxfId="1143" priority="1747">
      <formula>AND(NOT($AN$36),NOT($AN$37))</formula>
    </cfRule>
  </conditionalFormatting>
  <conditionalFormatting sqref="D48:F48">
    <cfRule type="expression" dxfId="1142" priority="35" stopIfTrue="1">
      <formula>NA()</formula>
    </cfRule>
    <cfRule type="expression" dxfId="1141" priority="36" stopIfTrue="1">
      <formula>NA()</formula>
    </cfRule>
  </conditionalFormatting>
  <conditionalFormatting sqref="C48">
    <cfRule type="expression" dxfId="1140" priority="33" stopIfTrue="1">
      <formula>NA()</formula>
    </cfRule>
    <cfRule type="expression" dxfId="1139" priority="34" stopIfTrue="1">
      <formula>NA()</formula>
    </cfRule>
  </conditionalFormatting>
  <conditionalFormatting sqref="C48:F48">
    <cfRule type="expression" dxfId="1138" priority="37">
      <formula>AND(NOT($AN$36),NOT($AN$37))</formula>
    </cfRule>
  </conditionalFormatting>
  <conditionalFormatting sqref="J54 F54">
    <cfRule type="cellIs" dxfId="1137" priority="32" operator="greaterThan">
      <formula>0</formula>
    </cfRule>
  </conditionalFormatting>
  <conditionalFormatting sqref="G54:J54">
    <cfRule type="expression" dxfId="1136" priority="31">
      <formula>$J$54&lt;=0</formula>
    </cfRule>
  </conditionalFormatting>
  <conditionalFormatting sqref="C54:F54">
    <cfRule type="expression" dxfId="1135" priority="30">
      <formula>$F$54&lt;=0</formula>
    </cfRule>
  </conditionalFormatting>
  <conditionalFormatting sqref="F54">
    <cfRule type="expression" dxfId="1134" priority="25">
      <formula>$F$54&gt;0</formula>
    </cfRule>
    <cfRule type="expression" dxfId="1133" priority="29">
      <formula>AND($C$54="",$G$54="")</formula>
    </cfRule>
  </conditionalFormatting>
  <conditionalFormatting sqref="Y23:Z23">
    <cfRule type="expression" dxfId="1132" priority="28">
      <formula>$AB$13&lt;30</formula>
    </cfRule>
  </conditionalFormatting>
  <conditionalFormatting sqref="E12">
    <cfRule type="expression" dxfId="1131" priority="7" stopIfTrue="1">
      <formula>OR(TipoDeCriatura="Ánima",TipoDeCriatura="Ánima, Elemental",TipoDeCriatura="No muerto, Espectro")</formula>
    </cfRule>
    <cfRule type="expression" dxfId="1130" priority="2286" stopIfTrue="1">
      <formula>$D$12="-"</formula>
    </cfRule>
  </conditionalFormatting>
  <conditionalFormatting sqref="E17">
    <cfRule type="expression" dxfId="1129" priority="2295" stopIfTrue="1">
      <formula>AND(OR($K$7="Ánima",$K$7="Ánima, Elemental",$K$7="No muerto, Espectro"),NOT($E$12=$E$17))</formula>
    </cfRule>
  </conditionalFormatting>
  <conditionalFormatting sqref="G54:I54">
    <cfRule type="expression" dxfId="1128" priority="24">
      <formula>$J$54&gt;0</formula>
    </cfRule>
  </conditionalFormatting>
  <conditionalFormatting sqref="AI43:AI69">
    <cfRule type="cellIs" dxfId="1127" priority="17" stopIfTrue="1" operator="greaterThan">
      <formula>$AB$13</formula>
    </cfRule>
  </conditionalFormatting>
  <conditionalFormatting sqref="AD13:AD23">
    <cfRule type="expression" dxfId="1126" priority="12" stopIfTrue="1">
      <formula>H2=1</formula>
    </cfRule>
    <cfRule type="expression" dxfId="1125" priority="13" stopIfTrue="1">
      <formula>H2=2</formula>
    </cfRule>
  </conditionalFormatting>
  <conditionalFormatting sqref="AB42:AE69">
    <cfRule type="containsText" dxfId="1124" priority="3" operator="containsText" text="Arma natural a distancia">
      <formula>NOT(ISERROR(SEARCH("Arma natural a distancia",AB42)))</formula>
    </cfRule>
    <cfRule type="expression" dxfId="1123" priority="4772">
      <formula>AND($AK42&lt;&gt;"",$AF42="")</formula>
    </cfRule>
  </conditionalFormatting>
  <conditionalFormatting sqref="AB42:AH69">
    <cfRule type="expression" dxfId="1122" priority="11">
      <formula>$AB42=""</formula>
    </cfRule>
  </conditionalFormatting>
  <conditionalFormatting sqref="AD12:AF23">
    <cfRule type="expression" dxfId="1121" priority="10">
      <formula>AND($AK12&lt;&gt;"",$AG12="")</formula>
    </cfRule>
  </conditionalFormatting>
  <conditionalFormatting sqref="AG12:AH23">
    <cfRule type="expression" dxfId="1120" priority="8">
      <formula>$AD12=""</formula>
    </cfRule>
  </conditionalFormatting>
  <conditionalFormatting sqref="E11:E14">
    <cfRule type="cellIs" dxfId="1119" priority="4814" stopIfTrue="1" operator="greaterThan">
      <formula>$T$2</formula>
    </cfRule>
  </conditionalFormatting>
  <conditionalFormatting sqref="E15:E18">
    <cfRule type="cellIs" dxfId="1118" priority="4815" operator="greaterThan">
      <formula>$T$3</formula>
    </cfRule>
  </conditionalFormatting>
  <conditionalFormatting sqref="AI42:AJ71 AI12:AJ23">
    <cfRule type="expression" dxfId="1117" priority="6" stopIfTrue="1">
      <formula>NOT(ISNUMBER($AI12))</formula>
    </cfRule>
  </conditionalFormatting>
  <conditionalFormatting sqref="AB13">
    <cfRule type="expression" dxfId="1116" priority="5" stopIfTrue="1">
      <formula>$AN$26</formula>
    </cfRule>
  </conditionalFormatting>
  <conditionalFormatting sqref="Y11:AB12">
    <cfRule type="expression" dxfId="1115" priority="4">
      <formula>$AN$25</formula>
    </cfRule>
  </conditionalFormatting>
  <conditionalFormatting sqref="I25:J29">
    <cfRule type="cellIs" dxfId="1114" priority="1" operator="greaterThan">
      <formula>0</formula>
    </cfRule>
    <cfRule type="cellIs" dxfId="1113"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zoomScaleNormal="100" zoomScaleSheetLayoutView="25" workbookViewId="0">
      <selection activeCell="P9" sqref="P9:R10"/>
    </sheetView>
  </sheetViews>
  <sheetFormatPr baseColWidth="10"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68"/>
      <c r="D4" s="3769"/>
      <c r="E4" s="3769"/>
      <c r="F4" s="3769"/>
      <c r="G4" s="3769"/>
      <c r="H4" s="3769"/>
      <c r="I4" s="683"/>
      <c r="J4" s="683"/>
      <c r="K4" s="683"/>
      <c r="L4" s="684"/>
      <c r="M4" s="685"/>
      <c r="O4" s="3748" t="s">
        <v>1762</v>
      </c>
      <c r="P4" s="3773" t="s">
        <v>1763</v>
      </c>
      <c r="Q4" s="3774"/>
      <c r="R4" s="3775"/>
      <c r="S4" s="1564" t="s">
        <v>1676</v>
      </c>
      <c r="T4" s="1565" t="s">
        <v>1638</v>
      </c>
      <c r="V4" s="3751" t="s">
        <v>9180</v>
      </c>
      <c r="W4" s="3752"/>
      <c r="X4" s="3752"/>
      <c r="Y4" s="3752"/>
      <c r="Z4" s="3752"/>
      <c r="AA4" s="3753"/>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70"/>
      <c r="D5" s="3308"/>
      <c r="E5" s="3308"/>
      <c r="F5" s="3308"/>
      <c r="G5" s="3308"/>
      <c r="H5" s="3308"/>
      <c r="I5" s="10"/>
      <c r="J5" s="10"/>
      <c r="K5" s="3224" t="str">
        <f>IF(OR(General!$F$22="",General!$F$22=0),"",General!$F$22)</f>
        <v/>
      </c>
      <c r="L5" s="3224"/>
      <c r="M5" s="686"/>
      <c r="O5" s="3749"/>
      <c r="P5" s="3905"/>
      <c r="Q5" s="3906"/>
      <c r="R5" s="3907"/>
      <c r="S5" s="3895"/>
      <c r="T5" s="3893">
        <f>IF($S$5&gt;0,(500+100*$S$5),400)</f>
        <v>400</v>
      </c>
      <c r="V5" s="3754"/>
      <c r="W5" s="3755"/>
      <c r="X5" s="3755"/>
      <c r="Y5" s="3755"/>
      <c r="Z5" s="3755"/>
      <c r="AA5" s="3756"/>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70"/>
      <c r="D6" s="3308"/>
      <c r="E6" s="3308"/>
      <c r="F6" s="3308"/>
      <c r="G6" s="3308"/>
      <c r="H6" s="3308"/>
      <c r="I6" s="3904"/>
      <c r="J6" s="3904"/>
      <c r="K6" s="3224"/>
      <c r="L6" s="3224"/>
      <c r="M6" s="686"/>
      <c r="O6" s="3749"/>
      <c r="P6" s="3908"/>
      <c r="Q6" s="3909"/>
      <c r="R6" s="3910"/>
      <c r="S6" s="3896"/>
      <c r="T6" s="3894"/>
      <c r="V6" s="3757" t="s">
        <v>9177</v>
      </c>
      <c r="W6" s="3758"/>
      <c r="X6" s="3758"/>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70"/>
      <c r="D7" s="3308"/>
      <c r="E7" s="3308"/>
      <c r="F7" s="3308"/>
      <c r="G7" s="3308"/>
      <c r="H7" s="3308"/>
      <c r="I7" s="3904" t="s">
        <v>1595</v>
      </c>
      <c r="J7" s="3904"/>
      <c r="K7" s="3224"/>
      <c r="L7" s="3224"/>
      <c r="M7" s="686"/>
      <c r="O7" s="3749"/>
      <c r="P7" s="3911"/>
      <c r="Q7" s="3912"/>
      <c r="R7" s="3913"/>
      <c r="S7" s="3899"/>
      <c r="T7" s="3903">
        <f>IF($S$7&gt;0,(100*$S$7),0)</f>
        <v>0</v>
      </c>
      <c r="V7" s="3701" t="str">
        <f>IF(AND(Categoría_1&lt;&gt;"",Categoría_2&lt;&gt;""),Categoría_1&amp;" a "&amp;Categoría_2,"-")</f>
        <v>-</v>
      </c>
      <c r="W7" s="3702"/>
      <c r="X7" s="3702"/>
      <c r="Y7" s="37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59"/>
      <c r="AA7" s="3760"/>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70"/>
      <c r="D8" s="3308"/>
      <c r="E8" s="3308"/>
      <c r="F8" s="3308"/>
      <c r="G8" s="3308"/>
      <c r="H8" s="3308"/>
      <c r="I8" s="3917" t="s">
        <v>1596</v>
      </c>
      <c r="J8" s="3917"/>
      <c r="K8" s="1519" t="str">
        <f>Principal!$L$5</f>
        <v/>
      </c>
      <c r="L8" s="682"/>
      <c r="M8" s="686"/>
      <c r="O8" s="3749"/>
      <c r="P8" s="3911"/>
      <c r="Q8" s="3912"/>
      <c r="R8" s="3913"/>
      <c r="S8" s="3899"/>
      <c r="T8" s="3903"/>
      <c r="V8" s="3701"/>
      <c r="W8" s="3702"/>
      <c r="X8" s="3702"/>
      <c r="Y8" s="3733"/>
      <c r="Z8" s="3759"/>
      <c r="AA8" s="3760"/>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70"/>
      <c r="D9" s="3308"/>
      <c r="E9" s="3308"/>
      <c r="F9" s="3308"/>
      <c r="G9" s="3308"/>
      <c r="H9" s="3308"/>
      <c r="I9" s="1554" t="s">
        <v>1597</v>
      </c>
      <c r="J9" s="39"/>
      <c r="K9" s="1555" t="str">
        <f>Principal!$P$5</f>
        <v>0 + 1</v>
      </c>
      <c r="L9" s="39"/>
      <c r="M9" s="1557"/>
      <c r="O9" s="3749"/>
      <c r="P9" s="3908"/>
      <c r="Q9" s="3909"/>
      <c r="R9" s="3910"/>
      <c r="S9" s="3897"/>
      <c r="T9" s="3766">
        <f>IF($S$9&gt;0,(100*$S$9),0)</f>
        <v>0</v>
      </c>
      <c r="V9" s="3703" t="str">
        <f>IF(AND(Categoría_2&lt;&gt;"",Categoría_3&lt;&gt;""),Categoría_2&amp;" a "&amp;Categoría_3,"-")</f>
        <v>-</v>
      </c>
      <c r="W9" s="3704"/>
      <c r="X9" s="3704"/>
      <c r="Y9" s="373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1"/>
      <c r="AA9" s="3762"/>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70"/>
      <c r="D10" s="3308"/>
      <c r="E10" s="3308"/>
      <c r="F10" s="3308"/>
      <c r="G10" s="3308"/>
      <c r="H10" s="3308"/>
      <c r="I10" s="3917" t="s">
        <v>1634</v>
      </c>
      <c r="J10" s="3917"/>
      <c r="K10" s="657">
        <f>Tamaño</f>
        <v>1</v>
      </c>
      <c r="L10" s="1519" t="str">
        <f>Principal!M6</f>
        <v>Medio</v>
      </c>
      <c r="M10" s="1557"/>
      <c r="O10" s="3749"/>
      <c r="P10" s="3908"/>
      <c r="Q10" s="3909"/>
      <c r="R10" s="3910"/>
      <c r="S10" s="3897"/>
      <c r="T10" s="3766"/>
      <c r="V10" s="3703"/>
      <c r="W10" s="3704"/>
      <c r="X10" s="3704"/>
      <c r="Y10" s="3734"/>
      <c r="Z10" s="3761"/>
      <c r="AA10" s="3762"/>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70"/>
      <c r="D11" s="3308"/>
      <c r="E11" s="3308"/>
      <c r="F11" s="3308"/>
      <c r="G11" s="3308"/>
      <c r="H11" s="3308"/>
      <c r="I11" s="41" t="s">
        <v>1636</v>
      </c>
      <c r="J11" s="3920" t="str">
        <f>IF(ISNUMBER(FIND("(",Principal!K7)),LEFT(Principal!K7,FIND("(",Principal!K7)-1),Principal!K7)</f>
        <v>Natural 10</v>
      </c>
      <c r="K11" s="3920"/>
      <c r="L11" s="3920"/>
      <c r="M11" s="1557"/>
      <c r="O11" s="3749"/>
      <c r="P11" s="3911"/>
      <c r="Q11" s="3912"/>
      <c r="R11" s="3913"/>
      <c r="S11" s="3698"/>
      <c r="T11" s="3765">
        <f>IF($S$11&gt;0,(100*$S$11),0)</f>
        <v>0</v>
      </c>
      <c r="V11" s="3701" t="str">
        <f>IF(AND(Categoría_3&lt;&gt;"",Categoría_4&lt;&gt;""),Categoría_3&amp;" a "&amp;Categoría_4,"-")</f>
        <v>-</v>
      </c>
      <c r="W11" s="3702"/>
      <c r="X11" s="3702"/>
      <c r="Y11" s="37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59"/>
      <c r="AA11" s="3760"/>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71"/>
      <c r="D12" s="3772"/>
      <c r="E12" s="3772"/>
      <c r="F12" s="3772"/>
      <c r="G12" s="3772"/>
      <c r="H12" s="3772"/>
      <c r="I12" s="41"/>
      <c r="J12" s="1633" t="str">
        <f>IF(ISNUMBER(FIND("(",Principal!K7)),MID(Principal!K7,FIND("(",Principal!K7),LEN(Principal!K7)),"")</f>
        <v/>
      </c>
      <c r="K12" s="1556"/>
      <c r="L12" s="1556"/>
      <c r="M12" s="687"/>
      <c r="O12" s="3749"/>
      <c r="P12" s="3911"/>
      <c r="Q12" s="3912"/>
      <c r="R12" s="3913"/>
      <c r="S12" s="3698"/>
      <c r="T12" s="3765"/>
      <c r="V12" s="3701"/>
      <c r="W12" s="3702"/>
      <c r="X12" s="3702"/>
      <c r="Y12" s="3733"/>
      <c r="Z12" s="3759"/>
      <c r="AA12" s="3760"/>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37" t="s">
        <v>1765</v>
      </c>
      <c r="D13" s="3738"/>
      <c r="E13" s="3738"/>
      <c r="F13" s="3738"/>
      <c r="G13" s="3738"/>
      <c r="H13" s="3738"/>
      <c r="I13" s="3738"/>
      <c r="J13" s="3738"/>
      <c r="K13" s="3738"/>
      <c r="L13" s="3738"/>
      <c r="M13" s="3739"/>
      <c r="O13" s="3749"/>
      <c r="P13" s="3908"/>
      <c r="Q13" s="3909"/>
      <c r="R13" s="3910"/>
      <c r="S13" s="3897"/>
      <c r="T13" s="3766">
        <f>IF($S$13&gt;0,(100*$S$13),0)</f>
        <v>0</v>
      </c>
      <c r="V13" s="3703" t="str">
        <f>IF(AND(Categoría_4&lt;&gt;"",Categoría_5&lt;&gt;""),Categoría_4&amp;" a "&amp;Categoría_5,"-")</f>
        <v>-</v>
      </c>
      <c r="W13" s="3704"/>
      <c r="X13" s="3704"/>
      <c r="Y13" s="373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1"/>
      <c r="AA13" s="3762"/>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40"/>
      <c r="D14" s="3225"/>
      <c r="E14" s="3225"/>
      <c r="F14" s="3225"/>
      <c r="G14" s="3225"/>
      <c r="H14" s="3225"/>
      <c r="I14" s="3225"/>
      <c r="J14" s="3225"/>
      <c r="K14" s="3225"/>
      <c r="L14" s="3225"/>
      <c r="M14" s="3741"/>
      <c r="O14" s="3749"/>
      <c r="P14" s="3914"/>
      <c r="Q14" s="3915"/>
      <c r="R14" s="3916"/>
      <c r="S14" s="3898"/>
      <c r="T14" s="3767"/>
      <c r="V14" s="3705"/>
      <c r="W14" s="3706"/>
      <c r="X14" s="3706"/>
      <c r="Y14" s="3745"/>
      <c r="Z14" s="3763"/>
      <c r="AA14" s="3764"/>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40"/>
      <c r="D15" s="3225"/>
      <c r="E15" s="3225"/>
      <c r="F15" s="3225"/>
      <c r="G15" s="3225"/>
      <c r="H15" s="3225"/>
      <c r="I15" s="3225"/>
      <c r="J15" s="3225"/>
      <c r="K15" s="3225"/>
      <c r="L15" s="3225"/>
      <c r="M15" s="3741"/>
      <c r="O15" s="3749"/>
      <c r="P15" s="3900" t="s">
        <v>1766</v>
      </c>
      <c r="Q15" s="3901"/>
      <c r="R15" s="3735">
        <f>SUM(S5:S14)</f>
        <v>0</v>
      </c>
      <c r="S15" s="3746" t="s">
        <v>1650</v>
      </c>
      <c r="T15" s="3918">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42"/>
      <c r="D16" s="3743"/>
      <c r="E16" s="3743"/>
      <c r="F16" s="3743"/>
      <c r="G16" s="3743"/>
      <c r="H16" s="3743"/>
      <c r="I16" s="3743"/>
      <c r="J16" s="3743"/>
      <c r="K16" s="3743"/>
      <c r="L16" s="3743"/>
      <c r="M16" s="3744"/>
      <c r="O16" s="3750"/>
      <c r="P16" s="3902"/>
      <c r="Q16" s="3599"/>
      <c r="R16" s="3736"/>
      <c r="S16" s="3747"/>
      <c r="T16" s="3919"/>
      <c r="V16" s="1572"/>
      <c r="W16" s="3689" t="s">
        <v>9186</v>
      </c>
      <c r="X16" s="3690"/>
      <c r="Y16" s="3690"/>
      <c r="Z16" s="3691"/>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92" t="str">
        <f>IF(Categoría_1=0,"",Categoría_1)</f>
        <v/>
      </c>
      <c r="M19" s="3693"/>
      <c r="N19" s="3696" t="str">
        <f>IF(Categoría_2=0,"",Categoría_2)</f>
        <v/>
      </c>
      <c r="O19" s="3693"/>
      <c r="P19" s="3696" t="str">
        <f>IF(Categoría_3=0,"",Categoría_3)</f>
        <v/>
      </c>
      <c r="Q19" s="3693"/>
      <c r="R19" s="3696" t="str">
        <f>IF(Categoría_4=0,"",Categoría_4)</f>
        <v/>
      </c>
      <c r="S19" s="3693"/>
      <c r="T19" s="3696" t="str">
        <f>IF(Categoría_5=0,"",Categoría_5)</f>
        <v/>
      </c>
      <c r="U19" s="3699"/>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94"/>
      <c r="M20" s="3695"/>
      <c r="N20" s="3697"/>
      <c r="O20" s="3695"/>
      <c r="P20" s="3697"/>
      <c r="Q20" s="3695"/>
      <c r="R20" s="3697"/>
      <c r="S20" s="3695"/>
      <c r="T20" s="3697"/>
      <c r="U20" s="3700"/>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23" t="s">
        <v>1667</v>
      </c>
      <c r="D21" s="688" t="s">
        <v>1672</v>
      </c>
      <c r="E21" s="3722" t="s">
        <v>1648</v>
      </c>
      <c r="F21" s="3723"/>
      <c r="G21" s="3723"/>
      <c r="H21" s="3723"/>
      <c r="I21" s="3723"/>
      <c r="J21" s="3723"/>
      <c r="K21" s="3724"/>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21" t="s">
        <v>1763</v>
      </c>
      <c r="Y21" s="3721"/>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25"/>
      <c r="D22" s="3859" t="s">
        <v>1638</v>
      </c>
      <c r="E22" s="3725" t="s">
        <v>1767</v>
      </c>
      <c r="F22" s="3620"/>
      <c r="G22" s="3620"/>
      <c r="H22" s="3620"/>
      <c r="I22" s="3620"/>
      <c r="J22" s="3620"/>
      <c r="K22" s="3726"/>
      <c r="L22" s="2950">
        <f>IF(L$19="",0,VLOOKUP(L$19,Tabla_Categorías,MATCH("Coste"&amp;$E22,Name_Tabla_Cat,FALSE),FALSE))</f>
        <v>0</v>
      </c>
      <c r="M22" s="2063"/>
      <c r="N22" s="2950">
        <f>IF(N$19="",0,VLOOKUP(N$19,Tabla_Categorías,MATCH("Coste"&amp;$E22,Name_Tabla_Cat,FALSE),FALSE))</f>
        <v>0</v>
      </c>
      <c r="O22" s="2063"/>
      <c r="P22" s="2950">
        <f>IF(P$19="",0,VLOOKUP(P$19,Tabla_Categorías,MATCH("Coste"&amp;$E22,Name_Tabla_Cat,FALSE),FALSE))</f>
        <v>0</v>
      </c>
      <c r="Q22" s="2063"/>
      <c r="R22" s="2950">
        <f>IF(R$19="",0,VLOOKUP(R$19,Tabla_Categorías,MATCH("Coste"&amp;$E22,Name_Tabla_Cat,FALSE),FALSE))</f>
        <v>0</v>
      </c>
      <c r="S22" s="2063"/>
      <c r="T22" s="2950">
        <f>IF(T$19="",0,VLOOKUP(T$19,Tabla_Categorías,MATCH("Coste"&amp;$E22,Name_Tabla_Cat,FALSE),FALSE))</f>
        <v>0</v>
      </c>
      <c r="U22" s="2063"/>
      <c r="V22" s="694">
        <f>IF(L22=0,0,TRUNC(M22/L22,0))+IF(N22=0,0,TRUNC(O22/N22,0))+IF(P22=0,0,TRUNC(Q22/P22,0))+IF(R22=0,0,TRUNC(S22/R22,0))+IF(T22=0,0,TRUNC(U22/T22,0))</f>
        <v>0</v>
      </c>
      <c r="W22" s="695">
        <f>Bono_Des</f>
        <v>0</v>
      </c>
      <c r="X22" s="3243">
        <f>MIN(50,HLOOKUP($E22,Bonos_Cat_Base,2,FALSE)+5*Nivel_Total*Tablas!$G$357)</f>
        <v>0</v>
      </c>
      <c r="Y22" s="3243"/>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25"/>
      <c r="D23" s="3858"/>
      <c r="E23" s="3727" t="s">
        <v>1768</v>
      </c>
      <c r="F23" s="3728"/>
      <c r="G23" s="3728"/>
      <c r="H23" s="3728"/>
      <c r="I23" s="3728"/>
      <c r="J23" s="3728"/>
      <c r="K23" s="3729"/>
      <c r="L23" s="2957">
        <f>IF(L$19="",0,VLOOKUP(L$19,Tabla_Categorías,MATCH("Coste"&amp;$E23,Name_Tabla_Cat,FALSE),FALSE))</f>
        <v>0</v>
      </c>
      <c r="M23" s="2945"/>
      <c r="N23" s="2957">
        <f>IF(N$19="",0,VLOOKUP(N$19,Tabla_Categorías,MATCH("Coste"&amp;$E23,Name_Tabla_Cat,FALSE),FALSE))</f>
        <v>0</v>
      </c>
      <c r="O23" s="2945"/>
      <c r="P23" s="2957">
        <f>IF(P$19="",0,VLOOKUP(P$19,Tabla_Categorías,MATCH("Coste"&amp;$E23,Name_Tabla_Cat,FALSE),FALSE))</f>
        <v>0</v>
      </c>
      <c r="Q23" s="2945"/>
      <c r="R23" s="2957">
        <f>IF(R$19="",0,VLOOKUP(R$19,Tabla_Categorías,MATCH("Coste"&amp;$E23,Name_Tabla_Cat,FALSE),FALSE))</f>
        <v>0</v>
      </c>
      <c r="S23" s="2945"/>
      <c r="T23" s="2957">
        <f>IF(T$19="",0,VLOOKUP(T$19,Tabla_Categorías,MATCH("Coste"&amp;$E23,Name_Tabla_Cat,FALSE),FALSE))</f>
        <v>0</v>
      </c>
      <c r="U23" s="2945"/>
      <c r="V23" s="78">
        <f>IF(L23=0,0,TRUNC(M23/L23,0))+IF(N23=0,0,TRUNC(O23/N23,0))+IF(P23=0,0,TRUNC(Q23/P23,0))+IF(R23=0,0,TRUNC(S23/R23,0))+IF(T23=0,0,TRUNC(U23/T23,0))</f>
        <v>0</v>
      </c>
      <c r="W23" s="659">
        <f>Bono_Des</f>
        <v>0</v>
      </c>
      <c r="X23" s="3702">
        <f>MIN(50,HLOOKUP($E23,Bonos_Cat_Base,2,FALSE)+5*Nivel_Total*Tablas!$G$358)</f>
        <v>0</v>
      </c>
      <c r="Y23" s="3702"/>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25"/>
      <c r="D24" s="3858"/>
      <c r="E24" s="3730" t="s">
        <v>1769</v>
      </c>
      <c r="F24" s="3362"/>
      <c r="G24" s="3362"/>
      <c r="H24" s="3362"/>
      <c r="I24" s="3362"/>
      <c r="J24" s="3362"/>
      <c r="K24" s="3731"/>
      <c r="L24" s="2951">
        <f>IF(L$19="",0,VLOOKUP(L$19,Tabla_Categorías,MATCH("Coste"&amp;$E24,Name_Tabla_Cat,FALSE),FALSE))</f>
        <v>0</v>
      </c>
      <c r="M24" s="2943"/>
      <c r="N24" s="2951">
        <f>IF(N$19="",0,VLOOKUP(N$19,Tabla_Categorías,MATCH("Coste"&amp;$E24,Name_Tabla_Cat,FALSE),FALSE))</f>
        <v>0</v>
      </c>
      <c r="O24" s="2943"/>
      <c r="P24" s="2951">
        <f>IF(P$19="",0,VLOOKUP(P$19,Tabla_Categorías,MATCH("Coste"&amp;$E24,Name_Tabla_Cat,FALSE),FALSE))</f>
        <v>0</v>
      </c>
      <c r="Q24" s="2943"/>
      <c r="R24" s="2951">
        <f>IF(R$19="",0,VLOOKUP(R$19,Tabla_Categorías,MATCH("Coste"&amp;$E24,Name_Tabla_Cat,FALSE),FALSE))</f>
        <v>0</v>
      </c>
      <c r="S24" s="2943"/>
      <c r="T24" s="2951">
        <f>IF(T$19="",0,VLOOKUP(T$19,Tabla_Categorías,MATCH("Coste"&amp;$E24,Name_Tabla_Cat,FALSE),FALSE))</f>
        <v>0</v>
      </c>
      <c r="U24" s="2943"/>
      <c r="V24" s="76">
        <f>IF(L24=0,0,TRUNC(M24/L24,0))+IF(N24=0,0,TRUNC(O24/N24,0))+IF(P24=0,0,TRUNC(Q24/P24,0))+IF(R24=0,0,TRUNC(S24/R24,0))+IF(T24=0,0,TRUNC(U24/T24,0))</f>
        <v>0</v>
      </c>
      <c r="W24" s="662">
        <f>Bono_Agi</f>
        <v>0</v>
      </c>
      <c r="X24" s="3416">
        <f>MIN(50,HLOOKUP($E24,Bonos_Cat_Base,2,FALSE)+5*Nivel_Total*Tablas!$G$359)</f>
        <v>0</v>
      </c>
      <c r="Y24" s="3416"/>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25"/>
      <c r="D25" s="3858"/>
      <c r="E25" s="3727" t="s">
        <v>1770</v>
      </c>
      <c r="F25" s="3728"/>
      <c r="G25" s="3728"/>
      <c r="H25" s="3728"/>
      <c r="I25" s="3728"/>
      <c r="J25" s="3728"/>
      <c r="K25" s="3729"/>
      <c r="L25" s="2957">
        <f>IF(L$19="",0,VLOOKUP(L$19,Tabla_Categorías,MATCH("Coste"&amp;$E25,Name_Tabla_Cat,FALSE),FALSE))</f>
        <v>0</v>
      </c>
      <c r="M25" s="2945"/>
      <c r="N25" s="2957">
        <f>IF(N$19="",0,VLOOKUP(N$19,Tabla_Categorías,MATCH("Coste"&amp;$E25,Name_Tabla_Cat,FALSE),FALSE))</f>
        <v>0</v>
      </c>
      <c r="O25" s="2945"/>
      <c r="P25" s="2957">
        <f>IF(P$19="",0,VLOOKUP(P$19,Tabla_Categorías,MATCH("Coste"&amp;$E25,Name_Tabla_Cat,FALSE),FALSE))</f>
        <v>0</v>
      </c>
      <c r="Q25" s="2945"/>
      <c r="R25" s="2957">
        <f>IF(R$19="",0,VLOOKUP(R$19,Tabla_Categorías,MATCH("Coste"&amp;$E25,Name_Tabla_Cat,FALSE),FALSE))</f>
        <v>0</v>
      </c>
      <c r="S25" s="2945"/>
      <c r="T25" s="2957">
        <f>IF(T$19="",0,VLOOKUP(T$19,Tabla_Categorías,MATCH("Coste"&amp;$E25,Name_Tabla_Cat,FALSE),FALSE))</f>
        <v>0</v>
      </c>
      <c r="U25" s="2945"/>
      <c r="V25" s="78">
        <f>IF(L25=0,0,TRUNC(M25/L25,0))+IF(N25=0,0,TRUNC(O25/N25,0))+IF(P25=0,0,TRUNC(Q25/P25,0))+IF(R25=0,0,TRUNC(S25/R25,0))+IF(T25=0,0,TRUNC(U25/T25,0))</f>
        <v>0</v>
      </c>
      <c r="W25" s="659">
        <f>Bono_Fue+Nivel_Total*(5*Tablas!$G$361+10*Tablas!$G$362+15*Tablas!$G$363)</f>
        <v>0</v>
      </c>
      <c r="X25" s="3713">
        <f>HLOOKUP($E25,Bonos_Cat_Base,2,FALSE)</f>
        <v>0</v>
      </c>
      <c r="Y25" s="3713">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25"/>
      <c r="D26" s="3860"/>
      <c r="E26" s="2967"/>
      <c r="F26" s="2968"/>
      <c r="G26" s="2968"/>
      <c r="H26" s="2968"/>
      <c r="I26" s="2968"/>
      <c r="J26" s="2968"/>
      <c r="K26" s="2968"/>
      <c r="L26" s="2968"/>
      <c r="M26" s="2968"/>
      <c r="N26" s="2968"/>
      <c r="O26" s="2968"/>
      <c r="P26" s="2968"/>
      <c r="Q26" s="2968"/>
      <c r="R26" s="2968"/>
      <c r="S26" s="2968"/>
      <c r="T26" s="2968"/>
      <c r="U26" s="2968"/>
      <c r="V26" s="2968"/>
      <c r="W26" s="2968"/>
      <c r="X26" s="2968"/>
      <c r="Y26" s="2968"/>
      <c r="Z26" s="296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25"/>
      <c r="D27" s="3857" t="s">
        <v>1771</v>
      </c>
      <c r="E27" s="3882" t="s">
        <v>1646</v>
      </c>
      <c r="F27" s="3795"/>
      <c r="G27" s="3795"/>
      <c r="H27" s="3795"/>
      <c r="I27" s="3795"/>
      <c r="J27" s="3795"/>
      <c r="K27" s="3883"/>
      <c r="L27" s="2952">
        <f t="shared" ref="L27:L38" si="0">IF(L$19="",0,VLOOKUP(L$19,Tabla_Categorías,MATCH("CosteKi",Name_Tabla_Cat,FALSE),FALSE))</f>
        <v>0</v>
      </c>
      <c r="M27" s="2065"/>
      <c r="N27" s="2952">
        <f t="shared" ref="N27:N38" si="1">IF(N$19="",0,VLOOKUP(N$19,Tabla_Categorías,MATCH("CosteKi",Name_Tabla_Cat,FALSE),FALSE))</f>
        <v>0</v>
      </c>
      <c r="O27" s="2065"/>
      <c r="P27" s="2952">
        <f t="shared" ref="P27:P38" si="2">IF(P$19="",0,VLOOKUP(P$19,Tabla_Categorías,MATCH("CosteKi",Name_Tabla_Cat,FALSE),FALSE))</f>
        <v>0</v>
      </c>
      <c r="Q27" s="2065"/>
      <c r="R27" s="2952">
        <f t="shared" ref="R27:R38" si="3">IF(R$19="",0,VLOOKUP(R$19,Tabla_Categorías,MATCH("CosteKi",Name_Tabla_Cat,FALSE),FALSE))</f>
        <v>0</v>
      </c>
      <c r="S27" s="2065"/>
      <c r="T27" s="2952">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3732" t="s">
        <v>1729</v>
      </c>
      <c r="Y27" s="3732"/>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25"/>
      <c r="D28" s="3858"/>
      <c r="E28" s="3727" t="s">
        <v>1772</v>
      </c>
      <c r="F28" s="3728"/>
      <c r="G28" s="3728"/>
      <c r="H28" s="3728"/>
      <c r="I28" s="3728"/>
      <c r="J28" s="3728"/>
      <c r="K28" s="3729"/>
      <c r="L28" s="2958">
        <f t="shared" si="0"/>
        <v>0</v>
      </c>
      <c r="M28" s="2945"/>
      <c r="N28" s="2958">
        <f t="shared" si="1"/>
        <v>0</v>
      </c>
      <c r="O28" s="2945"/>
      <c r="P28" s="2958">
        <f t="shared" si="2"/>
        <v>0</v>
      </c>
      <c r="Q28" s="2945"/>
      <c r="R28" s="2958">
        <f t="shared" si="3"/>
        <v>0</v>
      </c>
      <c r="S28" s="2945"/>
      <c r="T28" s="2958">
        <f t="shared" si="4"/>
        <v>0</v>
      </c>
      <c r="U28" s="2945"/>
      <c r="V28" s="570">
        <f t="shared" si="5"/>
        <v>0</v>
      </c>
      <c r="W28" s="664">
        <f>CON+IF(CON-10&gt;0,CON-10,0)</f>
        <v>0</v>
      </c>
      <c r="X28" s="3702" t="s">
        <v>1729</v>
      </c>
      <c r="Y28" s="3702"/>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25"/>
      <c r="D29" s="3858"/>
      <c r="E29" s="3730" t="s">
        <v>1651</v>
      </c>
      <c r="F29" s="3362"/>
      <c r="G29" s="3362"/>
      <c r="H29" s="3362"/>
      <c r="I29" s="3362"/>
      <c r="J29" s="3362"/>
      <c r="K29" s="3731"/>
      <c r="L29" s="2953">
        <f t="shared" si="0"/>
        <v>0</v>
      </c>
      <c r="M29" s="2943"/>
      <c r="N29" s="2953">
        <f t="shared" si="1"/>
        <v>0</v>
      </c>
      <c r="O29" s="2943"/>
      <c r="P29" s="2953">
        <f t="shared" si="2"/>
        <v>0</v>
      </c>
      <c r="Q29" s="2943"/>
      <c r="R29" s="2953">
        <f t="shared" si="3"/>
        <v>0</v>
      </c>
      <c r="S29" s="2943"/>
      <c r="T29" s="2953">
        <f t="shared" si="4"/>
        <v>0</v>
      </c>
      <c r="U29" s="2943"/>
      <c r="V29" s="571">
        <f t="shared" si="5"/>
        <v>0</v>
      </c>
      <c r="W29" s="665">
        <f>DES+IF(DES-10&gt;0,DES-10,0)</f>
        <v>0</v>
      </c>
      <c r="X29" s="3416" t="s">
        <v>1729</v>
      </c>
      <c r="Y29" s="3416"/>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25"/>
      <c r="D30" s="3858"/>
      <c r="E30" s="3727" t="s">
        <v>1656</v>
      </c>
      <c r="F30" s="3728"/>
      <c r="G30" s="3728"/>
      <c r="H30" s="3728"/>
      <c r="I30" s="3728"/>
      <c r="J30" s="3728"/>
      <c r="K30" s="3729"/>
      <c r="L30" s="2958">
        <f t="shared" si="0"/>
        <v>0</v>
      </c>
      <c r="M30" s="2945"/>
      <c r="N30" s="2958">
        <f t="shared" si="1"/>
        <v>0</v>
      </c>
      <c r="O30" s="2945"/>
      <c r="P30" s="2958">
        <f t="shared" si="2"/>
        <v>0</v>
      </c>
      <c r="Q30" s="2945"/>
      <c r="R30" s="2958">
        <f t="shared" si="3"/>
        <v>0</v>
      </c>
      <c r="S30" s="2945"/>
      <c r="T30" s="2958">
        <f t="shared" si="4"/>
        <v>0</v>
      </c>
      <c r="U30" s="2945"/>
      <c r="V30" s="570">
        <f t="shared" si="5"/>
        <v>0</v>
      </c>
      <c r="W30" s="664">
        <f>FUE+IF(FUE-10&gt;0,FUE-10,0)</f>
        <v>0</v>
      </c>
      <c r="X30" s="3702" t="s">
        <v>1729</v>
      </c>
      <c r="Y30" s="3702"/>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25"/>
      <c r="D31" s="3858"/>
      <c r="E31" s="3730" t="s">
        <v>1664</v>
      </c>
      <c r="F31" s="3362"/>
      <c r="G31" s="3362"/>
      <c r="H31" s="3362"/>
      <c r="I31" s="3362"/>
      <c r="J31" s="3362"/>
      <c r="K31" s="3731"/>
      <c r="L31" s="2953">
        <f t="shared" si="0"/>
        <v>0</v>
      </c>
      <c r="M31" s="2943"/>
      <c r="N31" s="2953">
        <f t="shared" si="1"/>
        <v>0</v>
      </c>
      <c r="O31" s="2943"/>
      <c r="P31" s="2953">
        <f t="shared" si="2"/>
        <v>0</v>
      </c>
      <c r="Q31" s="2943"/>
      <c r="R31" s="2953">
        <f t="shared" si="3"/>
        <v>0</v>
      </c>
      <c r="S31" s="2943"/>
      <c r="T31" s="2953">
        <f t="shared" si="4"/>
        <v>0</v>
      </c>
      <c r="U31" s="2943"/>
      <c r="V31" s="571">
        <f t="shared" si="5"/>
        <v>0</v>
      </c>
      <c r="W31" s="665">
        <f>POD+IF(POD-10&gt;0,POD-10,0)</f>
        <v>0</v>
      </c>
      <c r="X31" s="3416" t="s">
        <v>1729</v>
      </c>
      <c r="Y31" s="3416"/>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25"/>
      <c r="D32" s="3858"/>
      <c r="E32" s="3727" t="s">
        <v>1665</v>
      </c>
      <c r="F32" s="3728"/>
      <c r="G32" s="3728"/>
      <c r="H32" s="3728"/>
      <c r="I32" s="3728"/>
      <c r="J32" s="3728"/>
      <c r="K32" s="3729"/>
      <c r="L32" s="2959">
        <f t="shared" si="0"/>
        <v>0</v>
      </c>
      <c r="M32" s="2084"/>
      <c r="N32" s="2959">
        <f t="shared" si="1"/>
        <v>0</v>
      </c>
      <c r="O32" s="2084"/>
      <c r="P32" s="2959">
        <f t="shared" si="2"/>
        <v>0</v>
      </c>
      <c r="Q32" s="2084"/>
      <c r="R32" s="2959">
        <f t="shared" si="3"/>
        <v>0</v>
      </c>
      <c r="S32" s="2084"/>
      <c r="T32" s="2959">
        <f t="shared" si="4"/>
        <v>0</v>
      </c>
      <c r="U32" s="2084"/>
      <c r="V32" s="572">
        <f t="shared" si="5"/>
        <v>0</v>
      </c>
      <c r="W32" s="568">
        <f>VOL+IF(VOL-10&gt;0,VOL-10,0)</f>
        <v>0</v>
      </c>
      <c r="X32" s="3713" t="s">
        <v>1729</v>
      </c>
      <c r="Y32" s="3713"/>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25"/>
      <c r="D33" s="3861" t="s">
        <v>1773</v>
      </c>
      <c r="E33" s="3882" t="s">
        <v>1646</v>
      </c>
      <c r="F33" s="3795"/>
      <c r="G33" s="3795"/>
      <c r="H33" s="3795"/>
      <c r="I33" s="3795"/>
      <c r="J33" s="3795"/>
      <c r="K33" s="3892"/>
      <c r="L33" s="2954">
        <f t="shared" si="0"/>
        <v>0</v>
      </c>
      <c r="M33" s="2941"/>
      <c r="N33" s="2954">
        <f t="shared" si="1"/>
        <v>0</v>
      </c>
      <c r="O33" s="2941"/>
      <c r="P33" s="2954">
        <f t="shared" si="2"/>
        <v>0</v>
      </c>
      <c r="Q33" s="2941"/>
      <c r="R33" s="2954">
        <f t="shared" si="3"/>
        <v>0</v>
      </c>
      <c r="S33" s="2941"/>
      <c r="T33" s="2954">
        <f t="shared" si="4"/>
        <v>0</v>
      </c>
      <c r="U33" s="2941"/>
      <c r="V33" s="573">
        <f t="shared" si="5"/>
        <v>0</v>
      </c>
      <c r="W33" s="366">
        <f>IF(AGI=0,0,VLOOKUP(AGI,Tabla_Acum,2))</f>
        <v>0</v>
      </c>
      <c r="X33" s="3714" t="s">
        <v>1729</v>
      </c>
      <c r="Y33" s="3714"/>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25"/>
      <c r="D34" s="3858"/>
      <c r="E34" s="3727" t="s">
        <v>1772</v>
      </c>
      <c r="F34" s="3728"/>
      <c r="G34" s="3728"/>
      <c r="H34" s="3728"/>
      <c r="I34" s="3728"/>
      <c r="J34" s="3728"/>
      <c r="K34" s="3884"/>
      <c r="L34" s="2958">
        <f t="shared" si="0"/>
        <v>0</v>
      </c>
      <c r="M34" s="2945"/>
      <c r="N34" s="2958">
        <f t="shared" si="1"/>
        <v>0</v>
      </c>
      <c r="O34" s="2945"/>
      <c r="P34" s="2958">
        <f t="shared" si="2"/>
        <v>0</v>
      </c>
      <c r="Q34" s="2945"/>
      <c r="R34" s="2958">
        <f t="shared" si="3"/>
        <v>0</v>
      </c>
      <c r="S34" s="2945"/>
      <c r="T34" s="2958">
        <f t="shared" si="4"/>
        <v>0</v>
      </c>
      <c r="U34" s="2945"/>
      <c r="V34" s="570">
        <f t="shared" si="5"/>
        <v>0</v>
      </c>
      <c r="W34" s="664">
        <f>IF(CON=0,0,VLOOKUP(CON,Tabla_Acum,2))</f>
        <v>0</v>
      </c>
      <c r="X34" s="3702" t="s">
        <v>1729</v>
      </c>
      <c r="Y34" s="3702"/>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25"/>
      <c r="D35" s="3858"/>
      <c r="E35" s="3730" t="s">
        <v>1651</v>
      </c>
      <c r="F35" s="3362"/>
      <c r="G35" s="3362"/>
      <c r="H35" s="3362"/>
      <c r="I35" s="3362"/>
      <c r="J35" s="3362"/>
      <c r="K35" s="3885"/>
      <c r="L35" s="2953">
        <f t="shared" si="0"/>
        <v>0</v>
      </c>
      <c r="M35" s="2943"/>
      <c r="N35" s="2953">
        <f t="shared" si="1"/>
        <v>0</v>
      </c>
      <c r="O35" s="2943"/>
      <c r="P35" s="2953">
        <f t="shared" si="2"/>
        <v>0</v>
      </c>
      <c r="Q35" s="2943"/>
      <c r="R35" s="2953">
        <f t="shared" si="3"/>
        <v>0</v>
      </c>
      <c r="S35" s="2943"/>
      <c r="T35" s="2953">
        <f t="shared" si="4"/>
        <v>0</v>
      </c>
      <c r="U35" s="2943"/>
      <c r="V35" s="571">
        <f t="shared" si="5"/>
        <v>0</v>
      </c>
      <c r="W35" s="665">
        <f>IF(DES=0,0,VLOOKUP(DES,Tabla_Acum,2))</f>
        <v>0</v>
      </c>
      <c r="X35" s="3416" t="s">
        <v>1729</v>
      </c>
      <c r="Y35" s="3416"/>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25"/>
      <c r="D36" s="3858"/>
      <c r="E36" s="3727" t="s">
        <v>1656</v>
      </c>
      <c r="F36" s="3728"/>
      <c r="G36" s="3728"/>
      <c r="H36" s="3728"/>
      <c r="I36" s="3728"/>
      <c r="J36" s="3728"/>
      <c r="K36" s="3884"/>
      <c r="L36" s="2958">
        <f t="shared" si="0"/>
        <v>0</v>
      </c>
      <c r="M36" s="2945"/>
      <c r="N36" s="2958">
        <f t="shared" si="1"/>
        <v>0</v>
      </c>
      <c r="O36" s="2945"/>
      <c r="P36" s="2958">
        <f t="shared" si="2"/>
        <v>0</v>
      </c>
      <c r="Q36" s="2945"/>
      <c r="R36" s="2958">
        <f t="shared" si="3"/>
        <v>0</v>
      </c>
      <c r="S36" s="2945"/>
      <c r="T36" s="2958">
        <f t="shared" si="4"/>
        <v>0</v>
      </c>
      <c r="U36" s="2945"/>
      <c r="V36" s="570">
        <f t="shared" si="5"/>
        <v>0</v>
      </c>
      <c r="W36" s="664">
        <f>IF(FUE=0,0,VLOOKUP(FUE,Tabla_Acum,2))</f>
        <v>0</v>
      </c>
      <c r="X36" s="3702" t="s">
        <v>1729</v>
      </c>
      <c r="Y36" s="3702"/>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25"/>
      <c r="D37" s="3858"/>
      <c r="E37" s="3730" t="s">
        <v>1664</v>
      </c>
      <c r="F37" s="3362"/>
      <c r="G37" s="3362"/>
      <c r="H37" s="3362"/>
      <c r="I37" s="3362"/>
      <c r="J37" s="3362"/>
      <c r="K37" s="3885"/>
      <c r="L37" s="2953">
        <f t="shared" si="0"/>
        <v>0</v>
      </c>
      <c r="M37" s="2943"/>
      <c r="N37" s="2953">
        <f t="shared" si="1"/>
        <v>0</v>
      </c>
      <c r="O37" s="2943"/>
      <c r="P37" s="2953">
        <f t="shared" si="2"/>
        <v>0</v>
      </c>
      <c r="Q37" s="2943"/>
      <c r="R37" s="2953">
        <f t="shared" si="3"/>
        <v>0</v>
      </c>
      <c r="S37" s="2943"/>
      <c r="T37" s="2953">
        <f t="shared" si="4"/>
        <v>0</v>
      </c>
      <c r="U37" s="2943"/>
      <c r="V37" s="571">
        <f t="shared" si="5"/>
        <v>0</v>
      </c>
      <c r="W37" s="665">
        <f>IF(POD=0,0,VLOOKUP(POD,Tabla_Acum,2))</f>
        <v>0</v>
      </c>
      <c r="X37" s="3416" t="s">
        <v>1729</v>
      </c>
      <c r="Y37" s="3416"/>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25"/>
      <c r="D38" s="3862"/>
      <c r="E38" s="3886" t="s">
        <v>1665</v>
      </c>
      <c r="F38" s="3887"/>
      <c r="G38" s="3887"/>
      <c r="H38" s="3887"/>
      <c r="I38" s="3887"/>
      <c r="J38" s="3887"/>
      <c r="K38" s="3888"/>
      <c r="L38" s="2959">
        <f t="shared" si="0"/>
        <v>0</v>
      </c>
      <c r="M38" s="2084"/>
      <c r="N38" s="2959">
        <f t="shared" si="1"/>
        <v>0</v>
      </c>
      <c r="O38" s="2084"/>
      <c r="P38" s="2959">
        <f t="shared" si="2"/>
        <v>0</v>
      </c>
      <c r="Q38" s="2084"/>
      <c r="R38" s="2959">
        <f t="shared" si="3"/>
        <v>0</v>
      </c>
      <c r="S38" s="2084"/>
      <c r="T38" s="2959">
        <f t="shared" si="4"/>
        <v>0</v>
      </c>
      <c r="U38" s="2084"/>
      <c r="V38" s="572">
        <f t="shared" si="5"/>
        <v>0</v>
      </c>
      <c r="W38" s="574">
        <f>IF(VOL=0,0,VLOOKUP(VOL,Tabla_Acum,2))</f>
        <v>0</v>
      </c>
      <c r="X38" s="3863" t="s">
        <v>1729</v>
      </c>
      <c r="Y38" s="3863"/>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25"/>
      <c r="D39" s="706" t="s">
        <v>1774</v>
      </c>
      <c r="E39" s="3889" t="s">
        <v>1775</v>
      </c>
      <c r="F39" s="3890"/>
      <c r="G39" s="3890"/>
      <c r="H39" s="3890"/>
      <c r="I39" s="3890"/>
      <c r="J39" s="3890"/>
      <c r="K39" s="3891"/>
      <c r="L39" s="2955">
        <v>5</v>
      </c>
      <c r="M39" s="2067"/>
      <c r="N39" s="2955">
        <v>5</v>
      </c>
      <c r="O39" s="2067"/>
      <c r="P39" s="2955">
        <v>5</v>
      </c>
      <c r="Q39" s="2067"/>
      <c r="R39" s="2955">
        <v>5</v>
      </c>
      <c r="S39" s="2067"/>
      <c r="T39" s="2955">
        <v>5</v>
      </c>
      <c r="U39" s="2067"/>
      <c r="V39" s="575">
        <f>(IF(L39=0,0,TRUNC(M39/L39,0))+IF(N39=0,0,TRUNC(O39/N39,0))+IF(P39=0,0,TRUNC(Q39/P39,0))+IF(R39=0,0,TRUNC(S39/R39,0))+IF(T39=0,0,TRUNC(U39/T39,0)))*5</f>
        <v>0</v>
      </c>
      <c r="W39" s="576">
        <f>SUM(Combate!AQ31:AQ49)+Tablas!G329*40+Tablas!G330*80+Tablas!G331*120</f>
        <v>0</v>
      </c>
      <c r="X39" s="3864">
        <f>HLOOKUP($E39,Bonos_Cat_Base,2,FALSE)</f>
        <v>0</v>
      </c>
      <c r="Y39" s="3864">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25"/>
      <c r="D40" s="3857" t="s">
        <v>1776</v>
      </c>
      <c r="E40" s="3836"/>
      <c r="F40" s="3837"/>
      <c r="G40" s="3837"/>
      <c r="H40" s="3837"/>
      <c r="I40" s="3837"/>
      <c r="J40" s="3837"/>
      <c r="K40" s="3838"/>
      <c r="L40" s="2960" t="str">
        <f>IF($E40=0,"",TRUNC(IF(L$19="Maestro de armas",0.5,1)*VLOOKUP($E40,Tablas!$X$575:$Y$580,2,FALSE),0))</f>
        <v/>
      </c>
      <c r="M40" s="2085"/>
      <c r="N40" s="2960" t="str">
        <f>IF($E40=0,"",TRUNC(IF(N$19="Maestro de armas",0.5,1)*VLOOKUP($E40,Tablas!$X$575:$Y$580,2,FALSE),0))</f>
        <v/>
      </c>
      <c r="O40" s="2085"/>
      <c r="P40" s="2960" t="str">
        <f>IF($E40=0,"",TRUNC(IF(P$19="Maestro de armas",0.5,1)*VLOOKUP($E40,Tablas!$X$575:$Y$580,2,FALSE),0))</f>
        <v/>
      </c>
      <c r="Q40" s="2085"/>
      <c r="R40" s="2960" t="str">
        <f>IF($E40=0,"",TRUNC(IF(R$19="Maestro de armas",0.5,1)*VLOOKUP($E40,Tablas!$X$575:$Y$580,2,FALSE),0))</f>
        <v/>
      </c>
      <c r="S40" s="2085"/>
      <c r="T40" s="2960" t="str">
        <f>IF($E40=0,"",TRUNC(IF(T$19="Maestro de armas",0.5,1)*VLOOKUP($E40,Tablas!$X$575:$Y$580,2,FALSE),0))</f>
        <v/>
      </c>
      <c r="U40" s="2085"/>
      <c r="V40" s="3717" t="str">
        <f t="shared" ref="V40:V45" si="8">IF(E40=0,"",VLOOKUP(E40,Tabla_TablasArmas,3,FALSE))</f>
        <v/>
      </c>
      <c r="W40" s="3718"/>
      <c r="X40" s="3718"/>
      <c r="Y40" s="3867"/>
      <c r="Z40" s="3867"/>
      <c r="AA40" s="3868"/>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25"/>
      <c r="D41" s="3858"/>
      <c r="E41" s="3839"/>
      <c r="F41" s="3840"/>
      <c r="G41" s="3840"/>
      <c r="H41" s="3840"/>
      <c r="I41" s="3840"/>
      <c r="J41" s="3840"/>
      <c r="K41" s="3841"/>
      <c r="L41" s="2953" t="str">
        <f>IF($E41=0,"",TRUNC(IF(L$19="Maestro de armas",0.5,1)*VLOOKUP($E41,Tablas!$X$575:$Y$580,2,FALSE),0))</f>
        <v/>
      </c>
      <c r="M41" s="2942"/>
      <c r="N41" s="2953" t="str">
        <f>IF($E41=0,"",TRUNC(IF(N$19="Maestro de armas",0.5,1)*VLOOKUP($E41,Tablas!$X$575:$Y$580,2,FALSE),0))</f>
        <v/>
      </c>
      <c r="O41" s="2942"/>
      <c r="P41" s="2953" t="str">
        <f>IF($E41=0,"",TRUNC(IF(P$19="Maestro de armas",0.5,1)*VLOOKUP($E41,Tablas!$X$575:$Y$580,2,FALSE),0))</f>
        <v/>
      </c>
      <c r="Q41" s="2942"/>
      <c r="R41" s="2953" t="str">
        <f>IF($E41=0,"",TRUNC(IF(R$19="Maestro de armas",0.5,1)*VLOOKUP($E41,Tablas!$X$575:$Y$580,2,FALSE),0))</f>
        <v/>
      </c>
      <c r="S41" s="2942"/>
      <c r="T41" s="2953" t="str">
        <f>IF($E41=0,"",TRUNC(IF(T$19="Maestro de armas",0.5,1)*VLOOKUP($E41,Tablas!$X$575:$Y$580,2,FALSE),0))</f>
        <v/>
      </c>
      <c r="U41" s="2942"/>
      <c r="V41" s="3719" t="str">
        <f t="shared" si="8"/>
        <v/>
      </c>
      <c r="W41" s="3720"/>
      <c r="X41" s="3720"/>
      <c r="Y41" s="3869"/>
      <c r="Z41" s="3869"/>
      <c r="AA41" s="3870"/>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25"/>
      <c r="D42" s="3858"/>
      <c r="E42" s="3836"/>
      <c r="F42" s="3837"/>
      <c r="G42" s="3837"/>
      <c r="H42" s="3837"/>
      <c r="I42" s="3837"/>
      <c r="J42" s="3837"/>
      <c r="K42" s="3838"/>
      <c r="L42" s="2958" t="str">
        <f>IF($E42=0,"",TRUNC(IF(L$19="Maestro de armas",0.5,1)*VLOOKUP($E42,Tablas!$X$575:$Y$580,2,FALSE),0))</f>
        <v/>
      </c>
      <c r="M42" s="2944"/>
      <c r="N42" s="2958" t="str">
        <f>IF($E42=0,"",TRUNC(IF(N$19="Maestro de armas",0.5,1)*VLOOKUP($E42,Tablas!$X$575:$Y$580,2,FALSE),0))</f>
        <v/>
      </c>
      <c r="O42" s="2944"/>
      <c r="P42" s="2958" t="str">
        <f>IF($E42=0,"",TRUNC(IF(P$19="Maestro de armas",0.5,1)*VLOOKUP($E42,Tablas!$X$575:$Y$580,2,FALSE),0))</f>
        <v/>
      </c>
      <c r="Q42" s="2944"/>
      <c r="R42" s="2958" t="str">
        <f>IF($E42=0,"",TRUNC(IF(R$19="Maestro de armas",0.5,1)*VLOOKUP($E42,Tablas!$X$575:$Y$580,2,FALSE),0))</f>
        <v/>
      </c>
      <c r="S42" s="2944"/>
      <c r="T42" s="2958" t="str">
        <f>IF($E42=0,"",TRUNC(IF(T$19="Maestro de armas",0.5,1)*VLOOKUP($E42,Tablas!$X$575:$Y$580,2,FALSE),0))</f>
        <v/>
      </c>
      <c r="U42" s="2944"/>
      <c r="V42" s="3717" t="str">
        <f t="shared" si="8"/>
        <v/>
      </c>
      <c r="W42" s="3718"/>
      <c r="X42" s="3718"/>
      <c r="Y42" s="3867"/>
      <c r="Z42" s="3867"/>
      <c r="AA42" s="3868"/>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25"/>
      <c r="D43" s="3858"/>
      <c r="E43" s="3839"/>
      <c r="F43" s="3840"/>
      <c r="G43" s="3840"/>
      <c r="H43" s="3840"/>
      <c r="I43" s="3840"/>
      <c r="J43" s="3840"/>
      <c r="K43" s="3841"/>
      <c r="L43" s="2953" t="str">
        <f>IF($E43=0,"",TRUNC(IF(L$19="Maestro de armas",0.5,1)*VLOOKUP($E43,Tablas!$X$575:$Y$580,2,FALSE),0))</f>
        <v/>
      </c>
      <c r="M43" s="2942"/>
      <c r="N43" s="2953" t="str">
        <f>IF($E43=0,"",TRUNC(IF(N$19="Maestro de armas",0.5,1)*VLOOKUP($E43,Tablas!$X$575:$Y$580,2,FALSE),0))</f>
        <v/>
      </c>
      <c r="O43" s="2942"/>
      <c r="P43" s="2953" t="str">
        <f>IF($E43=0,"",TRUNC(IF(P$19="Maestro de armas",0.5,1)*VLOOKUP($E43,Tablas!$X$575:$Y$580,2,FALSE),0))</f>
        <v/>
      </c>
      <c r="Q43" s="2942"/>
      <c r="R43" s="2953" t="str">
        <f>IF($E43=0,"",TRUNC(IF(R$19="Maestro de armas",0.5,1)*VLOOKUP($E43,Tablas!$X$575:$Y$580,2,FALSE),0))</f>
        <v/>
      </c>
      <c r="S43" s="2942"/>
      <c r="T43" s="2953" t="str">
        <f>IF($E43=0,"",TRUNC(IF(T$19="Maestro de armas",0.5,1)*VLOOKUP($E43,Tablas!$X$575:$Y$580,2,FALSE),0))</f>
        <v/>
      </c>
      <c r="U43" s="2942"/>
      <c r="V43" s="3719" t="str">
        <f t="shared" si="8"/>
        <v/>
      </c>
      <c r="W43" s="3720"/>
      <c r="X43" s="3720"/>
      <c r="Y43" s="3869"/>
      <c r="Z43" s="3869"/>
      <c r="AA43" s="3870"/>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25"/>
      <c r="D44" s="3858"/>
      <c r="E44" s="3836"/>
      <c r="F44" s="3837"/>
      <c r="G44" s="3837"/>
      <c r="H44" s="3837"/>
      <c r="I44" s="3837"/>
      <c r="J44" s="3837"/>
      <c r="K44" s="3838"/>
      <c r="L44" s="2958" t="str">
        <f>IF($E44=0,"",TRUNC(IF(L$19="Maestro de armas",0.5,1)*VLOOKUP($E44,Tablas!$X$575:$Y$580,2,FALSE),0))</f>
        <v/>
      </c>
      <c r="M44" s="2944"/>
      <c r="N44" s="2958" t="str">
        <f>IF($E44=0,"",TRUNC(IF(N$19="Maestro de armas",0.5,1)*VLOOKUP($E44,Tablas!$X$575:$Y$580,2,FALSE),0))</f>
        <v/>
      </c>
      <c r="O44" s="2944"/>
      <c r="P44" s="2958" t="str">
        <f>IF($E44=0,"",TRUNC(IF(P$19="Maestro de armas",0.5,1)*VLOOKUP($E44,Tablas!$X$575:$Y$580,2,FALSE),0))</f>
        <v/>
      </c>
      <c r="Q44" s="2944"/>
      <c r="R44" s="2958" t="str">
        <f>IF($E44=0,"",TRUNC(IF(R$19="Maestro de armas",0.5,1)*VLOOKUP($E44,Tablas!$X$575:$Y$580,2,FALSE),0))</f>
        <v/>
      </c>
      <c r="S44" s="2944"/>
      <c r="T44" s="2958" t="str">
        <f>IF($E44=0,"",TRUNC(IF(T$19="Maestro de armas",0.5,1)*VLOOKUP($E44,Tablas!$X$575:$Y$580,2,FALSE),0))</f>
        <v/>
      </c>
      <c r="U44" s="2944"/>
      <c r="V44" s="3717" t="str">
        <f t="shared" si="8"/>
        <v/>
      </c>
      <c r="W44" s="3718"/>
      <c r="X44" s="3718"/>
      <c r="Y44" s="3867"/>
      <c r="Z44" s="3867"/>
      <c r="AA44" s="3868"/>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659" t="s">
        <v>9383</v>
      </c>
      <c r="AI44" s="3659"/>
      <c r="AJ44" s="3659"/>
      <c r="AK44" s="3659"/>
      <c r="AL44" s="3659"/>
      <c r="AM44" s="3659"/>
      <c r="AN44" s="3659"/>
      <c r="AO44" s="3659"/>
      <c r="AP44" s="3659" t="s">
        <v>9384</v>
      </c>
      <c r="AQ44" s="3659"/>
      <c r="AR44" s="3659"/>
      <c r="AS44" s="3659"/>
      <c r="AT44" s="3659"/>
      <c r="AU44" s="3659"/>
      <c r="AV44" s="3659"/>
      <c r="AW44" s="2472"/>
      <c r="AX44" s="2472"/>
      <c r="AY44" s="2472"/>
      <c r="AZ44" s="2472"/>
      <c r="BA44" s="2472"/>
      <c r="BB44" s="2472"/>
      <c r="BC44" s="2472"/>
      <c r="BD44" s="2472"/>
      <c r="BE44" s="2472"/>
      <c r="BF44" s="2472"/>
      <c r="BG44" s="2472"/>
      <c r="BH44" s="2472"/>
    </row>
    <row r="45" spans="1:60" ht="12" customHeight="1" x14ac:dyDescent="0.2">
      <c r="A45" s="890"/>
      <c r="B45" s="1082"/>
      <c r="C45" s="3825"/>
      <c r="D45" s="3860"/>
      <c r="E45" s="3839"/>
      <c r="F45" s="3840"/>
      <c r="G45" s="3840"/>
      <c r="H45" s="3840"/>
      <c r="I45" s="3840"/>
      <c r="J45" s="3840"/>
      <c r="K45" s="3841"/>
      <c r="L45" s="2953" t="str">
        <f>IF($E45=0,"",TRUNC(IF(L$19="Maestro de armas",0.5,1)*VLOOKUP($E45,Tablas!$X$575:$Y$580,2,FALSE),0))</f>
        <v/>
      </c>
      <c r="M45" s="2942"/>
      <c r="N45" s="2953" t="str">
        <f>IF($E45=0,"",TRUNC(IF(N$19="Maestro de armas",0.5,1)*VLOOKUP($E45,Tablas!$X$575:$Y$580,2,FALSE),0))</f>
        <v/>
      </c>
      <c r="O45" s="2942"/>
      <c r="P45" s="2953" t="str">
        <f>IF($E45=0,"",TRUNC(IF(P$19="Maestro de armas",0.5,1)*VLOOKUP($E45,Tablas!$X$575:$Y$580,2,FALSE),0))</f>
        <v/>
      </c>
      <c r="Q45" s="2942"/>
      <c r="R45" s="2953" t="str">
        <f>IF($E45=0,"",TRUNC(IF(R$19="Maestro de armas",0.5,1)*VLOOKUP($E45,Tablas!$X$575:$Y$580,2,FALSE),0))</f>
        <v/>
      </c>
      <c r="S45" s="2942"/>
      <c r="T45" s="2953" t="str">
        <f>IF($E45=0,"",TRUNC(IF(T$19="Maestro de armas",0.5,1)*VLOOKUP($E45,Tablas!$X$575:$Y$580,2,FALSE),0))</f>
        <v/>
      </c>
      <c r="U45" s="2942"/>
      <c r="V45" s="3865" t="str">
        <f t="shared" si="8"/>
        <v/>
      </c>
      <c r="W45" s="3866"/>
      <c r="X45" s="3866"/>
      <c r="Y45" s="3871"/>
      <c r="Z45" s="3871"/>
      <c r="AA45" s="3872"/>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25"/>
      <c r="D46" s="3879" t="s">
        <v>1777</v>
      </c>
      <c r="E46" s="3873"/>
      <c r="F46" s="3874"/>
      <c r="G46" s="3874"/>
      <c r="H46" s="3874"/>
      <c r="I46" s="3874"/>
      <c r="J46" s="3874"/>
      <c r="K46" s="3875"/>
      <c r="L46" s="2961" t="str">
        <f t="shared" ref="L46:L55" si="9">IF($E46=0,"",TRUNC(IF(L$19="Maestro de armas",0.5,1)*VLOOKUP($E46,Tabla_Tabla_Estilos,2,FALSE),0))</f>
        <v/>
      </c>
      <c r="M46" s="2086"/>
      <c r="N46" s="2961" t="str">
        <f t="shared" ref="N46:N55" si="10">IF($E46=0,"",TRUNC(IF(N$19="Maestro de armas",0.5,1)*VLOOKUP($E46,Tabla_Tabla_Estilos,2,FALSE),0))</f>
        <v/>
      </c>
      <c r="O46" s="2086"/>
      <c r="P46" s="2961" t="str">
        <f t="shared" ref="P46:P55" si="11">IF($E46=0,"",TRUNC(IF(P$19="Maestro de armas",0.5,1)*VLOOKUP($E46,Tabla_Tabla_Estilos,2,FALSE),0))</f>
        <v/>
      </c>
      <c r="Q46" s="2086"/>
      <c r="R46" s="2961" t="str">
        <f t="shared" ref="R46:R55" si="12">IF($E46=0,"",TRUNC(IF(R$19="Maestro de armas",0.5,1)*VLOOKUP($E46,Tabla_Tabla_Estilos,2,FALSE),0))</f>
        <v/>
      </c>
      <c r="S46" s="2086"/>
      <c r="T46" s="2961" t="str">
        <f t="shared" ref="T46:T55" si="13">IF($E46=0,"",TRUNC(IF(T$19="Maestro de armas",0.5,1)*VLOOKUP($E46,Tabla_Tabla_Estilos,2,FALSE),0))</f>
        <v/>
      </c>
      <c r="U46" s="2086"/>
      <c r="V46" s="3715" t="str">
        <f t="shared" ref="V46:V55" si="14">IF($E46="","",IF(AND(AD46=1,M46/L46+O46/N46+Q46/P46+S46/R46+U46/T46&gt;1),SUBSTITUTE(VLOOKUP($E46,Tabla_Tabla_Estilos,8,FALSE),"XXX",M46/L46+O46/N46+Q46/P46+S46/R46+U46/T46),VLOOKUP($E46,Tabla_Tabla_Estilos,4,FALSE)))</f>
        <v/>
      </c>
      <c r="W46" s="3715"/>
      <c r="X46" s="3715"/>
      <c r="Y46" s="3715"/>
      <c r="Z46" s="3715"/>
      <c r="AA46" s="3716"/>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25"/>
      <c r="D47" s="3880"/>
      <c r="E47" s="3876"/>
      <c r="F47" s="3877"/>
      <c r="G47" s="3877"/>
      <c r="H47" s="3877"/>
      <c r="I47" s="3877"/>
      <c r="J47" s="3877"/>
      <c r="K47" s="3878"/>
      <c r="L47" s="2953" t="str">
        <f t="shared" si="9"/>
        <v/>
      </c>
      <c r="M47" s="2943"/>
      <c r="N47" s="2953" t="str">
        <f t="shared" si="10"/>
        <v/>
      </c>
      <c r="O47" s="2943"/>
      <c r="P47" s="2953" t="str">
        <f t="shared" si="11"/>
        <v/>
      </c>
      <c r="Q47" s="2943"/>
      <c r="R47" s="2953" t="str">
        <f t="shared" si="12"/>
        <v/>
      </c>
      <c r="S47" s="2943"/>
      <c r="T47" s="2953" t="str">
        <f t="shared" si="13"/>
        <v/>
      </c>
      <c r="U47" s="2943"/>
      <c r="V47" s="3666" t="str">
        <f t="shared" si="14"/>
        <v/>
      </c>
      <c r="W47" s="3667"/>
      <c r="X47" s="3667"/>
      <c r="Y47" s="3667"/>
      <c r="Z47" s="3667"/>
      <c r="AA47" s="3668"/>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25"/>
      <c r="D48" s="3880"/>
      <c r="E48" s="3852"/>
      <c r="F48" s="3837"/>
      <c r="G48" s="3837"/>
      <c r="H48" s="3837"/>
      <c r="I48" s="3837"/>
      <c r="J48" s="3837"/>
      <c r="K48" s="3853"/>
      <c r="L48" s="2958" t="str">
        <f t="shared" si="9"/>
        <v/>
      </c>
      <c r="M48" s="2945"/>
      <c r="N48" s="2958" t="str">
        <f t="shared" si="10"/>
        <v/>
      </c>
      <c r="O48" s="2945"/>
      <c r="P48" s="2958" t="str">
        <f t="shared" si="11"/>
        <v/>
      </c>
      <c r="Q48" s="2945"/>
      <c r="R48" s="2958" t="str">
        <f t="shared" si="12"/>
        <v/>
      </c>
      <c r="S48" s="2945"/>
      <c r="T48" s="2958" t="str">
        <f t="shared" si="13"/>
        <v/>
      </c>
      <c r="U48" s="2945"/>
      <c r="V48" s="3669" t="str">
        <f t="shared" si="14"/>
        <v/>
      </c>
      <c r="W48" s="3670"/>
      <c r="X48" s="3670"/>
      <c r="Y48" s="3670"/>
      <c r="Z48" s="3670"/>
      <c r="AA48" s="3671"/>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25"/>
      <c r="D49" s="3880"/>
      <c r="E49" s="3876"/>
      <c r="F49" s="3877"/>
      <c r="G49" s="3877"/>
      <c r="H49" s="3877"/>
      <c r="I49" s="3877"/>
      <c r="J49" s="3877"/>
      <c r="K49" s="3878"/>
      <c r="L49" s="2953" t="str">
        <f t="shared" si="9"/>
        <v/>
      </c>
      <c r="M49" s="2943"/>
      <c r="N49" s="2953" t="str">
        <f t="shared" si="10"/>
        <v/>
      </c>
      <c r="O49" s="2943"/>
      <c r="P49" s="2953" t="str">
        <f t="shared" si="11"/>
        <v/>
      </c>
      <c r="Q49" s="2943"/>
      <c r="R49" s="2953" t="str">
        <f t="shared" si="12"/>
        <v/>
      </c>
      <c r="S49" s="2943"/>
      <c r="T49" s="2953" t="str">
        <f t="shared" si="13"/>
        <v/>
      </c>
      <c r="U49" s="2943"/>
      <c r="V49" s="3666" t="str">
        <f t="shared" si="14"/>
        <v/>
      </c>
      <c r="W49" s="3667"/>
      <c r="X49" s="3667"/>
      <c r="Y49" s="3667"/>
      <c r="Z49" s="3667"/>
      <c r="AA49" s="3668"/>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25"/>
      <c r="D50" s="3880"/>
      <c r="E50" s="3852"/>
      <c r="F50" s="3837"/>
      <c r="G50" s="3837"/>
      <c r="H50" s="3837"/>
      <c r="I50" s="3837"/>
      <c r="J50" s="3837"/>
      <c r="K50" s="3853"/>
      <c r="L50" s="2958" t="str">
        <f t="shared" si="9"/>
        <v/>
      </c>
      <c r="M50" s="2945"/>
      <c r="N50" s="2958" t="str">
        <f t="shared" si="10"/>
        <v/>
      </c>
      <c r="O50" s="2945"/>
      <c r="P50" s="2958" t="str">
        <f t="shared" si="11"/>
        <v/>
      </c>
      <c r="Q50" s="2945"/>
      <c r="R50" s="2958" t="str">
        <f t="shared" si="12"/>
        <v/>
      </c>
      <c r="S50" s="2945"/>
      <c r="T50" s="2958" t="str">
        <f t="shared" si="13"/>
        <v/>
      </c>
      <c r="U50" s="2945"/>
      <c r="V50" s="3669" t="str">
        <f t="shared" si="14"/>
        <v/>
      </c>
      <c r="W50" s="3670"/>
      <c r="X50" s="3670"/>
      <c r="Y50" s="3670"/>
      <c r="Z50" s="3670"/>
      <c r="AA50" s="3671"/>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25"/>
      <c r="D51" s="3880"/>
      <c r="E51" s="3876"/>
      <c r="F51" s="3877"/>
      <c r="G51" s="3877"/>
      <c r="H51" s="3877"/>
      <c r="I51" s="3877"/>
      <c r="J51" s="3877"/>
      <c r="K51" s="3878"/>
      <c r="L51" s="2953" t="str">
        <f t="shared" si="9"/>
        <v/>
      </c>
      <c r="M51" s="2943"/>
      <c r="N51" s="2953" t="str">
        <f t="shared" si="10"/>
        <v/>
      </c>
      <c r="O51" s="2943"/>
      <c r="P51" s="2953" t="str">
        <f t="shared" si="11"/>
        <v/>
      </c>
      <c r="Q51" s="2943"/>
      <c r="R51" s="2953" t="str">
        <f t="shared" si="12"/>
        <v/>
      </c>
      <c r="S51" s="2943"/>
      <c r="T51" s="2953" t="str">
        <f t="shared" si="13"/>
        <v/>
      </c>
      <c r="U51" s="2943"/>
      <c r="V51" s="3666" t="str">
        <f t="shared" si="14"/>
        <v/>
      </c>
      <c r="W51" s="3667"/>
      <c r="X51" s="3667"/>
      <c r="Y51" s="3667"/>
      <c r="Z51" s="3667"/>
      <c r="AA51" s="3668"/>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25"/>
      <c r="D52" s="3880"/>
      <c r="E52" s="3852"/>
      <c r="F52" s="3837"/>
      <c r="G52" s="3837"/>
      <c r="H52" s="3837"/>
      <c r="I52" s="3837"/>
      <c r="J52" s="3837"/>
      <c r="K52" s="3853"/>
      <c r="L52" s="2958" t="str">
        <f t="shared" si="9"/>
        <v/>
      </c>
      <c r="M52" s="2087"/>
      <c r="N52" s="2958" t="str">
        <f t="shared" si="10"/>
        <v/>
      </c>
      <c r="O52" s="2087"/>
      <c r="P52" s="2958" t="str">
        <f t="shared" si="11"/>
        <v/>
      </c>
      <c r="Q52" s="2087"/>
      <c r="R52" s="2958" t="str">
        <f t="shared" si="12"/>
        <v/>
      </c>
      <c r="S52" s="2087"/>
      <c r="T52" s="2958" t="str">
        <f t="shared" si="13"/>
        <v/>
      </c>
      <c r="U52" s="2087"/>
      <c r="V52" s="3669" t="str">
        <f t="shared" si="14"/>
        <v/>
      </c>
      <c r="W52" s="3670"/>
      <c r="X52" s="3670"/>
      <c r="Y52" s="3670"/>
      <c r="Z52" s="3670"/>
      <c r="AA52" s="3671"/>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25"/>
      <c r="D53" s="3880"/>
      <c r="E53" s="3876"/>
      <c r="F53" s="3877"/>
      <c r="G53" s="3877"/>
      <c r="H53" s="3877"/>
      <c r="I53" s="3877"/>
      <c r="J53" s="3877"/>
      <c r="K53" s="3878"/>
      <c r="L53" s="2953" t="str">
        <f t="shared" si="9"/>
        <v/>
      </c>
      <c r="M53" s="2068"/>
      <c r="N53" s="2953" t="str">
        <f t="shared" si="10"/>
        <v/>
      </c>
      <c r="O53" s="2068"/>
      <c r="P53" s="2953" t="str">
        <f t="shared" si="11"/>
        <v/>
      </c>
      <c r="Q53" s="2068"/>
      <c r="R53" s="2953" t="str">
        <f t="shared" si="12"/>
        <v/>
      </c>
      <c r="S53" s="2068"/>
      <c r="T53" s="2953" t="str">
        <f t="shared" si="13"/>
        <v/>
      </c>
      <c r="U53" s="2068"/>
      <c r="V53" s="3666" t="str">
        <f t="shared" si="14"/>
        <v/>
      </c>
      <c r="W53" s="3667"/>
      <c r="X53" s="3667"/>
      <c r="Y53" s="3667"/>
      <c r="Z53" s="3667"/>
      <c r="AA53" s="3668"/>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25"/>
      <c r="D54" s="3880"/>
      <c r="E54" s="3852"/>
      <c r="F54" s="3837"/>
      <c r="G54" s="3837"/>
      <c r="H54" s="3837"/>
      <c r="I54" s="3837"/>
      <c r="J54" s="3837"/>
      <c r="K54" s="3853"/>
      <c r="L54" s="2958" t="str">
        <f t="shared" si="9"/>
        <v/>
      </c>
      <c r="M54" s="2087"/>
      <c r="N54" s="2958" t="str">
        <f t="shared" si="10"/>
        <v/>
      </c>
      <c r="O54" s="2087"/>
      <c r="P54" s="2958" t="str">
        <f t="shared" si="11"/>
        <v/>
      </c>
      <c r="Q54" s="2087"/>
      <c r="R54" s="2958" t="str">
        <f t="shared" si="12"/>
        <v/>
      </c>
      <c r="S54" s="2087"/>
      <c r="T54" s="2958" t="str">
        <f t="shared" si="13"/>
        <v/>
      </c>
      <c r="U54" s="2087"/>
      <c r="V54" s="3669" t="str">
        <f t="shared" si="14"/>
        <v/>
      </c>
      <c r="W54" s="3670"/>
      <c r="X54" s="3670"/>
      <c r="Y54" s="3670"/>
      <c r="Z54" s="3670"/>
      <c r="AA54" s="3671"/>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25"/>
      <c r="D55" s="3881"/>
      <c r="E55" s="3854"/>
      <c r="F55" s="3855"/>
      <c r="G55" s="3855"/>
      <c r="H55" s="3855"/>
      <c r="I55" s="3855"/>
      <c r="J55" s="3855"/>
      <c r="K55" s="3856"/>
      <c r="L55" s="2956" t="str">
        <f t="shared" si="9"/>
        <v/>
      </c>
      <c r="M55" s="2069"/>
      <c r="N55" s="2956" t="str">
        <f t="shared" si="10"/>
        <v/>
      </c>
      <c r="O55" s="2069"/>
      <c r="P55" s="2956" t="str">
        <f t="shared" si="11"/>
        <v/>
      </c>
      <c r="Q55" s="2069"/>
      <c r="R55" s="2956" t="str">
        <f t="shared" si="12"/>
        <v/>
      </c>
      <c r="S55" s="2069"/>
      <c r="T55" s="2956" t="str">
        <f t="shared" si="13"/>
        <v/>
      </c>
      <c r="U55" s="2069"/>
      <c r="V55" s="3672" t="str">
        <f t="shared" si="14"/>
        <v/>
      </c>
      <c r="W55" s="3673"/>
      <c r="X55" s="3673"/>
      <c r="Y55" s="3673"/>
      <c r="Z55" s="3673"/>
      <c r="AA55" s="3674"/>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25"/>
      <c r="D56" s="3879" t="s">
        <v>1778</v>
      </c>
      <c r="E56" s="3776"/>
      <c r="F56" s="3777"/>
      <c r="G56" s="3777"/>
      <c r="H56" s="3777"/>
      <c r="I56" s="3778"/>
      <c r="J56" s="3779"/>
      <c r="K56" s="3780"/>
      <c r="L56" s="2940" t="str">
        <f>IFERROR(IF(NOT(Tablas!$AK$814),INDEX(Tablas!AN816:AP816,1,Tablas!AL816),IF(M56&lt;&gt;"",IF(Tablas!$AK816="Básica",INDEX(Tablas!$AF$826:$AF$828,AG56),IF(Tablas!$AK816="Avanzada",INDEX(Tablas!$AG$826:$AG$827,AG56),"")),"")),"")</f>
        <v/>
      </c>
      <c r="M56" s="2083"/>
      <c r="N56" s="2958" t="str">
        <f>IFERROR(IF(O56&lt;&gt;"",IF(Tablas!$AK816="Básica",INDEX(Tablas!$AF$826:$AF$828,AH56),IF(Tablas!$AK816="Avanzada",INDEX(Tablas!$AG$826:$AG$827,AH56),"")),""),"")</f>
        <v/>
      </c>
      <c r="O56" s="2945"/>
      <c r="P56" s="78" t="str">
        <f>IFERROR(IF(Q56&lt;&gt;"",IF(Tablas!$AK816="Básica",INDEX(Tablas!$AF$826:$AF$828,AI56),IF(Tablas!$AK816="Avanzada",INDEX(Tablas!$AG$826:$AG$827,AI56),"")),""),"")</f>
        <v/>
      </c>
      <c r="Q56" s="2945"/>
      <c r="R56" s="78" t="str">
        <f>IFERROR(IF(S56&lt;&gt;"",IF(Tablas!$AK816="Básica",INDEX(Tablas!$AF$826:$AF$828,AJ56),IF(Tablas!$AK816="Avanzada",INDEX(Tablas!$AG$826:$AG$827,AJ56),"")),""),"")</f>
        <v/>
      </c>
      <c r="S56" s="2945"/>
      <c r="T56" s="78" t="str">
        <f>IFERROR(IF(U56&lt;&gt;"",IF(Tablas!$AK816="Básica",INDEX(Tablas!$AF$826:$AF$828,AK56),IF(Tablas!$AK816="Avanzada",INDEX(Tablas!$AG$826:$AG$827,AK56),"")),""),"")</f>
        <v/>
      </c>
      <c r="U56" s="2945"/>
      <c r="V56" s="3931" t="str">
        <f t="shared" ref="V56:V74" si="17">IF($AD56=0,"",IF(AF56&gt;1,"ARTE MARCIAL REPETIDA",IF(NOT(AL56),"ARTE MARCIAL SIN PAGAR",IF(VLOOKUP($AD56,Tabla_ArtesMarciales,23,FALSE)&lt;&gt;"-","FALTAN REQUISITOS",IF(VLOOKUP($AD56,Tabla_ArtesMarciales,16,FALSE)&gt;55,"Ver",VLOOKUP($AD56,Tabla_ArtesMarciales,9,FALSE))))))</f>
        <v/>
      </c>
      <c r="W56" s="3932"/>
      <c r="X56" s="3932"/>
      <c r="Y56" s="3932"/>
      <c r="Z56" s="3932"/>
      <c r="AA56" s="3933"/>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25"/>
      <c r="D57" s="3880"/>
      <c r="E57" s="3781"/>
      <c r="F57" s="3782"/>
      <c r="G57" s="3782"/>
      <c r="H57" s="3782"/>
      <c r="I57" s="3783"/>
      <c r="J57" s="3784"/>
      <c r="K57" s="3785"/>
      <c r="L57" s="2639" t="str">
        <f>IFERROR(IF(NOT(Tablas!$AK$814),INDEX(Tablas!AN817:AP817,1,Tablas!AL817),IF(M57&lt;&gt;"",IF(Tablas!$AK817="Básica",INDEX(Tablas!$AF$826:$AF$828,AG57),IF(Tablas!$AK817="Avanzada",INDEX(Tablas!$AG$826:$AG$827,AG57),"")),"")),"")</f>
        <v/>
      </c>
      <c r="M57" s="2064"/>
      <c r="N57" s="2953" t="str">
        <f>IFERROR(IF(O57&lt;&gt;"",IF(Tablas!$AK817="Básica",INDEX(Tablas!$AF$826:$AF$828,AH57),IF(Tablas!$AK817="Avanzada",INDEX(Tablas!$AG$826:$AG$827,AH57),"")),""),"")</f>
        <v/>
      </c>
      <c r="O57" s="2943"/>
      <c r="P57" s="2678" t="str">
        <f>IFERROR(IF(Q57&lt;&gt;"",IF(Tablas!$AK817="Básica",INDEX(Tablas!$AF$826:$AF$828,AI57),IF(Tablas!$AK817="Avanzada",INDEX(Tablas!$AG$826:$AG$827,AI57),"")),""),"")</f>
        <v/>
      </c>
      <c r="Q57" s="2943"/>
      <c r="R57" s="2678" t="str">
        <f>IFERROR(IF(S57&lt;&gt;"",IF(Tablas!$AK817="Básica",INDEX(Tablas!$AF$826:$AF$828,AJ57),IF(Tablas!$AK817="Avanzada",INDEX(Tablas!$AG$826:$AG$827,AJ57),"")),""),"")</f>
        <v/>
      </c>
      <c r="S57" s="2943"/>
      <c r="T57" s="2678" t="str">
        <f>IFERROR(IF(U57&lt;&gt;"",IF(Tablas!$AK817="Básica",INDEX(Tablas!$AF$826:$AF$828,AK57),IF(Tablas!$AK817="Avanzada",INDEX(Tablas!$AG$826:$AG$827,AK57),"")),""),"")</f>
        <v/>
      </c>
      <c r="U57" s="2943"/>
      <c r="V57" s="3663" t="str">
        <f t="shared" si="17"/>
        <v/>
      </c>
      <c r="W57" s="3664"/>
      <c r="X57" s="3664"/>
      <c r="Y57" s="3664"/>
      <c r="Z57" s="3664"/>
      <c r="AA57" s="3665"/>
      <c r="AB57" s="2486"/>
      <c r="AC57" s="1474"/>
      <c r="AD57" s="2468">
        <f t="shared" ref="AD57:AD74" si="18">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25"/>
      <c r="D58" s="3880"/>
      <c r="E58" s="3776"/>
      <c r="F58" s="3777"/>
      <c r="G58" s="3777"/>
      <c r="H58" s="3777"/>
      <c r="I58" s="3778"/>
      <c r="J58" s="3779"/>
      <c r="K58" s="3780"/>
      <c r="L58" s="2637" t="str">
        <f>IFERROR(IF(NOT(Tablas!$AK$814),INDEX(Tablas!AN818:AP818,1,Tablas!AL818),IF(M58&lt;&gt;"",IF(Tablas!$AK818="Básica",INDEX(Tablas!$AF$826:$AF$828,AG58),IF(Tablas!$AK818="Avanzada",INDEX(Tablas!$AG$826:$AG$827,AG58),"")),"")),"")</f>
        <v/>
      </c>
      <c r="M58" s="2083"/>
      <c r="N58" s="2958" t="str">
        <f>IFERROR(IF(O58&lt;&gt;"",IF(Tablas!$AK818="Básica",INDEX(Tablas!$AF$826:$AF$828,AH58),IF(Tablas!$AK818="Avanzada",INDEX(Tablas!$AG$826:$AG$827,AH58),"")),""),"")</f>
        <v/>
      </c>
      <c r="O58" s="2945"/>
      <c r="P58" s="78" t="str">
        <f>IFERROR(IF(Q58&lt;&gt;"",IF(Tablas!$AK818="Básica",INDEX(Tablas!$AF$826:$AF$828,AI58),IF(Tablas!$AK818="Avanzada",INDEX(Tablas!$AG$826:$AG$827,AI58),"")),""),"")</f>
        <v/>
      </c>
      <c r="Q58" s="2945"/>
      <c r="R58" s="78" t="str">
        <f>IFERROR(IF(S58&lt;&gt;"",IF(Tablas!$AK818="Básica",INDEX(Tablas!$AF$826:$AF$828,AJ58),IF(Tablas!$AK818="Avanzada",INDEX(Tablas!$AG$826:$AG$827,AJ58),"")),""),"")</f>
        <v/>
      </c>
      <c r="S58" s="2945"/>
      <c r="T58" s="78" t="str">
        <f>IFERROR(IF(U58&lt;&gt;"",IF(Tablas!$AK818="Básica",INDEX(Tablas!$AF$826:$AF$828,AK58),IF(Tablas!$AK818="Avanzada",INDEX(Tablas!$AG$826:$AG$827,AK58),"")),""),"")</f>
        <v/>
      </c>
      <c r="U58" s="2945"/>
      <c r="V58" s="3660" t="str">
        <f t="shared" si="17"/>
        <v/>
      </c>
      <c r="W58" s="3661"/>
      <c r="X58" s="3661"/>
      <c r="Y58" s="3661"/>
      <c r="Z58" s="3661"/>
      <c r="AA58" s="3662"/>
      <c r="AB58" s="2486"/>
      <c r="AC58" s="1474"/>
      <c r="AD58" s="2468">
        <f t="shared" si="18"/>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25"/>
      <c r="D59" s="3880"/>
      <c r="E59" s="3781"/>
      <c r="F59" s="3782"/>
      <c r="G59" s="3782"/>
      <c r="H59" s="3782"/>
      <c r="I59" s="3783"/>
      <c r="J59" s="3784"/>
      <c r="K59" s="3785"/>
      <c r="L59" s="2639" t="str">
        <f>IFERROR(IF(NOT(Tablas!$AK$814),INDEX(Tablas!AN819:AP819,1,Tablas!AL819),IF(M59&lt;&gt;"",IF(Tablas!$AK819="Básica",INDEX(Tablas!$AF$826:$AF$828,AG59),IF(Tablas!$AK819="Avanzada",INDEX(Tablas!$AG$826:$AG$827,AG59),"")),"")),"")</f>
        <v/>
      </c>
      <c r="M59" s="2064"/>
      <c r="N59" s="2953" t="str">
        <f>IFERROR(IF(O59&lt;&gt;"",IF(Tablas!$AK819="Básica",INDEX(Tablas!$AF$826:$AF$828,AH59),IF(Tablas!$AK819="Avanzada",INDEX(Tablas!$AG$826:$AG$827,AH59),"")),""),"")</f>
        <v/>
      </c>
      <c r="O59" s="2943"/>
      <c r="P59" s="2678" t="str">
        <f>IFERROR(IF(Q59&lt;&gt;"",IF(Tablas!$AK819="Básica",INDEX(Tablas!$AF$826:$AF$828,AI59),IF(Tablas!$AK819="Avanzada",INDEX(Tablas!$AG$826:$AG$827,AI59),"")),""),"")</f>
        <v/>
      </c>
      <c r="Q59" s="2943"/>
      <c r="R59" s="2678" t="str">
        <f>IFERROR(IF(S59&lt;&gt;"",IF(Tablas!$AK819="Básica",INDEX(Tablas!$AF$826:$AF$828,AJ59),IF(Tablas!$AK819="Avanzada",INDEX(Tablas!$AG$826:$AG$827,AJ59),"")),""),"")</f>
        <v/>
      </c>
      <c r="S59" s="2943"/>
      <c r="T59" s="2678" t="str">
        <f>IFERROR(IF(U59&lt;&gt;"",IF(Tablas!$AK819="Básica",INDEX(Tablas!$AF$826:$AF$828,AK59),IF(Tablas!$AK819="Avanzada",INDEX(Tablas!$AG$826:$AG$827,AK59),"")),""),"")</f>
        <v/>
      </c>
      <c r="U59" s="2943"/>
      <c r="V59" s="3663" t="str">
        <f t="shared" si="17"/>
        <v/>
      </c>
      <c r="W59" s="3664"/>
      <c r="X59" s="3664"/>
      <c r="Y59" s="3664"/>
      <c r="Z59" s="3664"/>
      <c r="AA59" s="3665"/>
      <c r="AB59" s="2486"/>
      <c r="AC59" s="1474"/>
      <c r="AD59" s="2468">
        <f t="shared" si="18"/>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25"/>
      <c r="D60" s="3880"/>
      <c r="E60" s="3776"/>
      <c r="F60" s="3777"/>
      <c r="G60" s="3777"/>
      <c r="H60" s="3777"/>
      <c r="I60" s="3778"/>
      <c r="J60" s="3779"/>
      <c r="K60" s="3780"/>
      <c r="L60" s="2637" t="str">
        <f>IFERROR(IF(NOT(Tablas!$AK$814),INDEX(Tablas!AN820:AP820,1,Tablas!AL820),IF(M60&lt;&gt;"",IF(Tablas!$AK820="Básica",INDEX(Tablas!$AF$826:$AF$828,AG60),IF(Tablas!$AK820="Avanzada",INDEX(Tablas!$AG$826:$AG$827,AG60),"")),"")),"")</f>
        <v/>
      </c>
      <c r="M60" s="2083"/>
      <c r="N60" s="2958" t="str">
        <f>IFERROR(IF(O60&lt;&gt;"",IF(Tablas!$AK820="Básica",INDEX(Tablas!$AF$826:$AF$828,AH60),IF(Tablas!$AK820="Avanzada",INDEX(Tablas!$AG$826:$AG$827,AH60),"")),""),"")</f>
        <v/>
      </c>
      <c r="O60" s="2945"/>
      <c r="P60" s="78" t="str">
        <f>IFERROR(IF(Q60&lt;&gt;"",IF(Tablas!$AK820="Básica",INDEX(Tablas!$AF$826:$AF$828,AI60),IF(Tablas!$AK820="Avanzada",INDEX(Tablas!$AG$826:$AG$827,AI60),"")),""),"")</f>
        <v/>
      </c>
      <c r="Q60" s="2945"/>
      <c r="R60" s="78" t="str">
        <f>IFERROR(IF(S60&lt;&gt;"",IF(Tablas!$AK820="Básica",INDEX(Tablas!$AF$826:$AF$828,AJ60),IF(Tablas!$AK820="Avanzada",INDEX(Tablas!$AG$826:$AG$827,AJ60),"")),""),"")</f>
        <v/>
      </c>
      <c r="S60" s="2945"/>
      <c r="T60" s="78" t="str">
        <f>IFERROR(IF(U60&lt;&gt;"",IF(Tablas!$AK820="Básica",INDEX(Tablas!$AF$826:$AF$828,AK60),IF(Tablas!$AK820="Avanzada",INDEX(Tablas!$AG$826:$AG$827,AK60),"")),""),"")</f>
        <v/>
      </c>
      <c r="U60" s="2945"/>
      <c r="V60" s="3660" t="str">
        <f t="shared" si="17"/>
        <v/>
      </c>
      <c r="W60" s="3661"/>
      <c r="X60" s="3661"/>
      <c r="Y60" s="3661"/>
      <c r="Z60" s="3661"/>
      <c r="AA60" s="3662"/>
      <c r="AB60" s="2486"/>
      <c r="AC60" s="1474"/>
      <c r="AD60" s="2468">
        <f t="shared" si="18"/>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25"/>
      <c r="D61" s="3880"/>
      <c r="E61" s="3781"/>
      <c r="F61" s="3782"/>
      <c r="G61" s="3782"/>
      <c r="H61" s="3782"/>
      <c r="I61" s="3783"/>
      <c r="J61" s="3784"/>
      <c r="K61" s="3785"/>
      <c r="L61" s="2639" t="str">
        <f>IFERROR(IF(NOT(Tablas!$AK$814),INDEX(Tablas!AN821:AP821,1,Tablas!AL821),IF(M61&lt;&gt;"",IF(Tablas!$AK821="Básica",INDEX(Tablas!$AF$826:$AF$828,AG61),IF(Tablas!$AK821="Avanzada",INDEX(Tablas!$AG$826:$AG$827,AG61),"")),"")),"")</f>
        <v/>
      </c>
      <c r="M61" s="2064"/>
      <c r="N61" s="2953" t="str">
        <f>IFERROR(IF(O61&lt;&gt;"",IF(Tablas!$AK821="Básica",INDEX(Tablas!$AF$826:$AF$828,AH61),IF(Tablas!$AK821="Avanzada",INDEX(Tablas!$AG$826:$AG$827,AH61),"")),""),"")</f>
        <v/>
      </c>
      <c r="O61" s="2943"/>
      <c r="P61" s="2678" t="str">
        <f>IFERROR(IF(Q61&lt;&gt;"",IF(Tablas!$AK821="Básica",INDEX(Tablas!$AF$826:$AF$828,AI61),IF(Tablas!$AK821="Avanzada",INDEX(Tablas!$AG$826:$AG$827,AI61),"")),""),"")</f>
        <v/>
      </c>
      <c r="Q61" s="2943"/>
      <c r="R61" s="2678" t="str">
        <f>IFERROR(IF(S61&lt;&gt;"",IF(Tablas!$AK821="Básica",INDEX(Tablas!$AF$826:$AF$828,AJ61),IF(Tablas!$AK821="Avanzada",INDEX(Tablas!$AG$826:$AG$827,AJ61),"")),""),"")</f>
        <v/>
      </c>
      <c r="S61" s="2943"/>
      <c r="T61" s="2678" t="str">
        <f>IFERROR(IF(U61&lt;&gt;"",IF(Tablas!$AK821="Básica",INDEX(Tablas!$AF$826:$AF$828,AK61),IF(Tablas!$AK821="Avanzada",INDEX(Tablas!$AG$826:$AG$827,AK61),"")),""),"")</f>
        <v/>
      </c>
      <c r="U61" s="2943"/>
      <c r="V61" s="3663" t="str">
        <f t="shared" si="17"/>
        <v/>
      </c>
      <c r="W61" s="3664"/>
      <c r="X61" s="3664"/>
      <c r="Y61" s="3664"/>
      <c r="Z61" s="3664"/>
      <c r="AA61" s="3665"/>
      <c r="AB61" s="2490"/>
      <c r="AC61" s="1474"/>
      <c r="AD61" s="2468">
        <f t="shared" si="18"/>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25"/>
      <c r="D62" s="3880"/>
      <c r="E62" s="3776"/>
      <c r="F62" s="3777"/>
      <c r="G62" s="3777"/>
      <c r="H62" s="3777"/>
      <c r="I62" s="3778"/>
      <c r="J62" s="3779"/>
      <c r="K62" s="3780"/>
      <c r="L62" s="2637" t="str">
        <f>IFERROR(IF(NOT(Tablas!$AK$814),INDEX(Tablas!AN822:AP822,1,Tablas!AL822),IF(M62&lt;&gt;"",IF(Tablas!$AK822="Básica",INDEX(Tablas!$AF$826:$AF$828,AG62),IF(Tablas!$AK822="Avanzada",INDEX(Tablas!$AG$826:$AG$827,AG62),"")),"")),"")</f>
        <v/>
      </c>
      <c r="M62" s="2083"/>
      <c r="N62" s="2958" t="str">
        <f>IFERROR(IF(O62&lt;&gt;"",IF(Tablas!$AK822="Básica",INDEX(Tablas!$AF$826:$AF$828,AH62),IF(Tablas!$AK822="Avanzada",INDEX(Tablas!$AG$826:$AG$827,AH62),"")),""),"")</f>
        <v/>
      </c>
      <c r="O62" s="2945"/>
      <c r="P62" s="78" t="str">
        <f>IFERROR(IF(Q62&lt;&gt;"",IF(Tablas!$AK822="Básica",INDEX(Tablas!$AF$826:$AF$828,AI62),IF(Tablas!$AK822="Avanzada",INDEX(Tablas!$AG$826:$AG$827,AI62),"")),""),"")</f>
        <v/>
      </c>
      <c r="Q62" s="2945"/>
      <c r="R62" s="78" t="str">
        <f>IFERROR(IF(S62&lt;&gt;"",IF(Tablas!$AK822="Básica",INDEX(Tablas!$AF$826:$AF$828,AJ62),IF(Tablas!$AK822="Avanzada",INDEX(Tablas!$AG$826:$AG$827,AJ62),"")),""),"")</f>
        <v/>
      </c>
      <c r="S62" s="2945"/>
      <c r="T62" s="78" t="str">
        <f>IFERROR(IF(U62&lt;&gt;"",IF(Tablas!$AK822="Básica",INDEX(Tablas!$AF$826:$AF$828,AK62),IF(Tablas!$AK822="Avanzada",INDEX(Tablas!$AG$826:$AG$827,AK62),"")),""),"")</f>
        <v/>
      </c>
      <c r="U62" s="2945"/>
      <c r="V62" s="3660" t="str">
        <f t="shared" si="17"/>
        <v/>
      </c>
      <c r="W62" s="3661"/>
      <c r="X62" s="3661"/>
      <c r="Y62" s="3661"/>
      <c r="Z62" s="3661"/>
      <c r="AA62" s="3662"/>
      <c r="AB62" s="2486"/>
      <c r="AC62" s="1474"/>
      <c r="AD62" s="2468">
        <f t="shared" si="18"/>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25"/>
      <c r="D63" s="3880"/>
      <c r="E63" s="3781"/>
      <c r="F63" s="3782"/>
      <c r="G63" s="3782"/>
      <c r="H63" s="3782"/>
      <c r="I63" s="3783"/>
      <c r="J63" s="3784"/>
      <c r="K63" s="3785"/>
      <c r="L63" s="2639" t="str">
        <f>IFERROR(IF(NOT(Tablas!$AK$814),INDEX(Tablas!AN823:AP823,1,Tablas!AL823),IF(M63&lt;&gt;"",IF(Tablas!$AK823="Básica",INDEX(Tablas!$AF$826:$AF$828,AG63),IF(Tablas!$AK823="Avanzada",INDEX(Tablas!$AG$826:$AG$827,AG63),"")),"")),"")</f>
        <v/>
      </c>
      <c r="M63" s="2064"/>
      <c r="N63" s="2953" t="str">
        <f>IFERROR(IF(O63&lt;&gt;"",IF(Tablas!$AK823="Básica",INDEX(Tablas!$AF$826:$AF$828,AH63),IF(Tablas!$AK823="Avanzada",INDEX(Tablas!$AG$826:$AG$827,AH63),"")),""),"")</f>
        <v/>
      </c>
      <c r="O63" s="2943"/>
      <c r="P63" s="2678" t="str">
        <f>IFERROR(IF(Q63&lt;&gt;"",IF(Tablas!$AK823="Básica",INDEX(Tablas!$AF$826:$AF$828,AI63),IF(Tablas!$AK823="Avanzada",INDEX(Tablas!$AG$826:$AG$827,AI63),"")),""),"")</f>
        <v/>
      </c>
      <c r="Q63" s="2943"/>
      <c r="R63" s="2678" t="str">
        <f>IFERROR(IF(S63&lt;&gt;"",IF(Tablas!$AK823="Básica",INDEX(Tablas!$AF$826:$AF$828,AJ63),IF(Tablas!$AK823="Avanzada",INDEX(Tablas!$AG$826:$AG$827,AJ63),"")),""),"")</f>
        <v/>
      </c>
      <c r="S63" s="2943"/>
      <c r="T63" s="2678" t="str">
        <f>IFERROR(IF(U63&lt;&gt;"",IF(Tablas!$AK823="Básica",INDEX(Tablas!$AF$826:$AF$828,AK63),IF(Tablas!$AK823="Avanzada",INDEX(Tablas!$AG$826:$AG$827,AK63),"")),""),"")</f>
        <v/>
      </c>
      <c r="U63" s="2943"/>
      <c r="V63" s="3663" t="str">
        <f t="shared" si="17"/>
        <v/>
      </c>
      <c r="W63" s="3664"/>
      <c r="X63" s="3664"/>
      <c r="Y63" s="3664"/>
      <c r="Z63" s="3664"/>
      <c r="AA63" s="3665"/>
      <c r="AB63" s="2491"/>
      <c r="AC63" s="1474"/>
      <c r="AD63" s="2468">
        <f t="shared" si="18"/>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25"/>
      <c r="D64" s="3880"/>
      <c r="E64" s="3776"/>
      <c r="F64" s="3777"/>
      <c r="G64" s="3777"/>
      <c r="H64" s="3777"/>
      <c r="I64" s="3778"/>
      <c r="J64" s="3779"/>
      <c r="K64" s="3780"/>
      <c r="L64" s="2637" t="str">
        <f>IFERROR(IF(NOT(Tablas!$AK$814),INDEX(Tablas!AN824:AP824,1,Tablas!AL824),IF(M64&lt;&gt;"",IF(Tablas!$AK824="Básica",INDEX(Tablas!$AF$826:$AF$828,AG64),IF(Tablas!$AK824="Avanzada",INDEX(Tablas!$AG$826:$AG$827,AG64),"")),"")),"")</f>
        <v/>
      </c>
      <c r="M64" s="2083"/>
      <c r="N64" s="2958" t="str">
        <f>IFERROR(IF(O64&lt;&gt;"",IF(Tablas!$AK824="Básica",INDEX(Tablas!$AF$826:$AF$828,AH64),IF(Tablas!$AK824="Avanzada",INDEX(Tablas!$AG$826:$AG$827,AH64),"")),""),"")</f>
        <v/>
      </c>
      <c r="O64" s="2945"/>
      <c r="P64" s="78" t="str">
        <f>IFERROR(IF(Q64&lt;&gt;"",IF(Tablas!$AK824="Básica",INDEX(Tablas!$AF$826:$AF$828,AI64),IF(Tablas!$AK824="Avanzada",INDEX(Tablas!$AG$826:$AG$827,AI64),"")),""),"")</f>
        <v/>
      </c>
      <c r="Q64" s="2945"/>
      <c r="R64" s="78" t="str">
        <f>IFERROR(IF(S64&lt;&gt;"",IF(Tablas!$AK824="Básica",INDEX(Tablas!$AF$826:$AF$828,AJ64),IF(Tablas!$AK824="Avanzada",INDEX(Tablas!$AG$826:$AG$827,AJ64),"")),""),"")</f>
        <v/>
      </c>
      <c r="S64" s="2945"/>
      <c r="T64" s="78" t="str">
        <f>IFERROR(IF(U64&lt;&gt;"",IF(Tablas!$AK824="Básica",INDEX(Tablas!$AF$826:$AF$828,AK64),IF(Tablas!$AK824="Avanzada",INDEX(Tablas!$AG$826:$AG$827,AK64),"")),""),"")</f>
        <v/>
      </c>
      <c r="U64" s="2945"/>
      <c r="V64" s="3660" t="str">
        <f t="shared" si="17"/>
        <v/>
      </c>
      <c r="W64" s="3661"/>
      <c r="X64" s="3661"/>
      <c r="Y64" s="3661"/>
      <c r="Z64" s="3661"/>
      <c r="AA64" s="3662"/>
      <c r="AB64" s="2491"/>
      <c r="AC64" s="1474"/>
      <c r="AD64" s="2468">
        <f t="shared" si="18"/>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25"/>
      <c r="D65" s="3880"/>
      <c r="E65" s="3781"/>
      <c r="F65" s="3782"/>
      <c r="G65" s="3782"/>
      <c r="H65" s="3782"/>
      <c r="I65" s="3783"/>
      <c r="J65" s="3784"/>
      <c r="K65" s="3785"/>
      <c r="L65" s="2639" t="str">
        <f>IFERROR(IF(NOT(Tablas!$AK$814),INDEX(Tablas!AN825:AP825,1,Tablas!AL825),IF(M65&lt;&gt;"",IF(Tablas!$AK825="Básica",INDEX(Tablas!$AF$826:$AF$828,AG65),IF(Tablas!$AK825="Avanzada",INDEX(Tablas!$AG$826:$AG$827,AG65),"")),"")),"")</f>
        <v/>
      </c>
      <c r="M65" s="2064"/>
      <c r="N65" s="2953" t="str">
        <f>IFERROR(IF(O65&lt;&gt;"",IF(Tablas!$AK825="Básica",INDEX(Tablas!$AF$826:$AF$828,AH65),IF(Tablas!$AK825="Avanzada",INDEX(Tablas!$AG$826:$AG$827,AH65),"")),""),"")</f>
        <v/>
      </c>
      <c r="O65" s="2943"/>
      <c r="P65" s="2678" t="str">
        <f>IFERROR(IF(Q65&lt;&gt;"",IF(Tablas!$AK825="Básica",INDEX(Tablas!$AF$826:$AF$828,AI65),IF(Tablas!$AK825="Avanzada",INDEX(Tablas!$AG$826:$AG$827,AI65),"")),""),"")</f>
        <v/>
      </c>
      <c r="Q65" s="2943"/>
      <c r="R65" s="2678" t="str">
        <f>IFERROR(IF(S65&lt;&gt;"",IF(Tablas!$AK825="Básica",INDEX(Tablas!$AF$826:$AF$828,AJ65),IF(Tablas!$AK825="Avanzada",INDEX(Tablas!$AG$826:$AG$827,AJ65),"")),""),"")</f>
        <v/>
      </c>
      <c r="S65" s="2943"/>
      <c r="T65" s="2678" t="str">
        <f>IFERROR(IF(U65&lt;&gt;"",IF(Tablas!$AK825="Básica",INDEX(Tablas!$AF$826:$AF$828,AK65),IF(Tablas!$AK825="Avanzada",INDEX(Tablas!$AG$826:$AG$827,AK65),"")),""),"")</f>
        <v/>
      </c>
      <c r="U65" s="2943"/>
      <c r="V65" s="3663" t="str">
        <f t="shared" si="17"/>
        <v/>
      </c>
      <c r="W65" s="3664"/>
      <c r="X65" s="3664"/>
      <c r="Y65" s="3664"/>
      <c r="Z65" s="3664"/>
      <c r="AA65" s="3665"/>
      <c r="AB65" s="2491"/>
      <c r="AC65" s="1474"/>
      <c r="AD65" s="2468">
        <f t="shared" si="18"/>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25"/>
      <c r="D66" s="3880"/>
      <c r="E66" s="3776"/>
      <c r="F66" s="3777"/>
      <c r="G66" s="3777"/>
      <c r="H66" s="3777"/>
      <c r="I66" s="3778"/>
      <c r="J66" s="3779"/>
      <c r="K66" s="3780"/>
      <c r="L66" s="2637" t="str">
        <f>IFERROR(IF(NOT(Tablas!$AK$814),INDEX(Tablas!AN826:AP826,1,Tablas!AL826),IF(M66&lt;&gt;"",IF(Tablas!$AK826="Básica",INDEX(Tablas!$AF$826:$AF$828,AG66),IF(Tablas!$AK826="Avanzada",INDEX(Tablas!$AG$826:$AG$827,AG66),"")),"")),"")</f>
        <v/>
      </c>
      <c r="M66" s="2083"/>
      <c r="N66" s="2958" t="str">
        <f>IFERROR(IF(O66&lt;&gt;"",IF(Tablas!$AK826="Básica",INDEX(Tablas!$AF$826:$AF$828,AH66),IF(Tablas!$AK826="Avanzada",INDEX(Tablas!$AG$826:$AG$827,AH66),"")),""),"")</f>
        <v/>
      </c>
      <c r="O66" s="2945"/>
      <c r="P66" s="78" t="str">
        <f>IFERROR(IF(Q66&lt;&gt;"",IF(Tablas!$AK826="Básica",INDEX(Tablas!$AF$826:$AF$828,AI66),IF(Tablas!$AK826="Avanzada",INDEX(Tablas!$AG$826:$AG$827,AI66),"")),""),"")</f>
        <v/>
      </c>
      <c r="Q66" s="2945"/>
      <c r="R66" s="78" t="str">
        <f>IFERROR(IF(S66&lt;&gt;"",IF(Tablas!$AK826="Básica",INDEX(Tablas!$AF$826:$AF$828,AJ66),IF(Tablas!$AK826="Avanzada",INDEX(Tablas!$AG$826:$AG$827,AJ66),"")),""),"")</f>
        <v/>
      </c>
      <c r="S66" s="2945"/>
      <c r="T66" s="78" t="str">
        <f>IFERROR(IF(U66&lt;&gt;"",IF(Tablas!$AK826="Básica",INDEX(Tablas!$AF$826:$AF$828,AK66),IF(Tablas!$AK826="Avanzada",INDEX(Tablas!$AG$826:$AG$827,AK66),"")),""),"")</f>
        <v/>
      </c>
      <c r="U66" s="2945"/>
      <c r="V66" s="3660" t="str">
        <f t="shared" si="17"/>
        <v/>
      </c>
      <c r="W66" s="3661"/>
      <c r="X66" s="3661"/>
      <c r="Y66" s="3661"/>
      <c r="Z66" s="3661"/>
      <c r="AA66" s="3662"/>
      <c r="AB66" s="2491"/>
      <c r="AC66" s="1474"/>
      <c r="AD66" s="2468">
        <f t="shared" si="18"/>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25"/>
      <c r="D67" s="3880"/>
      <c r="E67" s="3781"/>
      <c r="F67" s="3782"/>
      <c r="G67" s="3782"/>
      <c r="H67" s="3782"/>
      <c r="I67" s="3783"/>
      <c r="J67" s="3784"/>
      <c r="K67" s="3785"/>
      <c r="L67" s="2639" t="str">
        <f>IFERROR(IF(NOT(Tablas!$AK$814),INDEX(Tablas!AN827:AP827,1,Tablas!AL827),IF(M67&lt;&gt;"",IF(Tablas!$AK827="Básica",INDEX(Tablas!$AF$826:$AF$828,AG67),IF(Tablas!$AK827="Avanzada",INDEX(Tablas!$AG$826:$AG$827,AG67),"")),"")),"")</f>
        <v/>
      </c>
      <c r="M67" s="2064"/>
      <c r="N67" s="2953" t="str">
        <f>IFERROR(IF(O67&lt;&gt;"",IF(Tablas!$AK827="Básica",INDEX(Tablas!$AF$826:$AF$828,AH67),IF(Tablas!$AK827="Avanzada",INDEX(Tablas!$AG$826:$AG$827,AH67),"")),""),"")</f>
        <v/>
      </c>
      <c r="O67" s="2943"/>
      <c r="P67" s="2678" t="str">
        <f>IFERROR(IF(Q67&lt;&gt;"",IF(Tablas!$AK827="Básica",INDEX(Tablas!$AF$826:$AF$828,AI67),IF(Tablas!$AK827="Avanzada",INDEX(Tablas!$AG$826:$AG$827,AI67),"")),""),"")</f>
        <v/>
      </c>
      <c r="Q67" s="2943"/>
      <c r="R67" s="2678" t="str">
        <f>IFERROR(IF(S67&lt;&gt;"",IF(Tablas!$AK827="Básica",INDEX(Tablas!$AF$826:$AF$828,AJ67),IF(Tablas!$AK827="Avanzada",INDEX(Tablas!$AG$826:$AG$827,AJ67),"")),""),"")</f>
        <v/>
      </c>
      <c r="S67" s="2943"/>
      <c r="T67" s="2678" t="str">
        <f>IFERROR(IF(U67&lt;&gt;"",IF(Tablas!$AK827="Básica",INDEX(Tablas!$AF$826:$AF$828,AK67),IF(Tablas!$AK827="Avanzada",INDEX(Tablas!$AG$826:$AG$827,AK67),"")),""),"")</f>
        <v/>
      </c>
      <c r="U67" s="2943"/>
      <c r="V67" s="3663" t="str">
        <f t="shared" si="17"/>
        <v/>
      </c>
      <c r="W67" s="3664"/>
      <c r="X67" s="3664"/>
      <c r="Y67" s="3664"/>
      <c r="Z67" s="3664"/>
      <c r="AA67" s="3665"/>
      <c r="AB67" s="2491"/>
      <c r="AC67" s="1474"/>
      <c r="AD67" s="2468">
        <f t="shared" si="18"/>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25"/>
      <c r="D68" s="3880"/>
      <c r="E68" s="3776"/>
      <c r="F68" s="3777"/>
      <c r="G68" s="3777"/>
      <c r="H68" s="3777"/>
      <c r="I68" s="3778"/>
      <c r="J68" s="3779"/>
      <c r="K68" s="3780"/>
      <c r="L68" s="2637" t="str">
        <f>IFERROR(IF(NOT(Tablas!$AK$814),INDEX(Tablas!AN828:AP828,1,Tablas!AL828),IF(M68&lt;&gt;"",IF(Tablas!$AK828="Básica",INDEX(Tablas!$AF$826:$AF$828,AG68),IF(Tablas!$AK828="Avanzada",INDEX(Tablas!$AG$826:$AG$827,AG68),"")),"")),"")</f>
        <v/>
      </c>
      <c r="M68" s="2083"/>
      <c r="N68" s="2958" t="str">
        <f>IFERROR(IF(O68&lt;&gt;"",IF(Tablas!$AK828="Básica",INDEX(Tablas!$AF$826:$AF$828,AH68),IF(Tablas!$AK828="Avanzada",INDEX(Tablas!$AG$826:$AG$827,AH68),"")),""),"")</f>
        <v/>
      </c>
      <c r="O68" s="2945"/>
      <c r="P68" s="78" t="str">
        <f>IFERROR(IF(Q68&lt;&gt;"",IF(Tablas!$AK828="Básica",INDEX(Tablas!$AF$826:$AF$828,AI68),IF(Tablas!$AK828="Avanzada",INDEX(Tablas!$AG$826:$AG$827,AI68),"")),""),"")</f>
        <v/>
      </c>
      <c r="Q68" s="2945"/>
      <c r="R68" s="78" t="str">
        <f>IFERROR(IF(S68&lt;&gt;"",IF(Tablas!$AK828="Básica",INDEX(Tablas!$AF$826:$AF$828,AJ68),IF(Tablas!$AK828="Avanzada",INDEX(Tablas!$AG$826:$AG$827,AJ68),"")),""),"")</f>
        <v/>
      </c>
      <c r="S68" s="2945"/>
      <c r="T68" s="78" t="str">
        <f>IFERROR(IF(U68&lt;&gt;"",IF(Tablas!$AK828="Básica",INDEX(Tablas!$AF$826:$AF$828,AK68),IF(Tablas!$AK828="Avanzada",INDEX(Tablas!$AG$826:$AG$827,AK68),"")),""),"")</f>
        <v/>
      </c>
      <c r="U68" s="2945"/>
      <c r="V68" s="3660" t="str">
        <f t="shared" si="17"/>
        <v/>
      </c>
      <c r="W68" s="3661"/>
      <c r="X68" s="3661"/>
      <c r="Y68" s="3661"/>
      <c r="Z68" s="3661"/>
      <c r="AA68" s="3662"/>
      <c r="AB68" s="2491"/>
      <c r="AC68" s="1474"/>
      <c r="AD68" s="2468">
        <f t="shared" si="18"/>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25"/>
      <c r="D69" s="3880"/>
      <c r="E69" s="3781"/>
      <c r="F69" s="3782"/>
      <c r="G69" s="3782"/>
      <c r="H69" s="3782"/>
      <c r="I69" s="3783"/>
      <c r="J69" s="3784"/>
      <c r="K69" s="3785"/>
      <c r="L69" s="2639" t="str">
        <f>IFERROR(IF(NOT(Tablas!$AK$814),INDEX(Tablas!AN829:AP829,1,Tablas!AL829),IF(M69&lt;&gt;"",IF(Tablas!$AK829="Básica",INDEX(Tablas!$AF$826:$AF$828,AG69),IF(Tablas!$AK829="Avanzada",INDEX(Tablas!$AG$826:$AG$827,AG69),"")),"")),"")</f>
        <v/>
      </c>
      <c r="M69" s="2064"/>
      <c r="N69" s="2953" t="str">
        <f>IFERROR(IF(O69&lt;&gt;"",IF(Tablas!$AK829="Básica",INDEX(Tablas!$AF$826:$AF$828,AH69),IF(Tablas!$AK829="Avanzada",INDEX(Tablas!$AG$826:$AG$827,AH69),"")),""),"")</f>
        <v/>
      </c>
      <c r="O69" s="2943"/>
      <c r="P69" s="2678" t="str">
        <f>IFERROR(IF(Q69&lt;&gt;"",IF(Tablas!$AK829="Básica",INDEX(Tablas!$AF$826:$AF$828,AI69),IF(Tablas!$AK829="Avanzada",INDEX(Tablas!$AG$826:$AG$827,AI69),"")),""),"")</f>
        <v/>
      </c>
      <c r="Q69" s="2943"/>
      <c r="R69" s="2678" t="str">
        <f>IFERROR(IF(S69&lt;&gt;"",IF(Tablas!$AK829="Básica",INDEX(Tablas!$AF$826:$AF$828,AJ69),IF(Tablas!$AK829="Avanzada",INDEX(Tablas!$AG$826:$AG$827,AJ69),"")),""),"")</f>
        <v/>
      </c>
      <c r="S69" s="2943"/>
      <c r="T69" s="2678" t="str">
        <f>IFERROR(IF(U69&lt;&gt;"",IF(Tablas!$AK829="Básica",INDEX(Tablas!$AF$826:$AF$828,AK69),IF(Tablas!$AK829="Avanzada",INDEX(Tablas!$AG$826:$AG$827,AK69),"")),""),"")</f>
        <v/>
      </c>
      <c r="U69" s="2943"/>
      <c r="V69" s="3663" t="str">
        <f t="shared" si="17"/>
        <v/>
      </c>
      <c r="W69" s="3664"/>
      <c r="X69" s="3664"/>
      <c r="Y69" s="3664"/>
      <c r="Z69" s="3664"/>
      <c r="AA69" s="3665"/>
      <c r="AB69" s="2491"/>
      <c r="AC69" s="1474"/>
      <c r="AD69" s="2468">
        <f t="shared" si="18"/>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25"/>
      <c r="D70" s="3880"/>
      <c r="E70" s="3776"/>
      <c r="F70" s="3777"/>
      <c r="G70" s="3777"/>
      <c r="H70" s="3777"/>
      <c r="I70" s="3778"/>
      <c r="J70" s="3779"/>
      <c r="K70" s="3780"/>
      <c r="L70" s="2637" t="str">
        <f>IFERROR(IF(NOT(Tablas!$AK$814),INDEX(Tablas!AN830:AP830,1,Tablas!AL830),IF(M70&lt;&gt;"",IF(Tablas!$AK830="Básica",INDEX(Tablas!$AF$826:$AF$828,AG70),IF(Tablas!$AK830="Avanzada",INDEX(Tablas!$AG$826:$AG$827,AG70),"")),"")),"")</f>
        <v/>
      </c>
      <c r="M70" s="2083"/>
      <c r="N70" s="2958" t="str">
        <f>IFERROR(IF(O70&lt;&gt;"",IF(Tablas!$AK830="Básica",INDEX(Tablas!$AF$826:$AF$828,AH70),IF(Tablas!$AK830="Avanzada",INDEX(Tablas!$AG$826:$AG$827,AH70),"")),""),"")</f>
        <v/>
      </c>
      <c r="O70" s="2945"/>
      <c r="P70" s="78" t="str">
        <f>IFERROR(IF(Q70&lt;&gt;"",IF(Tablas!$AK830="Básica",INDEX(Tablas!$AF$826:$AF$828,AI70),IF(Tablas!$AK830="Avanzada",INDEX(Tablas!$AG$826:$AG$827,AI70),"")),""),"")</f>
        <v/>
      </c>
      <c r="Q70" s="2945"/>
      <c r="R70" s="78" t="str">
        <f>IFERROR(IF(S70&lt;&gt;"",IF(Tablas!$AK830="Básica",INDEX(Tablas!$AF$826:$AF$828,AJ70),IF(Tablas!$AK830="Avanzada",INDEX(Tablas!$AG$826:$AG$827,AJ70),"")),""),"")</f>
        <v/>
      </c>
      <c r="S70" s="2945"/>
      <c r="T70" s="78" t="str">
        <f>IFERROR(IF(U70&lt;&gt;"",IF(Tablas!$AK830="Básica",INDEX(Tablas!$AF$826:$AF$828,AK70),IF(Tablas!$AK830="Avanzada",INDEX(Tablas!$AG$826:$AG$827,AK70),"")),""),"")</f>
        <v/>
      </c>
      <c r="U70" s="2945"/>
      <c r="V70" s="3660" t="str">
        <f t="shared" si="17"/>
        <v/>
      </c>
      <c r="W70" s="3661"/>
      <c r="X70" s="3661"/>
      <c r="Y70" s="3661"/>
      <c r="Z70" s="3661"/>
      <c r="AA70" s="3662"/>
      <c r="AB70" s="2491"/>
      <c r="AC70" s="1474"/>
      <c r="AD70" s="2468">
        <f t="shared" si="18"/>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25"/>
      <c r="D71" s="3880"/>
      <c r="E71" s="3781"/>
      <c r="F71" s="3782"/>
      <c r="G71" s="3782"/>
      <c r="H71" s="3782"/>
      <c r="I71" s="3783"/>
      <c r="J71" s="3784"/>
      <c r="K71" s="3785"/>
      <c r="L71" s="2639" t="str">
        <f>IFERROR(IF(NOT(Tablas!$AK$814),INDEX(Tablas!AN831:AP831,1,Tablas!AL831),IF(M71&lt;&gt;"",IF(Tablas!$AK831="Básica",INDEX(Tablas!$AF$826:$AF$828,AG71),IF(Tablas!$AK831="Avanzada",INDEX(Tablas!$AG$826:$AG$827,AG71),"")),"")),"")</f>
        <v/>
      </c>
      <c r="M71" s="2064"/>
      <c r="N71" s="2953" t="str">
        <f>IFERROR(IF(O71&lt;&gt;"",IF(Tablas!$AK831="Básica",INDEX(Tablas!$AF$826:$AF$828,AH71),IF(Tablas!$AK831="Avanzada",INDEX(Tablas!$AG$826:$AG$827,AH71),"")),""),"")</f>
        <v/>
      </c>
      <c r="O71" s="2943"/>
      <c r="P71" s="2678" t="str">
        <f>IFERROR(IF(Q71&lt;&gt;"",IF(Tablas!$AK831="Básica",INDEX(Tablas!$AF$826:$AF$828,AI71),IF(Tablas!$AK831="Avanzada",INDEX(Tablas!$AG$826:$AG$827,AI71),"")),""),"")</f>
        <v/>
      </c>
      <c r="Q71" s="2943"/>
      <c r="R71" s="2678" t="str">
        <f>IFERROR(IF(S71&lt;&gt;"",IF(Tablas!$AK831="Básica",INDEX(Tablas!$AF$826:$AF$828,AJ71),IF(Tablas!$AK831="Avanzada",INDEX(Tablas!$AG$826:$AG$827,AJ71),"")),""),"")</f>
        <v/>
      </c>
      <c r="S71" s="2943"/>
      <c r="T71" s="2678" t="str">
        <f>IFERROR(IF(U71&lt;&gt;"",IF(Tablas!$AK831="Básica",INDEX(Tablas!$AF$826:$AF$828,AK71),IF(Tablas!$AK831="Avanzada",INDEX(Tablas!$AG$826:$AG$827,AK71),"")),""),"")</f>
        <v/>
      </c>
      <c r="U71" s="2943"/>
      <c r="V71" s="3663" t="str">
        <f t="shared" si="17"/>
        <v/>
      </c>
      <c r="W71" s="3664"/>
      <c r="X71" s="3664"/>
      <c r="Y71" s="3664"/>
      <c r="Z71" s="3664"/>
      <c r="AA71" s="3665"/>
      <c r="AB71" s="2491"/>
      <c r="AC71" s="1474"/>
      <c r="AD71" s="2468">
        <f t="shared" si="18"/>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25"/>
      <c r="D72" s="3880"/>
      <c r="E72" s="3776"/>
      <c r="F72" s="3777"/>
      <c r="G72" s="3777"/>
      <c r="H72" s="3777"/>
      <c r="I72" s="3778"/>
      <c r="J72" s="3779"/>
      <c r="K72" s="3780"/>
      <c r="L72" s="2637" t="str">
        <f>IFERROR(IF(NOT(Tablas!$AK$814),INDEX(Tablas!AN832:AP832,1,Tablas!AL832),IF(M72&lt;&gt;"",IF(Tablas!$AK832="Básica",INDEX(Tablas!$AF$826:$AF$828,AG72),IF(Tablas!$AK832="Avanzada",INDEX(Tablas!$AG$826:$AG$827,AG72),"")),"")),"")</f>
        <v/>
      </c>
      <c r="M72" s="2083"/>
      <c r="N72" s="2958" t="str">
        <f>IFERROR(IF(O72&lt;&gt;"",IF(Tablas!$AK832="Básica",INDEX(Tablas!$AF$826:$AF$828,AH72),IF(Tablas!$AK832="Avanzada",INDEX(Tablas!$AG$826:$AG$827,AH72),"")),""),"")</f>
        <v/>
      </c>
      <c r="O72" s="2945"/>
      <c r="P72" s="78" t="str">
        <f>IFERROR(IF(Q72&lt;&gt;"",IF(Tablas!$AK832="Básica",INDEX(Tablas!$AF$826:$AF$828,AI72),IF(Tablas!$AK832="Avanzada",INDEX(Tablas!$AG$826:$AG$827,AI72),"")),""),"")</f>
        <v/>
      </c>
      <c r="Q72" s="2945"/>
      <c r="R72" s="78" t="str">
        <f>IFERROR(IF(S72&lt;&gt;"",IF(Tablas!$AK832="Básica",INDEX(Tablas!$AF$826:$AF$828,AJ72),IF(Tablas!$AK832="Avanzada",INDEX(Tablas!$AG$826:$AG$827,AJ72),"")),""),"")</f>
        <v/>
      </c>
      <c r="S72" s="2945"/>
      <c r="T72" s="78" t="str">
        <f>IFERROR(IF(U72&lt;&gt;"",IF(Tablas!$AK832="Básica",INDEX(Tablas!$AF$826:$AF$828,AK72),IF(Tablas!$AK832="Avanzada",INDEX(Tablas!$AG$826:$AG$827,AK72),"")),""),"")</f>
        <v/>
      </c>
      <c r="U72" s="2945"/>
      <c r="V72" s="3660" t="str">
        <f t="shared" si="17"/>
        <v/>
      </c>
      <c r="W72" s="3661"/>
      <c r="X72" s="3661"/>
      <c r="Y72" s="3661"/>
      <c r="Z72" s="3661"/>
      <c r="AA72" s="3662"/>
      <c r="AB72" s="2491"/>
      <c r="AC72" s="1474"/>
      <c r="AD72" s="2468">
        <f t="shared" si="18"/>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25"/>
      <c r="D73" s="3880"/>
      <c r="E73" s="3781"/>
      <c r="F73" s="3782"/>
      <c r="G73" s="3782"/>
      <c r="H73" s="3782"/>
      <c r="I73" s="3783"/>
      <c r="J73" s="3784"/>
      <c r="K73" s="3785"/>
      <c r="L73" s="2639" t="str">
        <f>IFERROR(IF(NOT(Tablas!$AK$814),INDEX(Tablas!AN833:AP833,1,Tablas!AL833),IF(M73&lt;&gt;"",IF(Tablas!$AK833="Básica",INDEX(Tablas!$AF$826:$AF$828,AG73),IF(Tablas!$AK833="Avanzada",INDEX(Tablas!$AG$826:$AG$827,AG73),"")),"")),"")</f>
        <v/>
      </c>
      <c r="M73" s="2064"/>
      <c r="N73" s="2953" t="str">
        <f>IFERROR(IF(O73&lt;&gt;"",IF(Tablas!$AK833="Básica",INDEX(Tablas!$AF$826:$AF$828,AH73),IF(Tablas!$AK833="Avanzada",INDEX(Tablas!$AG$826:$AG$827,AH73),"")),""),"")</f>
        <v/>
      </c>
      <c r="O73" s="2943"/>
      <c r="P73" s="2678" t="str">
        <f>IFERROR(IF(Q73&lt;&gt;"",IF(Tablas!$AK833="Básica",INDEX(Tablas!$AF$826:$AF$828,AI73),IF(Tablas!$AK833="Avanzada",INDEX(Tablas!$AG$826:$AG$827,AI73),"")),""),"")</f>
        <v/>
      </c>
      <c r="Q73" s="2943"/>
      <c r="R73" s="2678" t="str">
        <f>IFERROR(IF(S73&lt;&gt;"",IF(Tablas!$AK833="Básica",INDEX(Tablas!$AF$826:$AF$828,AJ73),IF(Tablas!$AK833="Avanzada",INDEX(Tablas!$AG$826:$AG$827,AJ73),"")),""),"")</f>
        <v/>
      </c>
      <c r="S73" s="2943"/>
      <c r="T73" s="2678" t="str">
        <f>IFERROR(IF(U73&lt;&gt;"",IF(Tablas!$AK833="Básica",INDEX(Tablas!$AF$826:$AF$828,AK73),IF(Tablas!$AK833="Avanzada",INDEX(Tablas!$AG$826:$AG$827,AK73),"")),""),"")</f>
        <v/>
      </c>
      <c r="U73" s="2943"/>
      <c r="V73" s="3663" t="str">
        <f t="shared" si="17"/>
        <v/>
      </c>
      <c r="W73" s="3664"/>
      <c r="X73" s="3664"/>
      <c r="Y73" s="3664"/>
      <c r="Z73" s="3664"/>
      <c r="AA73" s="3665"/>
      <c r="AB73" s="2491"/>
      <c r="AC73" s="1474"/>
      <c r="AD73" s="2468">
        <f t="shared" si="18"/>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25"/>
      <c r="D74" s="3880"/>
      <c r="E74" s="3786"/>
      <c r="F74" s="3787"/>
      <c r="G74" s="3787"/>
      <c r="H74" s="3787"/>
      <c r="I74" s="3788"/>
      <c r="J74" s="3789"/>
      <c r="K74" s="3790"/>
      <c r="L74" s="2637" t="str">
        <f>IFERROR(IF(NOT(Tablas!$AK$814),INDEX(Tablas!AN834:AP834,1,Tablas!AL834),IF(M74&lt;&gt;"",IF(Tablas!$AK834="Básica",INDEX(Tablas!$AF$826:$AF$828,AG74),IF(Tablas!$AK834="Avanzada",INDEX(Tablas!$AG$826:$AG$827,AG74),"")),"")),"")</f>
        <v/>
      </c>
      <c r="M74" s="2083"/>
      <c r="N74" s="2958" t="str">
        <f>IFERROR(IF(O74&lt;&gt;"",IF(Tablas!$AK834="Básica",INDEX(Tablas!$AF$826:$AF$828,AH74),IF(Tablas!$AK834="Avanzada",INDEX(Tablas!$AG$826:$AG$827,AH74),"")),""),"")</f>
        <v/>
      </c>
      <c r="O74" s="2945"/>
      <c r="P74" s="78" t="str">
        <f>IFERROR(IF(Q74&lt;&gt;"",IF(Tablas!$AK834="Básica",INDEX(Tablas!$AF$826:$AF$828,AI74),IF(Tablas!$AK834="Avanzada",INDEX(Tablas!$AG$826:$AG$827,AI74),"")),""),"")</f>
        <v/>
      </c>
      <c r="Q74" s="2945"/>
      <c r="R74" s="78" t="str">
        <f>IFERROR(IF(S74&lt;&gt;"",IF(Tablas!$AK834="Básica",INDEX(Tablas!$AF$826:$AF$828,AJ74),IF(Tablas!$AK834="Avanzada",INDEX(Tablas!$AG$826:$AG$827,AJ74),"")),""),"")</f>
        <v/>
      </c>
      <c r="S74" s="2945"/>
      <c r="T74" s="78" t="str">
        <f>IFERROR(IF(U74&lt;&gt;"",IF(Tablas!$AK834="Básica",INDEX(Tablas!$AF$826:$AF$828,AK74),IF(Tablas!$AK834="Avanzada",INDEX(Tablas!$AG$826:$AG$827,AK74),"")),""),"")</f>
        <v/>
      </c>
      <c r="U74" s="2945"/>
      <c r="V74" s="3921" t="str">
        <f t="shared" si="17"/>
        <v/>
      </c>
      <c r="W74" s="3922"/>
      <c r="X74" s="3922"/>
      <c r="Y74" s="3922"/>
      <c r="Z74" s="3922"/>
      <c r="AA74" s="3923"/>
      <c r="AB74" s="2491"/>
      <c r="AC74" s="1474"/>
      <c r="AD74" s="2468">
        <f t="shared" si="18"/>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25"/>
      <c r="D75" s="3880"/>
      <c r="E75" s="3950"/>
      <c r="F75" s="3840"/>
      <c r="G75" s="3840"/>
      <c r="H75" s="3840"/>
      <c r="I75" s="3840"/>
      <c r="J75" s="3840"/>
      <c r="K75" s="3841"/>
      <c r="L75" s="2962" t="str">
        <f>IF($E75=0,"",TRUNC(IF(Categoría_2="Tao",0.5,1)*VLOOKUP($E75,Tabla_AM_Armas,2,FALSE),0))</f>
        <v/>
      </c>
      <c r="M75" s="2946"/>
      <c r="N75" s="2962" t="str">
        <f>IF($E75=0,"",TRUNC(IF(Categoría_2="Tao",0.5,1)*VLOOKUP($E75,Tabla_AM_Armas,2,FALSE),0))</f>
        <v/>
      </c>
      <c r="O75" s="2946"/>
      <c r="P75" s="2962" t="str">
        <f>IF($E75=0,"",TRUNC(IF(Categoría_2="Tao",0.5,1)*VLOOKUP($E75,Tabla_AM_Armas,2,FALSE),0))</f>
        <v/>
      </c>
      <c r="Q75" s="2946"/>
      <c r="R75" s="2962" t="str">
        <f>IF($E75=0,"",TRUNC(IF(Categoría_2="Tao",0.5,1)*VLOOKUP($E75,Tabla_AM_Armas,2,FALSE),0))</f>
        <v/>
      </c>
      <c r="S75" s="2946"/>
      <c r="T75" s="2962" t="str">
        <f>IF($E75=0,"",TRUNC(IF(Categoría_2="Tao",0.5,1)*VLOOKUP($E75,Tabla_AM_Armas,2,FALSE),0))</f>
        <v/>
      </c>
      <c r="U75" s="2946"/>
      <c r="V75" s="3924" t="str">
        <f>IF(E75=0,"",IF(VLOOKUP(E75,Tabla_AM_Armas,4,FALSE)="-","-","FALTAN REQUISITOS"))</f>
        <v/>
      </c>
      <c r="W75" s="3925"/>
      <c r="X75" s="3925"/>
      <c r="Y75" s="3925"/>
      <c r="Z75" s="3925"/>
      <c r="AA75" s="3926"/>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25"/>
      <c r="D76" s="3880"/>
      <c r="E76" s="3852"/>
      <c r="F76" s="3837"/>
      <c r="G76" s="3837"/>
      <c r="H76" s="3837"/>
      <c r="I76" s="3837"/>
      <c r="J76" s="3837"/>
      <c r="K76" s="3838"/>
      <c r="L76" s="2963" t="str">
        <f>IF($E76=0,"",TRUNC(IF(Categoría_2="Tao",0.5,1)*VLOOKUP($E76,Tabla_AM_Armas,2,FALSE),0))</f>
        <v/>
      </c>
      <c r="M76" s="2964"/>
      <c r="N76" s="2963" t="str">
        <f>IF($E76=0,"",TRUNC(IF(Categoría_2="Tao",0.5,1)*VLOOKUP($E76,Tabla_AM_Armas,2,FALSE),0))</f>
        <v/>
      </c>
      <c r="O76" s="2964"/>
      <c r="P76" s="2963" t="str">
        <f>IF($E76=0,"",TRUNC(IF(Categoría_2="Tao",0.5,1)*VLOOKUP($E76,Tabla_AM_Armas,2,FALSE),0))</f>
        <v/>
      </c>
      <c r="Q76" s="2964"/>
      <c r="R76" s="2963" t="str">
        <f>IF($E76=0,"",TRUNC(IF(Categoría_2="Tao",0.5,1)*VLOOKUP($E76,Tabla_AM_Armas,2,FALSE),0))</f>
        <v/>
      </c>
      <c r="S76" s="2964"/>
      <c r="T76" s="2963" t="str">
        <f>IF($E76=0,"",TRUNC(IF(Categoría_2="Tao",0.5,1)*VLOOKUP($E76,Tabla_AM_Armas,2,FALSE),0))</f>
        <v/>
      </c>
      <c r="U76" s="2964"/>
      <c r="V76" s="3707" t="str">
        <f>IF(E76=0,"",IF(VLOOKUP(E76,Tabla_AM_Armas,4,FALSE)="-","-","FALTAN REQUISITOS"))</f>
        <v/>
      </c>
      <c r="W76" s="3708"/>
      <c r="X76" s="3708"/>
      <c r="Y76" s="3708"/>
      <c r="Z76" s="3708"/>
      <c r="AA76" s="3927"/>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25"/>
      <c r="D77" s="3881"/>
      <c r="E77" s="3954"/>
      <c r="F77" s="3955"/>
      <c r="G77" s="3955"/>
      <c r="H77" s="3955"/>
      <c r="I77" s="3955"/>
      <c r="J77" s="3955"/>
      <c r="K77" s="3956"/>
      <c r="L77" s="2965" t="str">
        <f>IF($E77=0,"",TRUNC(IF(Categoría_2="Tao",0.5,1)*VLOOKUP($E77,Tabla_AM_Armas,2,FALSE),0))</f>
        <v/>
      </c>
      <c r="M77" s="2966"/>
      <c r="N77" s="2965" t="str">
        <f>IF($E77=0,"",TRUNC(IF(Categoría_2="Tao",0.5,1)*VLOOKUP($E77,Tabla_AM_Armas,2,FALSE),0))</f>
        <v/>
      </c>
      <c r="O77" s="2966"/>
      <c r="P77" s="2965" t="str">
        <f>IF($E77=0,"",TRUNC(IF(Categoría_2="Tao",0.5,1)*VLOOKUP($E77,Tabla_AM_Armas,2,FALSE),0))</f>
        <v/>
      </c>
      <c r="Q77" s="2966"/>
      <c r="R77" s="2965" t="str">
        <f>IF($E77=0,"",TRUNC(IF(Categoría_2="Tao",0.5,1)*VLOOKUP($E77,Tabla_AM_Armas,2,FALSE),0))</f>
        <v/>
      </c>
      <c r="S77" s="2966"/>
      <c r="T77" s="2965" t="str">
        <f>IF($E77=0,"",TRUNC(IF(Categoría_2="Tao",0.5,1)*VLOOKUP($E77,Tabla_AM_Armas,2,FALSE),0))</f>
        <v/>
      </c>
      <c r="U77" s="2966"/>
      <c r="V77" s="3928" t="str">
        <f>IF(E77=0,"",IF(VLOOKUP(E77,Tabla_AM_Armas,4,FALSE)="-","-","FALTAN REQUISITOS"))</f>
        <v/>
      </c>
      <c r="W77" s="3929"/>
      <c r="X77" s="3929"/>
      <c r="Y77" s="3929"/>
      <c r="Z77" s="3929"/>
      <c r="AA77" s="3930"/>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25"/>
      <c r="D78" s="3857" t="s">
        <v>1779</v>
      </c>
      <c r="E78" s="3807"/>
      <c r="F78" s="3808"/>
      <c r="G78" s="3808"/>
      <c r="H78" s="3808"/>
      <c r="I78" s="3808"/>
      <c r="J78" s="3808"/>
      <c r="K78" s="3809"/>
      <c r="L78" s="2970" t="str">
        <f>IFERROR(IF($E78=0,"",VLOOKUP($E78,Tabla_ArsMagnus,2,FALSE))*IF(AND($E78="Kiai",L$19="Tao"),0.5,1),"")</f>
        <v/>
      </c>
      <c r="M78" s="2944"/>
      <c r="N78" s="2970" t="str">
        <f>IFERROR(IF($E78=0,"",VLOOKUP($E78,Tabla_ArsMagnus,2,FALSE))*IF(AND($E78="Kiai",N$19="Tao"),0.5,1),"")</f>
        <v/>
      </c>
      <c r="O78" s="2944"/>
      <c r="P78" s="2970" t="str">
        <f>IFERROR(IF($E78=0,"",VLOOKUP($E78,Tabla_ArsMagnus,2,FALSE))*IF(AND($E78="Kiai",P$19="Tao"),0.5,1),"")</f>
        <v/>
      </c>
      <c r="Q78" s="2944"/>
      <c r="R78" s="2970" t="str">
        <f>IFERROR(IF($E78=0,"",VLOOKUP($E78,Tabla_ArsMagnus,2,FALSE))*IF(AND($E78="Kiai",R$19="Tao"),0.5,1),"")</f>
        <v/>
      </c>
      <c r="S78" s="2944"/>
      <c r="T78" s="2970" t="str">
        <f>IFERROR(IF($E78=0,"",VLOOKUP($E78,Tabla_ArsMagnus,2,FALSE))*IF(AND($E78="Kiai",T$19="Tao"),0.5,1),"")</f>
        <v/>
      </c>
      <c r="U78" s="2944"/>
      <c r="V78" s="3946" t="str">
        <f>IF(E78=0,"",IF(VLOOKUP(E78,Tabla_ArsMagnus,5,FALSE)="-","Ver Descripción","FALTAN REQUISITOS"))</f>
        <v/>
      </c>
      <c r="W78" s="3947"/>
      <c r="X78" s="3947"/>
      <c r="Y78" s="3947"/>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25"/>
      <c r="D79" s="3858"/>
      <c r="E79" s="3951"/>
      <c r="F79" s="3952"/>
      <c r="G79" s="3952"/>
      <c r="H79" s="3952"/>
      <c r="I79" s="3952"/>
      <c r="J79" s="3952"/>
      <c r="K79" s="3953"/>
      <c r="L79" s="2953" t="str">
        <f>IFERROR(IF($E79=0,"",VLOOKUP($E79,Tabla_ArsMagnus,2,FALSE))*IF(AND($E79="Kiai",L$19="Tao"),0.5,1),"")</f>
        <v/>
      </c>
      <c r="M79" s="2942"/>
      <c r="N79" s="2953" t="str">
        <f>IFERROR(IF($E79=0,"",VLOOKUP($E79,Tabla_ArsMagnus,2,FALSE))*IF(AND($E79="Kiai",N$19="Tao"),0.5,1),"")</f>
        <v/>
      </c>
      <c r="O79" s="2942"/>
      <c r="P79" s="2953" t="str">
        <f>IFERROR(IF($E79=0,"",VLOOKUP($E79,Tabla_ArsMagnus,2,FALSE))*IF(AND($E79="Kiai",P$19="Tao"),0.5,1),"")</f>
        <v/>
      </c>
      <c r="Q79" s="2942"/>
      <c r="R79" s="2953" t="str">
        <f>IFERROR(IF($E79=0,"",VLOOKUP($E79,Tabla_ArsMagnus,2,FALSE))*IF(AND($E79="Kiai",R$19="Tao"),0.5,1),"")</f>
        <v/>
      </c>
      <c r="S79" s="2942"/>
      <c r="T79" s="2953" t="str">
        <f>IFERROR(IF($E79=0,"",VLOOKUP($E79,Tabla_ArsMagnus,2,FALSE))*IF(AND($E79="Kiai",T$19="Tao"),0.5,1),"")</f>
        <v/>
      </c>
      <c r="U79" s="2942"/>
      <c r="V79" s="3948" t="str">
        <f>IF(E79=0,"",IF(VLOOKUP(E79,Tabla_ArsMagnus,5,FALSE)="-","Ver Descripción","FALTAN REQUISITOS"))</f>
        <v/>
      </c>
      <c r="W79" s="3949"/>
      <c r="X79" s="3949"/>
      <c r="Y79" s="3949"/>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25"/>
      <c r="D80" s="3858"/>
      <c r="E80" s="3807"/>
      <c r="F80" s="3808"/>
      <c r="G80" s="3808"/>
      <c r="H80" s="3808"/>
      <c r="I80" s="3808"/>
      <c r="J80" s="3808"/>
      <c r="K80" s="3809"/>
      <c r="L80" s="2958" t="str">
        <f>IFERROR(IF($E80=0,"",VLOOKUP($E80,Tabla_ArsMagnus,2,FALSE))*IF(AND($E80="Kiai",L$19="Tao"),0.5,1),"")</f>
        <v/>
      </c>
      <c r="M80" s="2944"/>
      <c r="N80" s="2958" t="str">
        <f>IFERROR(IF($E80=0,"",VLOOKUP($E80,Tabla_ArsMagnus,2,FALSE))*IF(AND($E80="Kiai",N$19="Tao"),0.5,1),"")</f>
        <v/>
      </c>
      <c r="O80" s="2944"/>
      <c r="P80" s="2958" t="str">
        <f>IFERROR(IF($E80=0,"",VLOOKUP($E80,Tabla_ArsMagnus,2,FALSE))*IF(AND($E80="Kiai",P$19="Tao"),0.5,1),"")</f>
        <v/>
      </c>
      <c r="Q80" s="2944"/>
      <c r="R80" s="2958" t="str">
        <f>IFERROR(IF($E80=0,"",VLOOKUP($E80,Tabla_ArsMagnus,2,FALSE))*IF(AND($E80="Kiai",R$19="Tao"),0.5,1),"")</f>
        <v/>
      </c>
      <c r="S80" s="2944"/>
      <c r="T80" s="2958" t="str">
        <f>IFERROR(IF($E80=0,"",VLOOKUP($E80,Tabla_ArsMagnus,2,FALSE))*IF(AND($E80="Kiai",T$19="Tao"),0.5,1),"")</f>
        <v/>
      </c>
      <c r="U80" s="2944"/>
      <c r="V80" s="3946" t="str">
        <f>IF(E80=0,"",IF(VLOOKUP(E80,Tabla_ArsMagnus,5,FALSE)="-","Ver Descripción","FALTAN REQUISITOS"))</f>
        <v/>
      </c>
      <c r="W80" s="3947"/>
      <c r="X80" s="3947"/>
      <c r="Y80" s="3947"/>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25"/>
      <c r="D81" s="3858"/>
      <c r="E81" s="3951"/>
      <c r="F81" s="3952"/>
      <c r="G81" s="3952"/>
      <c r="H81" s="3952"/>
      <c r="I81" s="3952"/>
      <c r="J81" s="3952"/>
      <c r="K81" s="3953"/>
      <c r="L81" s="2953" t="str">
        <f>IFERROR(IF($E81=0,"",VLOOKUP($E81,Tabla_ArsMagnus,2,FALSE))*IF(AND($E81="Kiai",L$19="Tao"),0.5,1),"")</f>
        <v/>
      </c>
      <c r="M81" s="2942"/>
      <c r="N81" s="2953" t="str">
        <f>IFERROR(IF($E81=0,"",VLOOKUP($E81,Tabla_ArsMagnus,2,FALSE))*IF(AND($E81="Kiai",N$19="Tao"),0.5,1),"")</f>
        <v/>
      </c>
      <c r="O81" s="2942"/>
      <c r="P81" s="2953" t="str">
        <f>IFERROR(IF($E81=0,"",VLOOKUP($E81,Tabla_ArsMagnus,2,FALSE))*IF(AND($E81="Kiai",P$19="Tao"),0.5,1),"")</f>
        <v/>
      </c>
      <c r="Q81" s="2942"/>
      <c r="R81" s="2953" t="str">
        <f>IFERROR(IF($E81=0,"",VLOOKUP($E81,Tabla_ArsMagnus,2,FALSE))*IF(AND($E81="Kiai",R$19="Tao"),0.5,1),"")</f>
        <v/>
      </c>
      <c r="S81" s="2942"/>
      <c r="T81" s="2953" t="str">
        <f>IFERROR(IF($E81=0,"",VLOOKUP($E81,Tabla_ArsMagnus,2,FALSE))*IF(AND($E81="Kiai",T$19="Tao"),0.5,1),"")</f>
        <v/>
      </c>
      <c r="U81" s="2942"/>
      <c r="V81" s="3948" t="str">
        <f>IF(E81=0,"",IF(VLOOKUP(E81,Tabla_ArsMagnus,5,FALSE)="-","Ver Descripción","FALTAN REQUISITOS"))</f>
        <v/>
      </c>
      <c r="W81" s="3949"/>
      <c r="X81" s="3949"/>
      <c r="Y81" s="3949"/>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25"/>
      <c r="D82" s="3858"/>
      <c r="E82" s="3807"/>
      <c r="F82" s="3808"/>
      <c r="G82" s="3808"/>
      <c r="H82" s="3808"/>
      <c r="I82" s="3808"/>
      <c r="J82" s="3808"/>
      <c r="K82" s="3809"/>
      <c r="L82" s="2958" t="str">
        <f>IFERROR(IF($E82=0,"",VLOOKUP($E82,Tabla_ArsMagnus,2,FALSE))*IF(AND($E82="Kiai",L$19="Tao"),0.5,1),"")</f>
        <v/>
      </c>
      <c r="M82" s="2944"/>
      <c r="N82" s="2958" t="str">
        <f>IFERROR(IF($E82=0,"",VLOOKUP($E82,Tabla_ArsMagnus,2,FALSE))*IF(AND($E82="Kiai",N$19="Tao"),0.5,1),"")</f>
        <v/>
      </c>
      <c r="O82" s="2944"/>
      <c r="P82" s="2958" t="str">
        <f>IFERROR(IF($E82=0,"",VLOOKUP($E82,Tabla_ArsMagnus,2,FALSE))*IF(AND($E82="Kiai",P$19="Tao"),0.5,1),"")</f>
        <v/>
      </c>
      <c r="Q82" s="2944"/>
      <c r="R82" s="2958" t="str">
        <f>IFERROR(IF($E82=0,"",VLOOKUP($E82,Tabla_ArsMagnus,2,FALSE))*IF(AND($E82="Kiai",R$19="Tao"),0.5,1),"")</f>
        <v/>
      </c>
      <c r="S82" s="2944"/>
      <c r="T82" s="2958" t="str">
        <f>IFERROR(IF($E82=0,"",VLOOKUP($E82,Tabla_ArsMagnus,2,FALSE))*IF(AND($E82="Kiai",T$19="Tao"),0.5,1),"")</f>
        <v/>
      </c>
      <c r="U82" s="2944"/>
      <c r="V82" s="3946" t="str">
        <f>IF(E82=0,"",IF(VLOOKUP(E82,Tabla_ArsMagnus,5,FALSE)="-","Ver Descripción","FALTAN REQUISITOS"))</f>
        <v/>
      </c>
      <c r="W82" s="3947"/>
      <c r="X82" s="3947"/>
      <c r="Y82" s="3947"/>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25"/>
      <c r="D83" s="3846" t="s">
        <v>1781</v>
      </c>
      <c r="E83" s="3847"/>
      <c r="F83" s="3847"/>
      <c r="G83" s="3847"/>
      <c r="H83" s="3847"/>
      <c r="I83" s="3847"/>
      <c r="J83" s="3847"/>
      <c r="K83" s="3940"/>
      <c r="L83" s="3810">
        <f>T$5*IF(Categoría_1=0,0.5,VLOOKUP(Categoría_1,Tabla_Categorías,6,FALSE))</f>
        <v>200</v>
      </c>
      <c r="M83" s="3812">
        <f>SUM(M27:M82)+SUM(M22:M25)</f>
        <v>0</v>
      </c>
      <c r="N83" s="3810">
        <f>SUM(T$5:T$7)*IF(Categoría_2=0,0,VLOOKUP(Categoría_2,Tabla_Categorías,6,FALSE))</f>
        <v>0</v>
      </c>
      <c r="O83" s="3812">
        <f>(SUM(O27:O82)+SUM(O22:O25)+M83)*IF(Categoría_2=0,0,1)</f>
        <v>0</v>
      </c>
      <c r="P83" s="3810">
        <f>SUM(T$5:T$9)*IF(Categoría_3=0,0,VLOOKUP(Categoría_3,Tabla_Categorías,6,FALSE))</f>
        <v>0</v>
      </c>
      <c r="Q83" s="3834">
        <f>(SUM(Q27:Q82)+SUM(Q22:Q25)+O83)*IF(Categoría_3=0,0,1)</f>
        <v>0</v>
      </c>
      <c r="R83" s="3810">
        <f>SUM(T$5:T$11)*IF(Categoría_4=0,0,VLOOKUP(Categoría_4,Tabla_Categorías,6,FALSE))</f>
        <v>0</v>
      </c>
      <c r="S83" s="3812">
        <f>(SUM(S27:S82)+SUM(S22:S25)+Q83)*IF(Categoría_4=0,0,1)</f>
        <v>0</v>
      </c>
      <c r="T83" s="3810">
        <f>SUM(T$5:T$13)*IF(Categoría_5=0,0,VLOOKUP(Categoría_5,Tabla_Categorías,6,FALSE))</f>
        <v>0</v>
      </c>
      <c r="U83" s="3812">
        <f>(SUM(U27:U82)+SUM(U22:U25)+S83)*IF(Categoría_5=0,0,1)</f>
        <v>0</v>
      </c>
      <c r="V83" s="3814"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15"/>
      <c r="X83" s="3815"/>
      <c r="Y83" s="3815"/>
      <c r="Z83" s="3815"/>
      <c r="AA83" s="3816"/>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26"/>
      <c r="D84" s="3849"/>
      <c r="E84" s="3850"/>
      <c r="F84" s="3850"/>
      <c r="G84" s="3850"/>
      <c r="H84" s="3850"/>
      <c r="I84" s="3850"/>
      <c r="J84" s="3850"/>
      <c r="K84" s="3941"/>
      <c r="L84" s="3811"/>
      <c r="M84" s="3813"/>
      <c r="N84" s="3811"/>
      <c r="O84" s="3813"/>
      <c r="P84" s="3811"/>
      <c r="Q84" s="3599"/>
      <c r="R84" s="3811"/>
      <c r="S84" s="3813"/>
      <c r="T84" s="3811"/>
      <c r="U84" s="3813"/>
      <c r="V84" s="3817"/>
      <c r="W84" s="3818"/>
      <c r="X84" s="3818"/>
      <c r="Y84" s="3818"/>
      <c r="Z84" s="3818"/>
      <c r="AA84" s="3819"/>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92" t="str">
        <f>IF(Categoría_1=0,"",Categoría_1)</f>
        <v/>
      </c>
      <c r="M87" s="3693"/>
      <c r="N87" s="3696" t="str">
        <f>IF(Categoría_2=0,"",Categoría_2)</f>
        <v/>
      </c>
      <c r="O87" s="3693"/>
      <c r="P87" s="3696" t="str">
        <f>IF(Categoría_3=0,"",Categoría_3)</f>
        <v/>
      </c>
      <c r="Q87" s="3693"/>
      <c r="R87" s="3696" t="str">
        <f>IF(Categoría_4=0,"",Categoría_4)</f>
        <v/>
      </c>
      <c r="S87" s="3693"/>
      <c r="T87" s="3696" t="str">
        <f>IF(Categoría_5=0,"",Categoría_5)</f>
        <v/>
      </c>
      <c r="U87" s="3699"/>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91"/>
      <c r="M88" s="3792"/>
      <c r="N88" s="3793"/>
      <c r="O88" s="3792"/>
      <c r="P88" s="3793"/>
      <c r="Q88" s="3792"/>
      <c r="R88" s="3793"/>
      <c r="S88" s="3792"/>
      <c r="T88" s="3793"/>
      <c r="U88" s="3945"/>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23" t="s">
        <v>1782</v>
      </c>
      <c r="D89" s="688" t="s">
        <v>1672</v>
      </c>
      <c r="E89" s="3842" t="s">
        <v>1648</v>
      </c>
      <c r="F89" s="3721"/>
      <c r="G89" s="3721"/>
      <c r="H89" s="3721"/>
      <c r="I89" s="3721"/>
      <c r="J89" s="3721"/>
      <c r="K89" s="3843"/>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21" t="s">
        <v>1763</v>
      </c>
      <c r="Y89" s="3721"/>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24"/>
      <c r="D90" s="3827" t="s">
        <v>1638</v>
      </c>
      <c r="E90" s="3730" t="s">
        <v>1783</v>
      </c>
      <c r="F90" s="3362"/>
      <c r="G90" s="3362"/>
      <c r="H90" s="3362"/>
      <c r="I90" s="3362"/>
      <c r="J90" s="3362"/>
      <c r="K90" s="3731"/>
      <c r="L90" s="2953">
        <f>IF(Categoría_1=0,0,VLOOKUP(Categoría_1,Tabla_Categorías,MATCH("Coste"&amp;$E90,Name_Tabla_Cat,FALSE),FALSE))</f>
        <v>0</v>
      </c>
      <c r="M90" s="2064"/>
      <c r="N90" s="2953">
        <f>IF(Categoría_1=0,0,VLOOKUP(Categoría_1,Tabla_Categorías,MATCH("Coste"&amp;$E90,Name_Tabla_Cat,FALSE),FALSE))</f>
        <v>0</v>
      </c>
      <c r="O90" s="2943"/>
      <c r="P90" s="2953">
        <f>IF(Categoría_1=0,0,VLOOKUP(Categoría_1,Tabla_Categorías,MATCH("Coste"&amp;$E90,Name_Tabla_Cat,FALSE),FALSE))</f>
        <v>0</v>
      </c>
      <c r="Q90" s="2943"/>
      <c r="R90" s="2953">
        <f>IF(Categoría_1=0,0,VLOOKUP(Categoría_1,Tabla_Categorías,MATCH("Coste"&amp;$E90,Name_Tabla_Cat,FALSE),FALSE))</f>
        <v>0</v>
      </c>
      <c r="S90" s="2943"/>
      <c r="T90" s="2953">
        <f>IF(Categoría_1=0,0,VLOOKUP(Categoría_1,Tabla_Categorías,MATCH("Coste"&amp;$E90,Name_Tabla_Cat,FALSE),FALSE))</f>
        <v>0</v>
      </c>
      <c r="U90" s="2943"/>
      <c r="V90" s="76">
        <f>5*(IF(L90=0,0,TRUNC(M90/L90,0))+IF(N90=0,0,TRUNC(O90/N90,0))+IF(P90=0,0,TRUNC(Q90/P90,0))+IF(R90=0,0,TRUNC(S90/R90,0))+IF(T90=0,0,TRUNC(U90/T90,0)))</f>
        <v>0</v>
      </c>
      <c r="W90" s="662">
        <f>IF(POD=0,0,VLOOKUP(POD,Tabla_ValoresBase,2))+Nivel_Total*(50*Tablas!G434+100*Tablas!G435+150*Tablas!G436)</f>
        <v>0</v>
      </c>
      <c r="X90" s="3416">
        <f>HLOOKUP($E90,Bonos_Cat_Base,2,FALSE)</f>
        <v>0</v>
      </c>
      <c r="Y90" s="3416">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24"/>
      <c r="D91" s="3827"/>
      <c r="E91" s="3727" t="s">
        <v>1784</v>
      </c>
      <c r="F91" s="3728"/>
      <c r="G91" s="3728"/>
      <c r="H91" s="3728"/>
      <c r="I91" s="3728"/>
      <c r="J91" s="3728"/>
      <c r="K91" s="3729"/>
      <c r="L91" s="2958">
        <f>IF(Categoría_1=0,0,VLOOKUP(Categoría_1,Tabla_Categorías,MATCH("Coste"&amp;$E91,Name_Tabla_Cat,FALSE),FALSE))</f>
        <v>0</v>
      </c>
      <c r="M91" s="2083"/>
      <c r="N91" s="2958">
        <f>IF(Categoría_1=0,0,VLOOKUP(Categoría_1,Tabla_Categorías,MATCH("Coste"&amp;$E91,Name_Tabla_Cat,FALSE),FALSE))</f>
        <v>0</v>
      </c>
      <c r="O91" s="2945"/>
      <c r="P91" s="2958">
        <f>IF(Categoría_1=0,0,VLOOKUP(Categoría_1,Tabla_Categorías,MATCH("Coste"&amp;$E91,Name_Tabla_Cat,FALSE),FALSE))</f>
        <v>0</v>
      </c>
      <c r="Q91" s="2945"/>
      <c r="R91" s="2958">
        <f>IF(Categoría_1=0,0,VLOOKUP(Categoría_1,Tabla_Categorías,MATCH("Coste"&amp;$E91,Name_Tabla_Cat,FALSE),FALSE))</f>
        <v>0</v>
      </c>
      <c r="S91" s="2945"/>
      <c r="T91" s="2958">
        <f>IF(Categoría_1=0,0,VLOOKUP(Categoría_1,Tabla_Categorías,MATCH("Coste"&amp;$E91,Name_Tabla_Cat,FALSE),FALSE))</f>
        <v>0</v>
      </c>
      <c r="U91" s="2945"/>
      <c r="V91" s="78">
        <f>(IF(L91=0,0,TRUNC((M91/L91),0))+IF(N91=0,0,TRUNC((O91/N91),0))+IF(P91=0,0,TRUNC((Q91/P91),0))+IF(R91=0,0,TRUNC((S91/R91),0))+IF(T91=0,0,TRUNC((U91/T91),0)))*W91</f>
        <v>0</v>
      </c>
      <c r="W91" s="659">
        <f>IF(POD=0,0,VLOOKUP(POD,TablaValoresBase,3))</f>
        <v>0</v>
      </c>
      <c r="X91" s="3702" t="s">
        <v>1729</v>
      </c>
      <c r="Y91" s="3702"/>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24"/>
      <c r="D92" s="3827"/>
      <c r="E92" s="3730" t="s">
        <v>1785</v>
      </c>
      <c r="F92" s="3362"/>
      <c r="G92" s="3362"/>
      <c r="H92" s="3362"/>
      <c r="I92" s="3362"/>
      <c r="J92" s="3362"/>
      <c r="K92" s="3731"/>
      <c r="L92" s="2953">
        <f>L$91/2</f>
        <v>0</v>
      </c>
      <c r="M92" s="2064"/>
      <c r="N92" s="2953">
        <f>N$91/2</f>
        <v>0</v>
      </c>
      <c r="O92" s="2943"/>
      <c r="P92" s="2953">
        <f>P$91/2</f>
        <v>0</v>
      </c>
      <c r="Q92" s="2943"/>
      <c r="R92" s="2953">
        <f>R$91/2</f>
        <v>0</v>
      </c>
      <c r="S92" s="2943"/>
      <c r="T92" s="2953">
        <f>T$91/2</f>
        <v>0</v>
      </c>
      <c r="U92" s="2943"/>
      <c r="V92" s="662">
        <f>(IF(L92=0,0,TRUNC((M92/L92),0))+IF(N92=0,0,TRUNC((O92/N92),0))+IF(P92=0,0,TRUNC((Q92/P92),0))+IF(R92=0,0,TRUNC((S92/R92),0))+IF(T92=0,0,TRUNC((U92/T92),0)))*W91</f>
        <v>0</v>
      </c>
      <c r="W92" s="662">
        <f>$AA$91+10*(Metamagia!$R$59+Metamagia!$X$63+Metamagia!$X$48)</f>
        <v>0</v>
      </c>
      <c r="X92" s="3416" t="s">
        <v>1729</v>
      </c>
      <c r="Y92" s="3416"/>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24"/>
      <c r="D93" s="3827"/>
      <c r="E93" s="3727" t="s">
        <v>1786</v>
      </c>
      <c r="F93" s="3728"/>
      <c r="G93" s="3728"/>
      <c r="H93" s="3728"/>
      <c r="I93" s="3728"/>
      <c r="J93" s="3728"/>
      <c r="K93" s="3729"/>
      <c r="L93" s="2958">
        <f>IF(Categoría_1=0,0,VLOOKUP(Categoría_1,Tabla_Categorías,MATCH("Coste"&amp;$E93,Name_Tabla_Cat,FALSE),FALSE))</f>
        <v>0</v>
      </c>
      <c r="M93" s="2083"/>
      <c r="N93" s="2958">
        <f>IF(Categoría_1=0,0,VLOOKUP(Categoría_1,Tabla_Categorías,MATCH("Coste"&amp;$E93,Name_Tabla_Cat,FALSE),FALSE))</f>
        <v>0</v>
      </c>
      <c r="O93" s="2945"/>
      <c r="P93" s="2958">
        <f>IF(Categoría_1=0,0,VLOOKUP(Categoría_1,Tabla_Categorías,MATCH("Coste"&amp;$E93,Name_Tabla_Cat,FALSE),FALSE))</f>
        <v>0</v>
      </c>
      <c r="Q93" s="2945"/>
      <c r="R93" s="2958">
        <f>IF(Categoría_1=0,0,VLOOKUP(Categoría_1,Tabla_Categorías,MATCH("Coste"&amp;$E93,Name_Tabla_Cat,FALSE),FALSE))</f>
        <v>0</v>
      </c>
      <c r="S93" s="2945"/>
      <c r="T93" s="2958">
        <f>IF(Categoría_1=0,0,VLOOKUP(Categoría_1,Tabla_Categorías,MATCH("Coste"&amp;$E93,Name_Tabla_Cat,FALSE),FALSE))</f>
        <v>0</v>
      </c>
      <c r="U93" s="2945"/>
      <c r="V93" s="78">
        <f>IF(L93=0,0,TRUNC(M93/L93,0))+IF(N93=0,0,TRUNC(O93/N93,0))+IF(P93=0,0,TRUNC(Q93/P93,0))+IF(R93=0,0,TRUNC(S93/R93,0))+IF(T93=0,0,TRUNC(U93/T93,0))</f>
        <v>0</v>
      </c>
      <c r="W93" s="659">
        <f>Bono_Des</f>
        <v>0</v>
      </c>
      <c r="X93" s="3702" t="s">
        <v>1729</v>
      </c>
      <c r="Y93" s="3702"/>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24"/>
      <c r="D94" s="3828"/>
      <c r="E94" s="3730" t="s">
        <v>1787</v>
      </c>
      <c r="F94" s="3362"/>
      <c r="G94" s="3362"/>
      <c r="H94" s="3362"/>
      <c r="I94" s="3362"/>
      <c r="J94" s="3362"/>
      <c r="K94" s="3731"/>
      <c r="L94" s="2953">
        <v>5</v>
      </c>
      <c r="M94" s="2064"/>
      <c r="N94" s="2953">
        <v>5</v>
      </c>
      <c r="O94" s="2943"/>
      <c r="P94" s="2953">
        <v>5</v>
      </c>
      <c r="Q94" s="2943"/>
      <c r="R94" s="2953">
        <v>5</v>
      </c>
      <c r="S94" s="2943"/>
      <c r="T94" s="2953">
        <v>5</v>
      </c>
      <c r="U94" s="2943"/>
      <c r="V94" s="81">
        <f>(IF(L94=0,0,TRUNC(M94/L94,0))+IF(N94=0,0,TRUNC(O94/N94,0))+IF(P94=0,0,TRUNC(Q94/P94,0))+IF(R94=0,0,TRUNC(S94/R94,0))+IF(T94=0,0,TRUNC(U94/T94,0)))*5</f>
        <v>0</v>
      </c>
      <c r="W94" s="662">
        <f>IF(INT=0,0,VLOOKUP(INT-Principal!$F$15,Tabla_NivelMagia,2))</f>
        <v>0</v>
      </c>
      <c r="X94" s="3416">
        <f>IF(Tablas!G442&gt;0,5*Nivel_Total,0)</f>
        <v>0</v>
      </c>
      <c r="Y94" s="3416"/>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24"/>
      <c r="D95" s="3829" t="s">
        <v>1788</v>
      </c>
      <c r="E95" s="3796" t="s">
        <v>1789</v>
      </c>
      <c r="F95" s="3797"/>
      <c r="G95" s="3797"/>
      <c r="H95" s="3797"/>
      <c r="I95" s="3797"/>
      <c r="J95" s="3797"/>
      <c r="K95" s="3802"/>
      <c r="L95" s="2974">
        <f>IF(Categoría_1=0,0,VLOOKUP(Categoría_1,Tabla_Categorías,MATCH("Coste"&amp;$E95,Name_Tabla_Cat,FALSE),FALSE))</f>
        <v>0</v>
      </c>
      <c r="M95" s="2105"/>
      <c r="N95" s="2974">
        <f>IF(Categoría_1=0,0,VLOOKUP(Categoría_1,Tabla_Categorías,MATCH("Coste"&amp;$E95,Name_Tabla_Cat,FALSE),FALSE))</f>
        <v>0</v>
      </c>
      <c r="O95" s="2105"/>
      <c r="P95" s="2974">
        <f>IF(Categoría_1=0,0,VLOOKUP(Categoría_1,Tabla_Categorías,MATCH("Coste"&amp;$E95,Name_Tabla_Cat,FALSE),FALSE))</f>
        <v>0</v>
      </c>
      <c r="Q95" s="2105"/>
      <c r="R95" s="2974">
        <f>IF(Categoría_1=0,0,VLOOKUP(Categoría_1,Tabla_Categorías,MATCH("Coste"&amp;$E95,Name_Tabla_Cat,FALSE),FALSE))</f>
        <v>0</v>
      </c>
      <c r="S95" s="2105"/>
      <c r="T95" s="2974">
        <f>IF(Categoría_1=0,0,VLOOKUP(Categoría_1,Tabla_Categorías,MATCH("Coste"&amp;$E95,Name_Tabla_Cat,FALSE),FALSE))</f>
        <v>0</v>
      </c>
      <c r="U95" s="2105"/>
      <c r="V95" s="693">
        <f>IF(L95=0,0,TRUNC(M95/L95,0))+IF(N95=0,0,TRUNC(O95/N95,0))+IF(P95=0,0,TRUNC(Q95/P95,0))+IF(R95=0,0,TRUNC(S95/R95,0))+IF(T95=0,0,TRUNC(U95/T95,0))</f>
        <v>0</v>
      </c>
      <c r="W95" s="710">
        <f>Bono_Pod</f>
        <v>0</v>
      </c>
      <c r="X95" s="3942">
        <f t="shared" ref="X95:Y98" si="19">HLOOKUP($E95,Bonos_Cat_Base,2,FALSE)</f>
        <v>0</v>
      </c>
      <c r="Y95" s="3942">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24"/>
      <c r="D96" s="3830"/>
      <c r="E96" s="3798" t="s">
        <v>7736</v>
      </c>
      <c r="F96" s="3799"/>
      <c r="G96" s="3799"/>
      <c r="H96" s="3799"/>
      <c r="I96" s="3799"/>
      <c r="J96" s="3799"/>
      <c r="K96" s="3803"/>
      <c r="L96" s="2971">
        <f>IF(Categoría_1=0,0,VLOOKUP(Categoría_1,Tabla_Categorías,MATCH("Coste"&amp;$E96,Name_Tabla_Cat,FALSE),FALSE))</f>
        <v>0</v>
      </c>
      <c r="M96" s="2070"/>
      <c r="N96" s="2971">
        <f>IF(Categoría_1=0,0,VLOOKUP(Categoría_1,Tabla_Categorías,MATCH("Coste"&amp;$E96,Name_Tabla_Cat,FALSE),FALSE))</f>
        <v>0</v>
      </c>
      <c r="O96" s="2070"/>
      <c r="P96" s="2971">
        <f>IF(Categoría_1=0,0,VLOOKUP(Categoría_1,Tabla_Categorías,MATCH("Coste"&amp;$E96,Name_Tabla_Cat,FALSE),FALSE))</f>
        <v>0</v>
      </c>
      <c r="Q96" s="2070"/>
      <c r="R96" s="2971">
        <f>IF(Categoría_1=0,0,VLOOKUP(Categoría_1,Tabla_Categorías,MATCH("Coste"&amp;$E96,Name_Tabla_Cat,FALSE),FALSE))</f>
        <v>0</v>
      </c>
      <c r="S96" s="2070"/>
      <c r="T96" s="2971">
        <f>IF(Categoría_1=0,0,VLOOKUP(Categoría_1,Tabla_Categorías,MATCH("Coste"&amp;$E96,Name_Tabla_Cat,FALSE),FALSE))</f>
        <v>0</v>
      </c>
      <c r="U96" s="2070"/>
      <c r="V96" s="76">
        <f>IF(L96=0,0,TRUNC(M96/L96,0))+IF(N96=0,0,TRUNC(O96/N96,0))+IF(P96=0,0,TRUNC(Q96/P96,0))+IF(R96=0,0,TRUNC(S96/R96,0))+IF(T96=0,0,TRUNC(U96/T96,0))</f>
        <v>0</v>
      </c>
      <c r="W96" s="665">
        <f>Bono_Vol</f>
        <v>0</v>
      </c>
      <c r="X96" s="3943">
        <f t="shared" si="19"/>
        <v>0</v>
      </c>
      <c r="Y96" s="3943">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24"/>
      <c r="D97" s="3830"/>
      <c r="E97" s="3800" t="s">
        <v>650</v>
      </c>
      <c r="F97" s="3801"/>
      <c r="G97" s="3801"/>
      <c r="H97" s="3801"/>
      <c r="I97" s="3801"/>
      <c r="J97" s="3801"/>
      <c r="K97" s="3804"/>
      <c r="L97" s="2973">
        <f>IF(Categoría_1=0,0,VLOOKUP(Categoría_1,Tabla_Categorías,MATCH("Coste"&amp;$E97,Name_Tabla_Cat,FALSE),FALSE))</f>
        <v>0</v>
      </c>
      <c r="M97" s="2106"/>
      <c r="N97" s="2973">
        <f>IF(Categoría_1=0,0,VLOOKUP(Categoría_1,Tabla_Categorías,MATCH("Coste"&amp;$E97,Name_Tabla_Cat,FALSE),FALSE))</f>
        <v>0</v>
      </c>
      <c r="O97" s="2106"/>
      <c r="P97" s="2973">
        <f>IF(Categoría_1=0,0,VLOOKUP(Categoría_1,Tabla_Categorías,MATCH("Coste"&amp;$E97,Name_Tabla_Cat,FALSE),FALSE))</f>
        <v>0</v>
      </c>
      <c r="Q97" s="2106"/>
      <c r="R97" s="2973">
        <f>IF(Categoría_1=0,0,VLOOKUP(Categoría_1,Tabla_Categorías,MATCH("Coste"&amp;$E97,Name_Tabla_Cat,FALSE),FALSE))</f>
        <v>0</v>
      </c>
      <c r="S97" s="2106"/>
      <c r="T97" s="2973">
        <f>IF(Categoría_1=0,0,VLOOKUP(Categoría_1,Tabla_Categorías,MATCH("Coste"&amp;$E97,Name_Tabla_Cat,FALSE),FALSE))</f>
        <v>0</v>
      </c>
      <c r="U97" s="2106"/>
      <c r="V97" s="78">
        <f>IF(L97=0,0,TRUNC(M97/L97,0))+IF(N97=0,0,TRUNC(O97/N97,0))+IF(P97=0,0,TRUNC(Q97/P97,0))+IF(R97=0,0,TRUNC(S97/R97,0))+IF(T97=0,0,TRUNC(U97/T97,0))</f>
        <v>0</v>
      </c>
      <c r="W97" s="664">
        <f>Bono_Pod</f>
        <v>0</v>
      </c>
      <c r="X97" s="3944">
        <f t="shared" si="19"/>
        <v>0</v>
      </c>
      <c r="Y97" s="3944">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24"/>
      <c r="D98" s="3831"/>
      <c r="E98" s="3805" t="s">
        <v>1792</v>
      </c>
      <c r="F98" s="3806"/>
      <c r="G98" s="3806"/>
      <c r="H98" s="3806"/>
      <c r="I98" s="3806"/>
      <c r="J98" s="3806"/>
      <c r="K98" s="3835"/>
      <c r="L98" s="2972">
        <f>IF(Categoría_1=0,0,VLOOKUP(Categoría_1,Tabla_Categorías,MATCH("Coste"&amp;$E98,Name_Tabla_Cat,FALSE),FALSE))</f>
        <v>0</v>
      </c>
      <c r="M98" s="2071"/>
      <c r="N98" s="2972">
        <f>IF(Categoría_1=0,0,VLOOKUP(Categoría_1,Tabla_Categorías,MATCH("Coste"&amp;$E98,Name_Tabla_Cat,FALSE),FALSE))</f>
        <v>0</v>
      </c>
      <c r="O98" s="2071"/>
      <c r="P98" s="2972">
        <f>IF(Categoría_1=0,0,VLOOKUP(Categoría_1,Tabla_Categorías,MATCH("Coste"&amp;$E98,Name_Tabla_Cat,FALSE),FALSE))</f>
        <v>0</v>
      </c>
      <c r="Q98" s="2071"/>
      <c r="R98" s="2972">
        <f>IF(Categoría_1=0,0,VLOOKUP(Categoría_1,Tabla_Categorías,MATCH("Coste"&amp;$E98,Name_Tabla_Cat,FALSE),FALSE))</f>
        <v>0</v>
      </c>
      <c r="S98" s="2071"/>
      <c r="T98" s="2972">
        <f>IF(Categoría_1=0,0,VLOOKUP(Categoría_1,Tabla_Categorías,MATCH("Coste"&amp;$E98,Name_Tabla_Cat,FALSE),FALSE))</f>
        <v>0</v>
      </c>
      <c r="U98" s="2071"/>
      <c r="V98" s="692">
        <f>IF(L98=0,0,TRUNC(M98/L98,0))+IF(N98=0,0,TRUNC(O98/N98,0))+IF(P98=0,0,TRUNC(Q98/P98,0))+IF(R98=0,0,TRUNC(S98/R98,0))+IF(T98=0,0,TRUNC(U98/T98,0))</f>
        <v>0</v>
      </c>
      <c r="W98" s="666">
        <f>Bono_Pod</f>
        <v>0</v>
      </c>
      <c r="X98" s="3822">
        <f t="shared" si="19"/>
        <v>0</v>
      </c>
      <c r="Y98" s="3822">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24"/>
      <c r="D99" s="3832" t="s">
        <v>1793</v>
      </c>
      <c r="E99" s="3836"/>
      <c r="F99" s="3837"/>
      <c r="G99" s="3837"/>
      <c r="H99" s="3837"/>
      <c r="I99" s="3837"/>
      <c r="J99" s="3837"/>
      <c r="K99" s="3838"/>
      <c r="L99" s="2958" t="str">
        <f>IF($E99=0,"",VLOOKUP($E99,Tabla_TablasSobrenat,2))</f>
        <v/>
      </c>
      <c r="M99" s="2087"/>
      <c r="N99" s="2958" t="str">
        <f>IF($E99=0,"",VLOOKUP($E99,Tabla_TablasSobrenat,2))</f>
        <v/>
      </c>
      <c r="O99" s="2087"/>
      <c r="P99" s="2958" t="str">
        <f>IF($E99=0,"",VLOOKUP($E99,Tabla_TablasSobrenat,2))</f>
        <v/>
      </c>
      <c r="Q99" s="2087"/>
      <c r="R99" s="2958" t="str">
        <f>IF($E99=0,"",VLOOKUP($E99,Tabla_TablasSobrenat,2))</f>
        <v/>
      </c>
      <c r="S99" s="2087"/>
      <c r="T99" s="2958" t="str">
        <f>IF($E99=0,"",VLOOKUP($E99,Tabla_TablasSobrenat,2))</f>
        <v/>
      </c>
      <c r="U99" s="2087"/>
      <c r="V99" s="3707" t="str">
        <f>IF($E99=0,"",VLOOKUP($E99,Tabla_TablasSobrenat,3))</f>
        <v/>
      </c>
      <c r="W99" s="3708">
        <f t="shared" ref="W99:AA100" si="20">IF($E99=0,0,VLOOKUP($E99,Tabla_TablasSobrenat,2))</f>
        <v>0</v>
      </c>
      <c r="X99" s="3708">
        <f t="shared" si="20"/>
        <v>0</v>
      </c>
      <c r="Y99" s="3708">
        <f t="shared" si="20"/>
        <v>0</v>
      </c>
      <c r="Z99" s="3708">
        <f t="shared" si="20"/>
        <v>0</v>
      </c>
      <c r="AA99" s="3709">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24"/>
      <c r="D100" s="3833"/>
      <c r="E100" s="3839"/>
      <c r="F100" s="3840"/>
      <c r="G100" s="3840"/>
      <c r="H100" s="3840"/>
      <c r="I100" s="3840"/>
      <c r="J100" s="3840"/>
      <c r="K100" s="3841"/>
      <c r="L100" s="2953" t="str">
        <f>IF($E100=0,"",VLOOKUP($E100,Tabla_TablasSobrenat,2))</f>
        <v/>
      </c>
      <c r="M100" s="2064"/>
      <c r="N100" s="2953" t="str">
        <f>IF($E100=0,"",VLOOKUP($E100,Tabla_TablasSobrenat,2))</f>
        <v/>
      </c>
      <c r="O100" s="2943"/>
      <c r="P100" s="2953" t="str">
        <f>IF($E100=0,"",VLOOKUP($E100,Tabla_TablasSobrenat,2))</f>
        <v/>
      </c>
      <c r="Q100" s="2943"/>
      <c r="R100" s="2953" t="str">
        <f>IF($E100=0,"",VLOOKUP($E100,Tabla_TablasSobrenat,2))</f>
        <v/>
      </c>
      <c r="S100" s="2943"/>
      <c r="T100" s="2953" t="str">
        <f>IF($E100=0,"",VLOOKUP($E100,Tabla_TablasSobrenat,2))</f>
        <v/>
      </c>
      <c r="U100" s="2943"/>
      <c r="V100" s="3710" t="str">
        <f>IF($E100=0,"",VLOOKUP($E100,Tabla_TablasSobrenat,3))</f>
        <v/>
      </c>
      <c r="W100" s="3711">
        <f t="shared" si="20"/>
        <v>0</v>
      </c>
      <c r="X100" s="3711">
        <f t="shared" si="20"/>
        <v>0</v>
      </c>
      <c r="Y100" s="3711">
        <f t="shared" si="20"/>
        <v>0</v>
      </c>
      <c r="Z100" s="3711">
        <f t="shared" si="20"/>
        <v>0</v>
      </c>
      <c r="AA100" s="3712">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25"/>
      <c r="D101" s="3846" t="s">
        <v>1794</v>
      </c>
      <c r="E101" s="3847"/>
      <c r="F101" s="3847"/>
      <c r="G101" s="3847"/>
      <c r="H101" s="3847"/>
      <c r="I101" s="3847"/>
      <c r="J101" s="3847"/>
      <c r="K101" s="3848"/>
      <c r="L101" s="3810">
        <f>T$5*IF(Categoría_1=0,0.5,VLOOKUP(Categoría_1,Tabla_Categorías,7,FALSE))</f>
        <v>200</v>
      </c>
      <c r="M101" s="3812">
        <f>SUM(M90:M100)</f>
        <v>0</v>
      </c>
      <c r="N101" s="3810">
        <f>SUM(T$5:T$8)*IF(Categoría_2=0,0,VLOOKUP(Categoría_2,Tabla_Categorías,7,FALSE))</f>
        <v>0</v>
      </c>
      <c r="O101" s="3812">
        <f>(SUM(O90:O100)+M101)*IF(Categoría_2=0,0,1)</f>
        <v>0</v>
      </c>
      <c r="P101" s="3810">
        <f>SUM(T$5:T$10)*IF(Categoría_3=0,0,VLOOKUP(Categoría_3,Tabla_Categorías,7,FALSE))</f>
        <v>0</v>
      </c>
      <c r="Q101" s="3834">
        <f>(SUM(Q90:Q100)+O101)*IF(Categoría_3=0,0,1)</f>
        <v>0</v>
      </c>
      <c r="R101" s="3810">
        <f>SUM(T$5:T$11)*IF(Categoría_4=0,0,VLOOKUP(Categoría_4,Tabla_Categorías,7,FALSE))</f>
        <v>0</v>
      </c>
      <c r="S101" s="3812">
        <f>(SUM(S90:S100)+Q101)*IF(Categoría_4=0,0,1)</f>
        <v>0</v>
      </c>
      <c r="T101" s="3844">
        <f>SUM(T$5:T$13)*IF(Categoría_5=0,0,VLOOKUP(Categoría_5,Tabla_Categorías,7,FALSE))</f>
        <v>0</v>
      </c>
      <c r="U101" s="3958">
        <f>(SUM(U90:U100)+S101)*IF(Categoría_5=0,0,1)</f>
        <v>0</v>
      </c>
      <c r="V101" s="3934" t="str">
        <f>IF(OR(M93&gt;L101/2,O93&gt;N101/2,Q93&gt;P101/2,S93&gt;R101/2,U93&gt;T101/2),"Exceso en Proyección Mágica",IF(M94+O94+Q94+S94+U94&gt;0.1*$Z$189,"Exceso de PDs en Nivel de Magia",IF(OR(M101&gt;L101,O101&gt;N101,Q101&gt;P101,S101&gt;R101,U101&gt;T101),"Exceso de PDs en Habilidades Místicas","")))</f>
        <v/>
      </c>
      <c r="W101" s="3935"/>
      <c r="X101" s="3935"/>
      <c r="Y101" s="3935"/>
      <c r="Z101" s="3935"/>
      <c r="AA101" s="3936"/>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26"/>
      <c r="D102" s="3849"/>
      <c r="E102" s="3850"/>
      <c r="F102" s="3850"/>
      <c r="G102" s="3850"/>
      <c r="H102" s="3850"/>
      <c r="I102" s="3850"/>
      <c r="J102" s="3850"/>
      <c r="K102" s="3851"/>
      <c r="L102" s="3811"/>
      <c r="M102" s="3813"/>
      <c r="N102" s="3811"/>
      <c r="O102" s="3813"/>
      <c r="P102" s="3811"/>
      <c r="Q102" s="3599"/>
      <c r="R102" s="3811"/>
      <c r="S102" s="3813"/>
      <c r="T102" s="3845"/>
      <c r="U102" s="3959"/>
      <c r="V102" s="3937"/>
      <c r="W102" s="3938"/>
      <c r="X102" s="3938"/>
      <c r="Y102" s="3938"/>
      <c r="Z102" s="3938"/>
      <c r="AA102" s="3939"/>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92" t="str">
        <f>IF(Categoría_1=0,"",Categoría_1)</f>
        <v/>
      </c>
      <c r="M105" s="3693"/>
      <c r="N105" s="3696" t="str">
        <f>IF(Categoría_2=0,"",Categoría_2)</f>
        <v/>
      </c>
      <c r="O105" s="3693"/>
      <c r="P105" s="3696" t="str">
        <f>IF(Categoría_3=0,"",Categoría_3)</f>
        <v/>
      </c>
      <c r="Q105" s="3693"/>
      <c r="R105" s="3696" t="str">
        <f>IF(Categoría_4=0,"",Categoría_4)</f>
        <v/>
      </c>
      <c r="S105" s="3693"/>
      <c r="T105" s="3696" t="str">
        <f>IF(Categoría_5=0,"",Categoría_5)</f>
        <v/>
      </c>
      <c r="U105" s="3699"/>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91"/>
      <c r="M106" s="3792"/>
      <c r="N106" s="3793"/>
      <c r="O106" s="3792"/>
      <c r="P106" s="3793"/>
      <c r="Q106" s="3792"/>
      <c r="R106" s="3793"/>
      <c r="S106" s="3792"/>
      <c r="T106" s="3793"/>
      <c r="U106" s="3945"/>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86" t="s">
        <v>1795</v>
      </c>
      <c r="D107" s="1984" t="s">
        <v>1672</v>
      </c>
      <c r="E107" s="3974" t="s">
        <v>1648</v>
      </c>
      <c r="F107" s="3974"/>
      <c r="G107" s="3974"/>
      <c r="H107" s="3974"/>
      <c r="I107" s="3974"/>
      <c r="J107" s="3974"/>
      <c r="K107" s="3987"/>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57" t="s">
        <v>1763</v>
      </c>
      <c r="Y107" s="3957"/>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24"/>
      <c r="D108" s="3960" t="s">
        <v>1638</v>
      </c>
      <c r="E108" s="3988" t="s">
        <v>1796</v>
      </c>
      <c r="F108" s="3799"/>
      <c r="G108" s="3799"/>
      <c r="H108" s="3799"/>
      <c r="I108" s="3799"/>
      <c r="J108" s="3799"/>
      <c r="K108" s="3803"/>
      <c r="L108" s="2971">
        <f>IF(Categoría_1=0,0,VLOOKUP(Categoría_1,Tabla_Categorías,MATCH("Coste"&amp;$E108,Name_Tabla_Cat,FALSE),FALSE))</f>
        <v>0</v>
      </c>
      <c r="M108" s="2064"/>
      <c r="N108" s="2971">
        <f>IF(Categoría_1=0,0,VLOOKUP(Categoría_1,Tabla_Categorías,MATCH("Coste"&amp;$E108,Name_Tabla_Cat,FALSE),FALSE))</f>
        <v>0</v>
      </c>
      <c r="O108" s="2943"/>
      <c r="P108" s="2971">
        <f>IF(Categoría_1=0,0,VLOOKUP(Categoría_1,Tabla_Categorías,MATCH("Coste"&amp;$E108,Name_Tabla_Cat,FALSE),FALSE))</f>
        <v>0</v>
      </c>
      <c r="Q108" s="2943"/>
      <c r="R108" s="2971">
        <f>IF(Categoría_1=0,0,VLOOKUP(Categoría_1,Tabla_Categorías,MATCH("Coste"&amp;$E108,Name_Tabla_Cat,FALSE),FALSE))</f>
        <v>0</v>
      </c>
      <c r="S108" s="2943"/>
      <c r="T108" s="2971">
        <f>IF(Categoría_1=0,0,VLOOKUP(Categoría_1,Tabla_Categorías,MATCH("Coste"&amp;$E108,Name_Tabla_Cat,FALSE),FALSE))</f>
        <v>0</v>
      </c>
      <c r="U108" s="2943"/>
      <c r="V108" s="76">
        <f>IF(L108=0,0,TRUNC(M108/L108,0))+IF(N108=0,0,TRUNC(O108/N108,0))+IF(P108=0,0,TRUNC(Q108/P108,0))+IF(R108=0,0,TRUNC(S108/R108,0))+IF(T108=0,0,TRUNC(U108/T108,0))</f>
        <v>0</v>
      </c>
      <c r="W108" s="667" t="s">
        <v>1729</v>
      </c>
      <c r="X108" s="3820">
        <f>IF(Nivel_Total&lt;2,1,ROUNDDOWN(HLOOKUP($E108,Bonos_Cat_Base,2,FALSE),0))</f>
        <v>1</v>
      </c>
      <c r="Y108" s="3820"/>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24"/>
      <c r="D109" s="3961"/>
      <c r="E109" s="3989" t="s">
        <v>1797</v>
      </c>
      <c r="F109" s="3801"/>
      <c r="G109" s="3801"/>
      <c r="H109" s="3801"/>
      <c r="I109" s="3801"/>
      <c r="J109" s="3801"/>
      <c r="K109" s="3804"/>
      <c r="L109" s="2973">
        <f>IF(Categoría_1=0,0,VLOOKUP(Categoría_1,Tabla_Categorías,MATCH("Coste"&amp;$E109,Name_Tabla_Cat,FALSE),FALSE))</f>
        <v>0</v>
      </c>
      <c r="M109" s="2083"/>
      <c r="N109" s="2973">
        <f>IF(Categoría_1=0,0,VLOOKUP(Categoría_1,Tabla_Categorías,MATCH("Coste"&amp;$E109,Name_Tabla_Cat,FALSE),FALSE))</f>
        <v>0</v>
      </c>
      <c r="O109" s="2945"/>
      <c r="P109" s="2973">
        <f>IF(Categoría_1=0,0,VLOOKUP(Categoría_1,Tabla_Categorías,MATCH("Coste"&amp;$E109,Name_Tabla_Cat,FALSE),FALSE))</f>
        <v>0</v>
      </c>
      <c r="Q109" s="2945"/>
      <c r="R109" s="2973">
        <f>IF(Categoría_1=0,0,VLOOKUP(Categoría_1,Tabla_Categorías,MATCH("Coste"&amp;$E109,Name_Tabla_Cat,FALSE),FALSE))</f>
        <v>0</v>
      </c>
      <c r="S109" s="2945"/>
      <c r="T109" s="2973">
        <f>IF(Categoría_1=0,0,VLOOKUP(Categoría_1,Tabla_Categorías,MATCH("Coste"&amp;$E109,Name_Tabla_Cat,FALSE),FALSE))</f>
        <v>0</v>
      </c>
      <c r="U109" s="2945"/>
      <c r="V109" s="78">
        <f>IF(L109=0,0,TRUNC(M109/L109,0))+IF(N109=0,0,TRUNC(O109/N109,0))+IF(P109=0,0,TRUNC(Q109/P109,0))+IF(R109=0,0,TRUNC(S109/R109,0))+IF(T109=0,0,TRUNC(U109/T109,0))</f>
        <v>0</v>
      </c>
      <c r="W109" s="83">
        <f>Bono_Des</f>
        <v>0</v>
      </c>
      <c r="X109" s="3821" t="s">
        <v>1729</v>
      </c>
      <c r="Y109" s="3821"/>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24"/>
      <c r="D110" s="711" t="s">
        <v>1793</v>
      </c>
      <c r="E110" s="3990"/>
      <c r="F110" s="3991"/>
      <c r="G110" s="3991"/>
      <c r="H110" s="3991"/>
      <c r="I110" s="3991"/>
      <c r="J110" s="3991"/>
      <c r="K110" s="3992"/>
      <c r="L110" s="2976">
        <f>IF($E110=0,0,VLOOKUP($E110,Tabla_TablasSobrenat,2))</f>
        <v>0</v>
      </c>
      <c r="M110" s="2073"/>
      <c r="N110" s="2976">
        <f>IF($E110=0,0,VLOOKUP($E110,Tabla_TablasSobrenat,2))</f>
        <v>0</v>
      </c>
      <c r="O110" s="2073"/>
      <c r="P110" s="2976">
        <f>IF($E110=0,0,VLOOKUP($E110,Tabla_TablasSobrenat,2))</f>
        <v>0</v>
      </c>
      <c r="Q110" s="2073"/>
      <c r="R110" s="2976">
        <f>IF($E110=0,0,VLOOKUP($E110,Tabla_TablasSobrenat,2))</f>
        <v>0</v>
      </c>
      <c r="S110" s="2073"/>
      <c r="T110" s="2976">
        <f>IF($E110=0,0,VLOOKUP($E110,Tabla_TablasSobrenat,2))</f>
        <v>0</v>
      </c>
      <c r="U110" s="2073"/>
      <c r="V110" s="3962" t="str">
        <f>IF($E110=0,"",VLOOKUP($E110,Tabla_TablasSobrenat,3))</f>
        <v/>
      </c>
      <c r="W110" s="3963">
        <f>IF($E110=0,0,VLOOKUP($E110,Tabla_TablasSobrenat,2))</f>
        <v>0</v>
      </c>
      <c r="X110" s="3963">
        <f>IF($E110=0,0,VLOOKUP($E110,Tabla_TablasSobrenat,2))</f>
        <v>0</v>
      </c>
      <c r="Y110" s="3963">
        <f>IF($E110=0,0,VLOOKUP($E110,Tabla_TablasSobrenat,2))</f>
        <v>0</v>
      </c>
      <c r="Z110" s="3963">
        <f>IF($E110=0,0,VLOOKUP($E110,Tabla_TablasSobrenat,2))</f>
        <v>0</v>
      </c>
      <c r="AA110" s="3964">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24"/>
      <c r="D111" s="3829" t="s">
        <v>1798</v>
      </c>
      <c r="E111" s="3993"/>
      <c r="F111" s="3994"/>
      <c r="G111" s="3994"/>
      <c r="H111" s="3994"/>
      <c r="I111" s="3994"/>
      <c r="J111" s="3994"/>
      <c r="K111" s="3995"/>
      <c r="L111" s="2975">
        <f>IF(E111=0,0,VLOOKUP(E111,Tablas!$D$1102:$R$1117,2,FALSE))</f>
        <v>0</v>
      </c>
      <c r="M111" s="2107"/>
      <c r="N111" s="2975">
        <f>IF(G111=0,0,VLOOKUP(G111,Tablas!$D$1102:$R$1117,2,FALSE))</f>
        <v>0</v>
      </c>
      <c r="O111" s="2107"/>
      <c r="P111" s="2975">
        <f>IF(I111=0,0,VLOOKUP(I111,Tablas!$D$1102:$R$1117,2,FALSE))</f>
        <v>0</v>
      </c>
      <c r="Q111" s="2107"/>
      <c r="R111" s="2975">
        <f>IF(K111=0,0,VLOOKUP(K111,Tablas!$D$1102:$R$1117,2,FALSE))</f>
        <v>0</v>
      </c>
      <c r="S111" s="2107"/>
      <c r="T111" s="2975">
        <f>IF(M111=0,0,VLOOKUP(M111,Tablas!$D$1102:$R$1117,2,FALSE))</f>
        <v>0</v>
      </c>
      <c r="U111" s="2107"/>
      <c r="V111" s="3965" t="str">
        <f>IF(E111=0,"",VLOOKUP(E111,Tablas!$D$1102:$R$1117,4,FALSE))</f>
        <v/>
      </c>
      <c r="W111" s="3966"/>
      <c r="X111" s="3966"/>
      <c r="Y111" s="3966"/>
      <c r="Z111" s="3966"/>
      <c r="AA111" s="3967"/>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24"/>
      <c r="D112" s="3830"/>
      <c r="E112" s="3950"/>
      <c r="F112" s="3840"/>
      <c r="G112" s="3840"/>
      <c r="H112" s="3840"/>
      <c r="I112" s="3840"/>
      <c r="J112" s="3840"/>
      <c r="K112" s="3841"/>
      <c r="L112" s="2951">
        <f>IF(E112=0,0,VLOOKUP(E112,Tablas!$D$1102:$R$1117,3,FALSE))</f>
        <v>0</v>
      </c>
      <c r="M112" s="2074"/>
      <c r="N112" s="2951">
        <f>IF(G112=0,0,VLOOKUP(G112,Tablas!$D$1102:$R$1117,3,FALSE))</f>
        <v>0</v>
      </c>
      <c r="O112" s="2074"/>
      <c r="P112" s="2951">
        <f>IF(I112=0,0,VLOOKUP(I112,Tablas!$D$1102:$R$1117,3,FALSE))</f>
        <v>0</v>
      </c>
      <c r="Q112" s="2074"/>
      <c r="R112" s="2951">
        <f>IF(K112=0,0,VLOOKUP(K112,Tablas!$D$1102:$R$1117,3,FALSE))</f>
        <v>0</v>
      </c>
      <c r="S112" s="2074"/>
      <c r="T112" s="2951">
        <f>IF(M112=0,0,VLOOKUP(M112,Tablas!$D$1102:$R$1117,3,FALSE))</f>
        <v>0</v>
      </c>
      <c r="U112" s="2074"/>
      <c r="V112" s="3968" t="str">
        <f>IF(E112=0,"",VLOOKUP(E112,Tablas!$D$1102:$R$1117,4,FALSE))</f>
        <v/>
      </c>
      <c r="W112" s="3969"/>
      <c r="X112" s="3969"/>
      <c r="Y112" s="3969"/>
      <c r="Z112" s="3969"/>
      <c r="AA112" s="3970"/>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24"/>
      <c r="D113" s="3830"/>
      <c r="E113" s="3852"/>
      <c r="F113" s="3837"/>
      <c r="G113" s="3837"/>
      <c r="H113" s="3837"/>
      <c r="I113" s="3837"/>
      <c r="J113" s="3837"/>
      <c r="K113" s="3838"/>
      <c r="L113" s="2957">
        <f>IF(E113=0,0,VLOOKUP(E113,Tablas!$D$1102:$R$1117,3,FALSE))</f>
        <v>0</v>
      </c>
      <c r="M113" s="2108"/>
      <c r="N113" s="2957">
        <f>IF(G113=0,0,VLOOKUP(G113,Tablas!$D$1102:$R$1117,3,FALSE))</f>
        <v>0</v>
      </c>
      <c r="O113" s="2108"/>
      <c r="P113" s="2957">
        <f>IF(I113=0,0,VLOOKUP(I113,Tablas!$D$1102:$R$1117,3,FALSE))</f>
        <v>0</v>
      </c>
      <c r="Q113" s="2108"/>
      <c r="R113" s="2957">
        <f>IF(K113=0,0,VLOOKUP(K113,Tablas!$D$1102:$R$1117,3,FALSE))</f>
        <v>0</v>
      </c>
      <c r="S113" s="2108"/>
      <c r="T113" s="2957">
        <f>IF(M113=0,0,VLOOKUP(M113,Tablas!$D$1102:$R$1117,3,FALSE))</f>
        <v>0</v>
      </c>
      <c r="U113" s="2108"/>
      <c r="V113" s="3980" t="str">
        <f>IF(E113=0,"",VLOOKUP(E113,Tablas!$D$1102:$R$1117,4,FALSE))</f>
        <v/>
      </c>
      <c r="W113" s="3981"/>
      <c r="X113" s="3981"/>
      <c r="Y113" s="3981"/>
      <c r="Z113" s="3981"/>
      <c r="AA113" s="3982"/>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24"/>
      <c r="D114" s="3830"/>
      <c r="E114" s="3950"/>
      <c r="F114" s="3840"/>
      <c r="G114" s="3840"/>
      <c r="H114" s="3840"/>
      <c r="I114" s="3840"/>
      <c r="J114" s="3840"/>
      <c r="K114" s="3841"/>
      <c r="L114" s="2951">
        <f>IF(E114=0,0,VLOOKUP(E114,Tablas!$D$1102:$R$1117,3,FALSE))</f>
        <v>0</v>
      </c>
      <c r="M114" s="2074"/>
      <c r="N114" s="2951">
        <f>IF(G114=0,0,VLOOKUP(G114,Tablas!$D$1102:$R$1117,3,FALSE))</f>
        <v>0</v>
      </c>
      <c r="O114" s="2074"/>
      <c r="P114" s="2951">
        <f>IF(I114=0,0,VLOOKUP(I114,Tablas!$D$1102:$R$1117,3,FALSE))</f>
        <v>0</v>
      </c>
      <c r="Q114" s="2074"/>
      <c r="R114" s="2951">
        <f>IF(K114=0,0,VLOOKUP(K114,Tablas!$D$1102:$R$1117,3,FALSE))</f>
        <v>0</v>
      </c>
      <c r="S114" s="2074"/>
      <c r="T114" s="2951">
        <f>IF(M114=0,0,VLOOKUP(M114,Tablas!$D$1102:$R$1117,3,FALSE))</f>
        <v>0</v>
      </c>
      <c r="U114" s="2074"/>
      <c r="V114" s="3968" t="str">
        <f>IF(E114=0,"",VLOOKUP(E114,Tablas!$D$1102:$R$1117,4,FALSE))</f>
        <v/>
      </c>
      <c r="W114" s="3969"/>
      <c r="X114" s="3969"/>
      <c r="Y114" s="3969"/>
      <c r="Z114" s="3969"/>
      <c r="AA114" s="3970"/>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24"/>
      <c r="D115" s="3830"/>
      <c r="E115" s="3852"/>
      <c r="F115" s="3837"/>
      <c r="G115" s="3837"/>
      <c r="H115" s="3837"/>
      <c r="I115" s="3837"/>
      <c r="J115" s="3837"/>
      <c r="K115" s="3838"/>
      <c r="L115" s="2957">
        <f>IF(E115=0,0,VLOOKUP(E115,Tablas!$D$1102:$R$1117,3,FALSE))</f>
        <v>0</v>
      </c>
      <c r="M115" s="2108"/>
      <c r="N115" s="2957">
        <f>IF(G115=0,0,VLOOKUP(G115,Tablas!$D$1102:$R$1117,3,FALSE))</f>
        <v>0</v>
      </c>
      <c r="O115" s="2108"/>
      <c r="P115" s="2957">
        <f>IF(I115=0,0,VLOOKUP(I115,Tablas!$D$1102:$R$1117,3,FALSE))</f>
        <v>0</v>
      </c>
      <c r="Q115" s="2108"/>
      <c r="R115" s="2957">
        <f>IF(K115=0,0,VLOOKUP(K115,Tablas!$D$1102:$R$1117,3,FALSE))</f>
        <v>0</v>
      </c>
      <c r="S115" s="2108"/>
      <c r="T115" s="2957">
        <f>IF(M115=0,0,VLOOKUP(M115,Tablas!$D$1102:$R$1117,3,FALSE))</f>
        <v>0</v>
      </c>
      <c r="U115" s="2108"/>
      <c r="V115" s="3980" t="str">
        <f>IF(E115=0,"",VLOOKUP(E115,Tablas!$D$1102:$R$1117,4,FALSE))</f>
        <v/>
      </c>
      <c r="W115" s="3981"/>
      <c r="X115" s="3981"/>
      <c r="Y115" s="3981"/>
      <c r="Z115" s="3981"/>
      <c r="AA115" s="3982"/>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24"/>
      <c r="D116" s="3830"/>
      <c r="E116" s="3950"/>
      <c r="F116" s="3840"/>
      <c r="G116" s="3840"/>
      <c r="H116" s="3840"/>
      <c r="I116" s="3840"/>
      <c r="J116" s="3840"/>
      <c r="K116" s="3841"/>
      <c r="L116" s="2951">
        <f>IF(E116=0,0,VLOOKUP(E116,Tablas!$D$1102:$R$1117,3,FALSE))</f>
        <v>0</v>
      </c>
      <c r="M116" s="2074"/>
      <c r="N116" s="2951">
        <f>IF(G116=0,0,VLOOKUP(G116,Tablas!$D$1102:$R$1117,3,FALSE))</f>
        <v>0</v>
      </c>
      <c r="O116" s="2074"/>
      <c r="P116" s="2951">
        <f>IF(I116=0,0,VLOOKUP(I116,Tablas!$D$1102:$R$1117,3,FALSE))</f>
        <v>0</v>
      </c>
      <c r="Q116" s="2074"/>
      <c r="R116" s="2951">
        <f>IF(K116=0,0,VLOOKUP(K116,Tablas!$D$1102:$R$1117,3,FALSE))</f>
        <v>0</v>
      </c>
      <c r="S116" s="2074"/>
      <c r="T116" s="2951">
        <f>IF(M116=0,0,VLOOKUP(M116,Tablas!$D$1102:$R$1117,3,FALSE))</f>
        <v>0</v>
      </c>
      <c r="U116" s="2074"/>
      <c r="V116" s="3968" t="str">
        <f>IF(E116=0,"",VLOOKUP(E116,Tablas!$D$1102:$R$1117,4,FALSE))</f>
        <v/>
      </c>
      <c r="W116" s="3969"/>
      <c r="X116" s="3969"/>
      <c r="Y116" s="3969"/>
      <c r="Z116" s="3969"/>
      <c r="AA116" s="3970"/>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25"/>
      <c r="D117" s="3983" t="s">
        <v>1799</v>
      </c>
      <c r="E117" s="3984"/>
      <c r="F117" s="3984"/>
      <c r="G117" s="3984"/>
      <c r="H117" s="3984"/>
      <c r="I117" s="3984"/>
      <c r="J117" s="3984"/>
      <c r="K117" s="3834"/>
      <c r="L117" s="3810">
        <f>T$5*IF(Categoría_1=0,0.5,VLOOKUP(Categoría_1,Tabla_Categorías,8,FALSE))</f>
        <v>200</v>
      </c>
      <c r="M117" s="3812">
        <f>SUM(M108:M116)</f>
        <v>0</v>
      </c>
      <c r="N117" s="3810">
        <f>SUM(T$5:T$7)*IF(Categoría_2=0,0,VLOOKUP(Categoría_2,Tabla_Categorías,8,FALSE))</f>
        <v>0</v>
      </c>
      <c r="O117" s="3812">
        <f>(SUM(O108:O116)+M117)*IF(Categoría_2=0,0,1)</f>
        <v>0</v>
      </c>
      <c r="P117" s="3810">
        <f>SUM(T$5:T$9)*IF(Categoría_3=0,0,VLOOKUP(Categoría_3,Tabla_Categorías,8,FALSE))</f>
        <v>0</v>
      </c>
      <c r="Q117" s="3834">
        <f>(SUM(Q108:Q116)+O117)*IF(Categoría_3=0,0,1)</f>
        <v>0</v>
      </c>
      <c r="R117" s="3810">
        <f>SUM(T$5:T$11)*IF(Categoría_4=0,0,VLOOKUP(Categoría_4,Tabla_Categorías,8,FALSE))</f>
        <v>0</v>
      </c>
      <c r="S117" s="3812">
        <f>(SUM(S108:S116)+Q117)*IF(Categoría_4=0,0,1)</f>
        <v>0</v>
      </c>
      <c r="T117" s="3810">
        <f>SUM(T$5:T$13)*IF(Categoría_5=0,0,VLOOKUP(Categoría_5,Tabla_Categorías,8,FALSE))</f>
        <v>0</v>
      </c>
      <c r="U117" s="3812">
        <f>(SUM(U108:U116)+S117)*IF(Categoría_5=0,0,1)</f>
        <v>0</v>
      </c>
      <c r="V117" s="3814" t="str">
        <f>IF(OR(M109&gt;L117/2,O109&gt;N117/2,Q109&gt;P117/2,S109&gt;R117/2,U109&gt;T117/2),"Exceso en Proyección Psíquica",IF(OR(M117&gt;L117,O117&gt;N117,Q117&gt;P117,S117&gt;R117,U117&gt;T117),"Exceso de PDs en Habilidades Psíquicas",""))</f>
        <v/>
      </c>
      <c r="W117" s="3815"/>
      <c r="X117" s="3815"/>
      <c r="Y117" s="3815"/>
      <c r="Z117" s="3815"/>
      <c r="AA117" s="3816"/>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26"/>
      <c r="D118" s="3985"/>
      <c r="E118" s="3598"/>
      <c r="F118" s="3598"/>
      <c r="G118" s="3598"/>
      <c r="H118" s="3598"/>
      <c r="I118" s="3598"/>
      <c r="J118" s="3598"/>
      <c r="K118" s="3599"/>
      <c r="L118" s="3811"/>
      <c r="M118" s="3813"/>
      <c r="N118" s="3811"/>
      <c r="O118" s="3813"/>
      <c r="P118" s="3811"/>
      <c r="Q118" s="3599"/>
      <c r="R118" s="3811"/>
      <c r="S118" s="3813"/>
      <c r="T118" s="3811"/>
      <c r="U118" s="3813"/>
      <c r="V118" s="3817"/>
      <c r="W118" s="3818"/>
      <c r="X118" s="3818"/>
      <c r="Y118" s="3818"/>
      <c r="Z118" s="3818"/>
      <c r="AA118" s="3819"/>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23" t="str">
        <f>IF(Categoría_1=0,"",Categoría_1)</f>
        <v/>
      </c>
      <c r="K123" s="4021"/>
      <c r="L123" s="4017" t="str">
        <f>IF(Categoría_2=0,"",Categoría_2)</f>
        <v/>
      </c>
      <c r="M123" s="4021"/>
      <c r="N123" s="4017" t="str">
        <f>IF(Categoría_3=0,"",Categoría_3)</f>
        <v/>
      </c>
      <c r="O123" s="4021"/>
      <c r="P123" s="4017" t="str">
        <f>IF(Categoría_4=0,"",Categoría_4)</f>
        <v/>
      </c>
      <c r="Q123" s="4021"/>
      <c r="R123" s="4017" t="str">
        <f>IF(Categoría_5=0,"",Categoría_5)</f>
        <v/>
      </c>
      <c r="S123" s="4018"/>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24"/>
      <c r="K124" s="4022"/>
      <c r="L124" s="4019"/>
      <c r="M124" s="4022"/>
      <c r="N124" s="4019"/>
      <c r="O124" s="4022"/>
      <c r="P124" s="4019"/>
      <c r="Q124" s="4022"/>
      <c r="R124" s="4019"/>
      <c r="S124" s="4020"/>
      <c r="T124" s="85"/>
      <c r="U124" s="85"/>
      <c r="V124" s="85"/>
      <c r="W124" s="3971" t="s">
        <v>1811</v>
      </c>
      <c r="X124" s="3972"/>
      <c r="Y124" s="85"/>
      <c r="Z124" s="85"/>
      <c r="AA124" s="85"/>
      <c r="AB124" s="2486"/>
      <c r="AC124" s="1474"/>
      <c r="AD124" s="2468"/>
      <c r="AE124" s="3659" t="s">
        <v>2826</v>
      </c>
      <c r="AF124" s="3659"/>
      <c r="AG124" s="3659"/>
      <c r="AH124" s="3659"/>
      <c r="AI124" s="3659"/>
      <c r="AJ124" s="3659"/>
      <c r="AK124" s="2633"/>
      <c r="AL124" s="3659" t="s">
        <v>8086</v>
      </c>
      <c r="AM124" s="3659"/>
      <c r="AN124" s="3659"/>
      <c r="AO124" s="3659"/>
      <c r="AP124" s="3659"/>
      <c r="AQ124" s="3659"/>
      <c r="AR124" s="3659"/>
      <c r="AS124" s="3659"/>
      <c r="AT124" s="3659"/>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23" t="s">
        <v>1668</v>
      </c>
      <c r="D125" s="720" t="s">
        <v>1672</v>
      </c>
      <c r="E125" s="3973" t="s">
        <v>1648</v>
      </c>
      <c r="F125" s="3974"/>
      <c r="G125" s="3974"/>
      <c r="H125" s="3975"/>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25"/>
      <c r="D126" s="3977" t="s">
        <v>1677</v>
      </c>
      <c r="E126" s="4015" t="s">
        <v>1678</v>
      </c>
      <c r="F126" s="4016"/>
      <c r="G126" s="4016"/>
      <c r="H126" s="1044" t="s">
        <v>1646</v>
      </c>
      <c r="I126" s="2075"/>
      <c r="J126" s="2977">
        <f>IF(ISNA(AL126),0,MAX(MIN(AL126-VLOOKUP("Apto en campo: "&amp;$B126,Tabla_Ventajas,3,FALSE)-Tablas!$O269-2*Tablas!$Q269-3*Tablas!$S269,3),1))</f>
        <v>0</v>
      </c>
      <c r="K126" s="2612"/>
      <c r="L126" s="2977">
        <f>IF(ISNA(AN126),0,MAX(MIN(AN126-VLOOKUP("Apto en campo: "&amp;$B126,Tabla_Ventajas,3,FALSE)-Tablas!$O269-2*Tablas!$Q269-3*Tablas!$S269,3),1))</f>
        <v>0</v>
      </c>
      <c r="M126" s="2612"/>
      <c r="N126" s="2977">
        <f>IF(ISNA(AP126),0,MAX(MIN(AP126-VLOOKUP("Apto en campo: "&amp;$B126,Tabla_Ventajas,3,FALSE)-Tablas!$O269-2*Tablas!$Q269-3*Tablas!$S269,3),1))</f>
        <v>0</v>
      </c>
      <c r="O126" s="2612"/>
      <c r="P126" s="2977">
        <f>IF(ISNA(AR126),0,MAX(MIN(AR126-VLOOKUP("Apto en campo: "&amp;$B126,Tabla_Ventajas,3,FALSE)-Tablas!$O269-2*Tablas!$Q269-3*Tablas!$S269,3),1))</f>
        <v>0</v>
      </c>
      <c r="Q126" s="2612"/>
      <c r="R126" s="2977">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21">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22">OR(ISNUMBER(FIND("(",AG126)),ISNUMBER(FIND("(",AH126)))</f>
        <v>0</v>
      </c>
      <c r="AJ126" s="2633" t="b">
        <f t="shared" ref="AJ126:AJ143" si="23">AND(NOT(I126=""),OR(ISNUMBER(SEARCH(I126,AG126)),ISNUMBER(SEARCH(I126,AH126))))</f>
        <v>0</v>
      </c>
      <c r="AK126" s="2633"/>
      <c r="AL126" s="2471" t="e">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25"/>
      <c r="D127" s="3356"/>
      <c r="E127" s="3800" t="s">
        <v>1679</v>
      </c>
      <c r="F127" s="3801"/>
      <c r="G127" s="3801"/>
      <c r="H127" s="1045" t="s">
        <v>1646</v>
      </c>
      <c r="I127" s="2110"/>
      <c r="J127" s="2980">
        <f>IF(ISNA(AL127),0,MAX(MIN(AL127-VLOOKUP("Apto en campo: "&amp;$B127,Tabla_Ventajas,3,FALSE)-Tablas!$O270-2*Tablas!$Q270-3*Tablas!$S270,3),1))</f>
        <v>0</v>
      </c>
      <c r="K127" s="2614"/>
      <c r="L127" s="2980">
        <f>IF(ISNA(AN127),0,MAX(MIN(AN127-VLOOKUP("Apto en campo: "&amp;$B127,Tabla_Ventajas,3,FALSE)-Tablas!$O270-2*Tablas!$Q270-3*Tablas!$S270,3),1))</f>
        <v>0</v>
      </c>
      <c r="M127" s="2614"/>
      <c r="N127" s="2980">
        <f>IF(ISNA(AP127),0,MAX(MIN(AP127-VLOOKUP("Apto en campo: "&amp;$B127,Tabla_Ventajas,3,FALSE)-Tablas!$O270-2*Tablas!$Q270-3*Tablas!$S270,3),1))</f>
        <v>0</v>
      </c>
      <c r="O127" s="2614"/>
      <c r="P127" s="2980">
        <f>IF(ISNA(AR127),0,MAX(MIN(AR127-VLOOKUP("Apto en campo: "&amp;$B127,Tabla_Ventajas,3,FALSE)-Tablas!$O270-2*Tablas!$Q270-3*Tablas!$S270,3),1))</f>
        <v>0</v>
      </c>
      <c r="Q127" s="2614"/>
      <c r="R127" s="2980">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21"/>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22"/>
        <v>0</v>
      </c>
      <c r="AJ127" s="2633" t="b">
        <f t="shared" si="23"/>
        <v>0</v>
      </c>
      <c r="AK127" s="2633"/>
      <c r="AL127" s="2471" t="e">
        <f t="shared" si="24"/>
        <v>#N/A</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25"/>
      <c r="D128" s="3356"/>
      <c r="E128" s="3798" t="s">
        <v>1682</v>
      </c>
      <c r="F128" s="3799"/>
      <c r="G128" s="3799"/>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22"/>
        <v>0</v>
      </c>
      <c r="AJ128" s="2633" t="b">
        <f t="shared" si="23"/>
        <v>0</v>
      </c>
      <c r="AK128" s="2633"/>
      <c r="AL128" s="2471" t="e">
        <f t="shared" si="24"/>
        <v>#N/A</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25"/>
      <c r="D129" s="3356"/>
      <c r="E129" s="3800" t="s">
        <v>1686</v>
      </c>
      <c r="F129" s="3801"/>
      <c r="G129" s="3801"/>
      <c r="H129" s="1045" t="s">
        <v>1646</v>
      </c>
      <c r="I129" s="2110"/>
      <c r="J129" s="2980">
        <f>IF(ISNA(AL129),0,MAX(MIN(AL129-VLOOKUP("Apto en campo: "&amp;$B129,Tabla_Ventajas,3,FALSE)-Tablas!$O272-2*Tablas!$Q272-3*Tablas!$S272,3),1))</f>
        <v>0</v>
      </c>
      <c r="K129" s="2614"/>
      <c r="L129" s="2980">
        <f>IF(ISNA(AN129),0,MAX(MIN(AN129-VLOOKUP("Apto en campo: "&amp;$B129,Tabla_Ventajas,3,FALSE)-Tablas!$O272-2*Tablas!$Q272-3*Tablas!$S272,3),1))</f>
        <v>0</v>
      </c>
      <c r="M129" s="2614"/>
      <c r="N129" s="2980">
        <f>IF(ISNA(AP129),0,MAX(MIN(AP129-VLOOKUP("Apto en campo: "&amp;$B129,Tabla_Ventajas,3,FALSE)-Tablas!$O272-2*Tablas!$Q272-3*Tablas!$S272,3),1))</f>
        <v>0</v>
      </c>
      <c r="O129" s="2614"/>
      <c r="P129" s="2980">
        <f>IF(ISNA(AR129),0,MAX(MIN(AR129-VLOOKUP("Apto en campo: "&amp;$B129,Tabla_Ventajas,3,FALSE)-Tablas!$O272-2*Tablas!$Q272-3*Tablas!$S272,3),1))</f>
        <v>0</v>
      </c>
      <c r="Q129" s="2614"/>
      <c r="R129" s="2980">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22"/>
        <v>0</v>
      </c>
      <c r="AJ129" s="2633" t="b">
        <f t="shared" si="23"/>
        <v>0</v>
      </c>
      <c r="AK129" s="2633"/>
      <c r="AL129" s="2471" t="e">
        <f t="shared" si="24"/>
        <v>#N/A</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25"/>
      <c r="D130" s="3356"/>
      <c r="E130" s="3798" t="s">
        <v>1689</v>
      </c>
      <c r="F130" s="3799"/>
      <c r="G130" s="3799"/>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22"/>
        <v>0</v>
      </c>
      <c r="AJ130" s="2633" t="b">
        <f t="shared" si="23"/>
        <v>0</v>
      </c>
      <c r="AK130" s="2633"/>
      <c r="AL130" s="2471" t="e">
        <f t="shared" si="24"/>
        <v>#N/A</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25"/>
      <c r="D131" s="3356"/>
      <c r="E131" s="3800" t="s">
        <v>1692</v>
      </c>
      <c r="F131" s="3801"/>
      <c r="G131" s="3801"/>
      <c r="H131" s="1045" t="s">
        <v>1656</v>
      </c>
      <c r="I131" s="2110"/>
      <c r="J131" s="2980">
        <f>IF(ISNA(AL131),0,MAX(MIN(AL131-VLOOKUP("Apto en campo: "&amp;$B131,Tabla_Ventajas,3,FALSE)-Tablas!$O274-2*Tablas!$Q274-3*Tablas!$S274,3),1))</f>
        <v>0</v>
      </c>
      <c r="K131" s="2614"/>
      <c r="L131" s="2980">
        <f>IF(ISNA(AN131),0,MAX(MIN(AN131-VLOOKUP("Apto en campo: "&amp;$B131,Tabla_Ventajas,3,FALSE)-Tablas!$O274-2*Tablas!$Q274-3*Tablas!$S274,3),1))</f>
        <v>0</v>
      </c>
      <c r="M131" s="2614"/>
      <c r="N131" s="2980">
        <f>IF(ISNA(AP131),0,MAX(MIN(AP131-VLOOKUP("Apto en campo: "&amp;$B131,Tabla_Ventajas,3,FALSE)-Tablas!$O274-2*Tablas!$Q274-3*Tablas!$S274,3),1))</f>
        <v>0</v>
      </c>
      <c r="O131" s="2614"/>
      <c r="P131" s="2980">
        <f>IF(ISNA(AR131),0,MAX(MIN(AR131-VLOOKUP("Apto en campo: "&amp;$B131,Tabla_Ventajas,3,FALSE)-Tablas!$O274-2*Tablas!$Q274-3*Tablas!$S274,3),1))</f>
        <v>0</v>
      </c>
      <c r="Q131" s="2614"/>
      <c r="R131" s="2980">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21"/>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22"/>
        <v>0</v>
      </c>
      <c r="AJ131" s="2633" t="b">
        <f t="shared" si="23"/>
        <v>0</v>
      </c>
      <c r="AK131" s="2633"/>
      <c r="AL131" s="2471" t="e">
        <f t="shared" si="24"/>
        <v>#N/A</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25"/>
      <c r="D132" s="3356"/>
      <c r="E132" s="3798" t="s">
        <v>6948</v>
      </c>
      <c r="F132" s="3799"/>
      <c r="G132" s="3799"/>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22"/>
        <v>0</v>
      </c>
      <c r="AJ132" s="2633" t="b">
        <f t="shared" si="23"/>
        <v>0</v>
      </c>
      <c r="AK132" s="2633"/>
      <c r="AL132" s="2471" t="e">
        <f t="shared" si="24"/>
        <v>#N/A</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25"/>
      <c r="D133" s="3976" t="s">
        <v>1695</v>
      </c>
      <c r="E133" s="3796" t="s">
        <v>1696</v>
      </c>
      <c r="F133" s="3797"/>
      <c r="G133" s="3797"/>
      <c r="H133" s="1047" t="s">
        <v>1664</v>
      </c>
      <c r="I133" s="2111"/>
      <c r="J133" s="2981">
        <f>IF(ISNA(AL133),0,MAX(MIN(AL133-VLOOKUP("Apto en campo: "&amp;$B133,Tabla_Ventajas,3,FALSE)-Tablas!$O276-2*Tablas!$Q276-3*Tablas!$S276,3),1))</f>
        <v>0</v>
      </c>
      <c r="K133" s="2618"/>
      <c r="L133" s="2981">
        <f>IF(ISNA(AN133),0,MAX(MIN(AN133-VLOOKUP("Apto en campo: "&amp;$B133,Tabla_Ventajas,3,FALSE)-Tablas!$O276-2*Tablas!$Q276-3*Tablas!$S276,3),1))</f>
        <v>0</v>
      </c>
      <c r="M133" s="2618"/>
      <c r="N133" s="2981">
        <f>IF(ISNA(AP133),0,MAX(MIN(AP133-VLOOKUP("Apto en campo: "&amp;$B133,Tabla_Ventajas,3,FALSE)-Tablas!$O276-2*Tablas!$Q276-3*Tablas!$S276,3),1))</f>
        <v>0</v>
      </c>
      <c r="O133" s="2618"/>
      <c r="P133" s="2981">
        <f>IF(ISNA(AR133),0,MAX(MIN(AR133-VLOOKUP("Apto en campo: "&amp;$B133,Tabla_Ventajas,3,FALSE)-Tablas!$O276-2*Tablas!$Q276-3*Tablas!$S276,3),1))</f>
        <v>0</v>
      </c>
      <c r="Q133" s="2618"/>
      <c r="R133" s="2981">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21"/>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22"/>
        <v>0</v>
      </c>
      <c r="AJ133" s="2633" t="b">
        <f t="shared" si="23"/>
        <v>0</v>
      </c>
      <c r="AK133" s="2633"/>
      <c r="AL133" s="2471" t="e">
        <f t="shared" si="24"/>
        <v>#N/A</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25"/>
      <c r="D134" s="3356"/>
      <c r="E134" s="3798" t="s">
        <v>1698</v>
      </c>
      <c r="F134" s="3799"/>
      <c r="G134" s="3799"/>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21"/>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22"/>
        <v>0</v>
      </c>
      <c r="AJ134" s="2633" t="b">
        <f t="shared" si="23"/>
        <v>0</v>
      </c>
      <c r="AK134" s="2633"/>
      <c r="AL134" s="2471" t="e">
        <f t="shared" si="24"/>
        <v>#N/A</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25"/>
      <c r="D135" s="3356"/>
      <c r="E135" s="3800" t="s">
        <v>1701</v>
      </c>
      <c r="F135" s="3801"/>
      <c r="G135" s="3801"/>
      <c r="H135" s="1045" t="s">
        <v>1664</v>
      </c>
      <c r="I135" s="2110"/>
      <c r="J135" s="2980">
        <f>IF(ISNA(AL135),0,MAX(MIN(AL135-VLOOKUP("Apto en campo: "&amp;$B135,Tabla_Ventajas,3,FALSE)-Tablas!$O278-2*Tablas!$Q278-3*Tablas!$S278,3),1))</f>
        <v>0</v>
      </c>
      <c r="K135" s="2614"/>
      <c r="L135" s="2980">
        <f>IF(ISNA(AN135),0,MAX(MIN(AN135-VLOOKUP("Apto en campo: "&amp;$B135,Tabla_Ventajas,3,FALSE)-Tablas!$O278-2*Tablas!$Q278-3*Tablas!$S278,3),1))</f>
        <v>0</v>
      </c>
      <c r="M135" s="2614"/>
      <c r="N135" s="2980">
        <f>IF(ISNA(AP135),0,MAX(MIN(AP135-VLOOKUP("Apto en campo: "&amp;$B135,Tabla_Ventajas,3,FALSE)-Tablas!$O278-2*Tablas!$Q278-3*Tablas!$S278,3),1))</f>
        <v>0</v>
      </c>
      <c r="O135" s="2614"/>
      <c r="P135" s="2980">
        <f>IF(ISNA(AR135),0,MAX(MIN(AR135-VLOOKUP("Apto en campo: "&amp;$B135,Tabla_Ventajas,3,FALSE)-Tablas!$O278-2*Tablas!$Q278-3*Tablas!$S278,3),1))</f>
        <v>0</v>
      </c>
      <c r="Q135" s="2614"/>
      <c r="R135" s="2980">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21"/>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22"/>
        <v>0</v>
      </c>
      <c r="AJ135" s="2633" t="b">
        <f t="shared" si="23"/>
        <v>0</v>
      </c>
      <c r="AK135" s="2633"/>
      <c r="AL135" s="2471" t="e">
        <f t="shared" si="24"/>
        <v>#N/A</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25"/>
      <c r="D136" s="3356"/>
      <c r="E136" s="3798" t="s">
        <v>1703</v>
      </c>
      <c r="F136" s="3799"/>
      <c r="G136" s="3799"/>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21"/>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22"/>
        <v>0</v>
      </c>
      <c r="AJ136" s="2633" t="b">
        <f t="shared" si="23"/>
        <v>0</v>
      </c>
      <c r="AK136" s="2633"/>
      <c r="AL136" s="2471" t="e">
        <f t="shared" si="24"/>
        <v>#N/A</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25"/>
      <c r="D137" s="3356"/>
      <c r="E137" s="3800" t="s">
        <v>1083</v>
      </c>
      <c r="F137" s="3801"/>
      <c r="G137" s="3801"/>
      <c r="H137" s="1045" t="s">
        <v>1659</v>
      </c>
      <c r="I137" s="2112"/>
      <c r="J137" s="2980">
        <f>IF(ISNA(AL137),0,MAX(MIN(AL137-VLOOKUP("Apto en campo: "&amp;$B137,Tabla_Ventajas,3,FALSE)-Tablas!$O280-2*Tablas!$Q280-3*Tablas!$S280,3),1))</f>
        <v>0</v>
      </c>
      <c r="K137" s="2614"/>
      <c r="L137" s="2980">
        <f>IF(ISNA(AN137),0,MAX(MIN(AN137-VLOOKUP("Apto en campo: "&amp;$B137,Tabla_Ventajas,3,FALSE)-Tablas!$O280-2*Tablas!$Q280-3*Tablas!$S280,3),1))</f>
        <v>0</v>
      </c>
      <c r="M137" s="2614"/>
      <c r="N137" s="2980">
        <f>IF(ISNA(AP137),0,MAX(MIN(AP137-VLOOKUP("Apto en campo: "&amp;$B137,Tabla_Ventajas,3,FALSE)-Tablas!$O280-2*Tablas!$Q280-3*Tablas!$S280,3),1))</f>
        <v>0</v>
      </c>
      <c r="O137" s="2614"/>
      <c r="P137" s="2980">
        <f>IF(ISNA(AR137),0,MAX(MIN(AR137-VLOOKUP("Apto en campo: "&amp;$B137,Tabla_Ventajas,3,FALSE)-Tablas!$O280-2*Tablas!$Q280-3*Tablas!$S280,3),1))</f>
        <v>0</v>
      </c>
      <c r="Q137" s="2614"/>
      <c r="R137" s="2980">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22"/>
        <v>0</v>
      </c>
      <c r="AJ137" s="2633" t="b">
        <f t="shared" si="23"/>
        <v>0</v>
      </c>
      <c r="AK137" s="2633"/>
      <c r="AL137" s="2471" t="e">
        <f t="shared" si="24"/>
        <v>#N/A</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25"/>
      <c r="D138" s="3356"/>
      <c r="E138" s="3798" t="s">
        <v>1084</v>
      </c>
      <c r="F138" s="3799"/>
      <c r="G138" s="3799"/>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22"/>
        <v>0</v>
      </c>
      <c r="AJ138" s="2633" t="b">
        <f t="shared" si="23"/>
        <v>0</v>
      </c>
      <c r="AK138" s="2633"/>
      <c r="AL138" s="2471" t="e">
        <f t="shared" si="24"/>
        <v>#N/A</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25"/>
      <c r="D139" s="3357"/>
      <c r="E139" s="3978" t="s">
        <v>1085</v>
      </c>
      <c r="F139" s="3979"/>
      <c r="G139" s="3979"/>
      <c r="H139" s="1048" t="s">
        <v>1659</v>
      </c>
      <c r="I139" s="2113"/>
      <c r="J139" s="2982">
        <f>IF(ISNA(AL139),0,MAX(MIN(AL139-VLOOKUP("Apto en campo: "&amp;$B139,Tabla_Ventajas,3,FALSE)-Tablas!$O282-2*Tablas!$Q282-3*Tablas!$S282,3),1))</f>
        <v>0</v>
      </c>
      <c r="K139" s="2620"/>
      <c r="L139" s="2982">
        <f>IF(ISNA(AN139),0,MAX(MIN(AN139-VLOOKUP("Apto en campo: "&amp;$B139,Tabla_Ventajas,3,FALSE)-Tablas!$O282-2*Tablas!$Q282-3*Tablas!$S282,3),1))</f>
        <v>0</v>
      </c>
      <c r="M139" s="2620"/>
      <c r="N139" s="2982">
        <f>IF(ISNA(AP139),0,MAX(MIN(AP139-VLOOKUP("Apto en campo: "&amp;$B139,Tabla_Ventajas,3,FALSE)-Tablas!$O282-2*Tablas!$Q282-3*Tablas!$S282,3),1))</f>
        <v>0</v>
      </c>
      <c r="O139" s="2620"/>
      <c r="P139" s="2982">
        <f>IF(ISNA(AR139),0,MAX(MIN(AR139-VLOOKUP("Apto en campo: "&amp;$B139,Tabla_Ventajas,3,FALSE)-Tablas!$O282-2*Tablas!$Q282-3*Tablas!$S282,3),1))</f>
        <v>0</v>
      </c>
      <c r="Q139" s="2620"/>
      <c r="R139" s="2982">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22"/>
        <v>0</v>
      </c>
      <c r="AJ139" s="2633" t="b">
        <f t="shared" si="23"/>
        <v>0</v>
      </c>
      <c r="AK139" s="2633"/>
      <c r="AL139" s="2471" t="e">
        <f t="shared" si="24"/>
        <v>#N/A</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25"/>
      <c r="D140" s="3356" t="s">
        <v>7876</v>
      </c>
      <c r="E140" s="3798" t="s">
        <v>1705</v>
      </c>
      <c r="F140" s="3799"/>
      <c r="G140" s="3799"/>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21"/>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22"/>
        <v>0</v>
      </c>
      <c r="AJ140" s="2633" t="b">
        <f t="shared" si="23"/>
        <v>0</v>
      </c>
      <c r="AK140" s="2633"/>
      <c r="AL140" s="2471" t="e">
        <f t="shared" si="24"/>
        <v>#N/A</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25"/>
      <c r="D141" s="3356"/>
      <c r="E141" s="3800" t="s">
        <v>1706</v>
      </c>
      <c r="F141" s="3801"/>
      <c r="G141" s="3801"/>
      <c r="H141" s="1045" t="s">
        <v>1662</v>
      </c>
      <c r="I141" s="2110"/>
      <c r="J141" s="2980">
        <f>IF(ISNA(AL141),0,MAX(MIN(AL141-VLOOKUP("Apto en campo: "&amp;$B141,Tabla_Ventajas,3,FALSE)-Tablas!$O284-2*Tablas!$Q284-3*Tablas!$S284,3),1))</f>
        <v>0</v>
      </c>
      <c r="K141" s="2614"/>
      <c r="L141" s="2980">
        <f>IF(ISNA(AN141),0,MAX(MIN(AN141-VLOOKUP("Apto en campo: "&amp;$B141,Tabla_Ventajas,3,FALSE)-Tablas!$O284-2*Tablas!$Q284-3*Tablas!$S284,3),1))</f>
        <v>0</v>
      </c>
      <c r="M141" s="2614"/>
      <c r="N141" s="2980">
        <f>IF(ISNA(AP141),0,MAX(MIN(AP141-VLOOKUP("Apto en campo: "&amp;$B141,Tabla_Ventajas,3,FALSE)-Tablas!$O284-2*Tablas!$Q284-3*Tablas!$S284,3),1))</f>
        <v>0</v>
      </c>
      <c r="O141" s="2614"/>
      <c r="P141" s="2980">
        <f>IF(ISNA(AR141),0,MAX(MIN(AR141-VLOOKUP("Apto en campo: "&amp;$B141,Tabla_Ventajas,3,FALSE)-Tablas!$O284-2*Tablas!$Q284-3*Tablas!$S284,3),1))</f>
        <v>0</v>
      </c>
      <c r="Q141" s="2614"/>
      <c r="R141" s="2980">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21"/>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22"/>
        <v>0</v>
      </c>
      <c r="AJ141" s="2633" t="b">
        <f t="shared" si="23"/>
        <v>0</v>
      </c>
      <c r="AK141" s="2633"/>
      <c r="AL141" s="2471" t="e">
        <f t="shared" si="24"/>
        <v>#N/A</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25"/>
      <c r="D142" s="3356"/>
      <c r="E142" s="3798" t="s">
        <v>1707</v>
      </c>
      <c r="F142" s="3799"/>
      <c r="G142" s="3799"/>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21"/>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22"/>
        <v>0</v>
      </c>
      <c r="AJ142" s="2633" t="b">
        <f t="shared" si="23"/>
        <v>0</v>
      </c>
      <c r="AK142" s="2633"/>
      <c r="AL142" s="2471" t="e">
        <f t="shared" si="24"/>
        <v>#N/A</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25"/>
      <c r="D143" s="3976" t="s">
        <v>1708</v>
      </c>
      <c r="E143" s="3796" t="s">
        <v>1709</v>
      </c>
      <c r="F143" s="3797"/>
      <c r="G143" s="3797"/>
      <c r="H143" s="1047" t="s">
        <v>1659</v>
      </c>
      <c r="I143" s="2114"/>
      <c r="J143" s="2981">
        <f>IF(ISNA(AL143),0,MAX(MIN(AL143-VLOOKUP("Apto en campo: "&amp;$B143,Tabla_Ventajas,3,FALSE)-Tablas!$O286-2*Tablas!$Q286-3*Tablas!$S286,3),1))</f>
        <v>0</v>
      </c>
      <c r="K143" s="2618"/>
      <c r="L143" s="2981">
        <f>IF(ISNA(AN143),0,MAX(MIN(AN143-VLOOKUP("Apto en campo: "&amp;$B143,Tabla_Ventajas,3,FALSE)-Tablas!$O286-2*Tablas!$Q286-3*Tablas!$S286,3),1))</f>
        <v>0</v>
      </c>
      <c r="M143" s="2618"/>
      <c r="N143" s="2981">
        <f>IF(ISNA(AP143),0,MAX(MIN(AP143-VLOOKUP("Apto en campo: "&amp;$B143,Tabla_Ventajas,3,FALSE)-Tablas!$O286-2*Tablas!$Q286-3*Tablas!$S286,3),1))</f>
        <v>0</v>
      </c>
      <c r="O143" s="2618"/>
      <c r="P143" s="2981">
        <f>IF(ISNA(AR143),0,MAX(MIN(AR143-VLOOKUP("Apto en campo: "&amp;$B143,Tabla_Ventajas,3,FALSE)-Tablas!$O286-2*Tablas!$Q286-3*Tablas!$S286,3),1))</f>
        <v>0</v>
      </c>
      <c r="Q143" s="2618"/>
      <c r="R143" s="2981">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21"/>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22"/>
        <v>0</v>
      </c>
      <c r="AJ143" s="2633" t="b">
        <f t="shared" si="23"/>
        <v>0</v>
      </c>
      <c r="AK143" s="2633"/>
      <c r="AL143" s="2471" t="e">
        <f t="shared" si="24"/>
        <v>#N/A</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25"/>
      <c r="D144" s="3356"/>
      <c r="E144" s="3798" t="s">
        <v>1710</v>
      </c>
      <c r="F144" s="3799"/>
      <c r="G144" s="3799"/>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33">OR(ISNUMBER(FIND("(",AG144)),ISNUMBER(FIND("(",AH144)))</f>
        <v>0</v>
      </c>
      <c r="AJ144" s="2633" t="b">
        <f t="shared" ref="AJ144:AJ157" si="34">AND(NOT(I144=""),OR(ISNUMBER(SEARCH(I144,AG144)),ISNUMBER(SEARCH(I144,AH144))))</f>
        <v>0</v>
      </c>
      <c r="AK144" s="2633"/>
      <c r="AL144" s="2471" t="e">
        <f t="shared" si="24"/>
        <v>#N/A</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25"/>
      <c r="D145" s="3356"/>
      <c r="E145" s="3800" t="s">
        <v>2919</v>
      </c>
      <c r="F145" s="3801"/>
      <c r="G145" s="3801"/>
      <c r="H145" s="1045" t="s">
        <v>1659</v>
      </c>
      <c r="I145" s="2110"/>
      <c r="J145" s="2980">
        <f>IF(ISNA(AL145),0,MAX(MIN(AL145-VLOOKUP("Apto en campo: "&amp;$B145,Tabla_Ventajas,3,FALSE)-Tablas!$O288-2*Tablas!$Q288-3*Tablas!$S288,3),1))</f>
        <v>0</v>
      </c>
      <c r="K145" s="2614"/>
      <c r="L145" s="2980">
        <f>IF(ISNA(AN145),0,MAX(MIN(AN145-VLOOKUP("Apto en campo: "&amp;$B145,Tabla_Ventajas,3,FALSE)-Tablas!$O288-2*Tablas!$Q288-3*Tablas!$S288,3),1))</f>
        <v>0</v>
      </c>
      <c r="M145" s="2614"/>
      <c r="N145" s="2980">
        <f>IF(ISNA(AP145),0,MAX(MIN(AP145-VLOOKUP("Apto en campo: "&amp;$B145,Tabla_Ventajas,3,FALSE)-Tablas!$O288-2*Tablas!$Q288-3*Tablas!$S288,3),1))</f>
        <v>0</v>
      </c>
      <c r="O145" s="2614"/>
      <c r="P145" s="2980">
        <f>IF(ISNA(AR145),0,MAX(MIN(AR145-VLOOKUP("Apto en campo: "&amp;$B145,Tabla_Ventajas,3,FALSE)-Tablas!$O288-2*Tablas!$Q288-3*Tablas!$S288,3),1))</f>
        <v>0</v>
      </c>
      <c r="Q145" s="2614"/>
      <c r="R145" s="2980">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33"/>
        <v>0</v>
      </c>
      <c r="AJ145" s="2633" t="b">
        <f t="shared" si="34"/>
        <v>0</v>
      </c>
      <c r="AK145" s="2633"/>
      <c r="AL145" s="2471" t="e">
        <f t="shared" si="24"/>
        <v>#N/A</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25"/>
      <c r="D146" s="3356"/>
      <c r="E146" s="3798" t="s">
        <v>1711</v>
      </c>
      <c r="F146" s="3799"/>
      <c r="G146" s="3799"/>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21"/>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33"/>
        <v>0</v>
      </c>
      <c r="AJ146" s="2633" t="b">
        <f t="shared" si="34"/>
        <v>0</v>
      </c>
      <c r="AK146" s="2633"/>
      <c r="AL146" s="2471" t="e">
        <f t="shared" si="24"/>
        <v>#N/A</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25"/>
      <c r="D147" s="3356"/>
      <c r="E147" s="3800" t="s">
        <v>1713</v>
      </c>
      <c r="F147" s="3801"/>
      <c r="G147" s="3801"/>
      <c r="H147" s="1045" t="s">
        <v>1659</v>
      </c>
      <c r="I147" s="2112"/>
      <c r="J147" s="2980">
        <f>IF(ISNA(AL147),0,MAX(MIN(AL147-VLOOKUP("Apto en campo: "&amp;$B147,Tabla_Ventajas,3,FALSE)-Tablas!$O290-2*Tablas!$Q290-3*Tablas!$S290,3),1))</f>
        <v>0</v>
      </c>
      <c r="K147" s="2614"/>
      <c r="L147" s="2980">
        <f>IF(ISNA(AN147),0,MAX(MIN(AN147-VLOOKUP("Apto en campo: "&amp;$B147,Tabla_Ventajas,3,FALSE)-Tablas!$O290-2*Tablas!$Q290-3*Tablas!$S290,3),1))</f>
        <v>0</v>
      </c>
      <c r="M147" s="2614"/>
      <c r="N147" s="2980">
        <f>IF(ISNA(AP147),0,MAX(MIN(AP147-VLOOKUP("Apto en campo: "&amp;$B147,Tabla_Ventajas,3,FALSE)-Tablas!$O290-2*Tablas!$Q290-3*Tablas!$S290,3),1))</f>
        <v>0</v>
      </c>
      <c r="O147" s="2614"/>
      <c r="P147" s="2980">
        <f>IF(ISNA(AR147),0,MAX(MIN(AR147-VLOOKUP("Apto en campo: "&amp;$B147,Tabla_Ventajas,3,FALSE)-Tablas!$O290-2*Tablas!$Q290-3*Tablas!$S290,3),1))</f>
        <v>0</v>
      </c>
      <c r="Q147" s="2614"/>
      <c r="R147" s="2980">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24"/>
        <v>#N/A</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25"/>
      <c r="D148" s="3356"/>
      <c r="E148" s="3798" t="s">
        <v>1086</v>
      </c>
      <c r="F148" s="3799"/>
      <c r="G148" s="3799"/>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33"/>
        <v>0</v>
      </c>
      <c r="AJ148" s="2633" t="b">
        <f t="shared" si="34"/>
        <v>0</v>
      </c>
      <c r="AK148" s="2633"/>
      <c r="AL148" s="2471" t="e">
        <f t="shared" si="24"/>
        <v>#N/A</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25"/>
      <c r="D149" s="3356"/>
      <c r="E149" s="3800" t="s">
        <v>1716</v>
      </c>
      <c r="F149" s="3801"/>
      <c r="G149" s="3801"/>
      <c r="H149" s="1045" t="s">
        <v>1659</v>
      </c>
      <c r="I149" s="2112"/>
      <c r="J149" s="2980">
        <f>IF(ISNA(AL149),0,MAX(MIN(AL149-VLOOKUP("Apto en campo: "&amp;$B149,Tabla_Ventajas,3,FALSE)-Tablas!$O292-2*Tablas!$Q292-3*Tablas!$S292,3),1))</f>
        <v>0</v>
      </c>
      <c r="K149" s="2614"/>
      <c r="L149" s="2980">
        <f>IF(ISNA(AN149),0,MAX(MIN(AN149-VLOOKUP("Apto en campo: "&amp;$B149,Tabla_Ventajas,3,FALSE)-Tablas!$O292-2*Tablas!$Q292-3*Tablas!$S292,3),1))</f>
        <v>0</v>
      </c>
      <c r="M149" s="2614"/>
      <c r="N149" s="2980">
        <f>IF(ISNA(AP149),0,MAX(MIN(AP149-VLOOKUP("Apto en campo: "&amp;$B149,Tabla_Ventajas,3,FALSE)-Tablas!$O292-2*Tablas!$Q292-3*Tablas!$S292,3),1))</f>
        <v>0</v>
      </c>
      <c r="O149" s="2614"/>
      <c r="P149" s="2980">
        <f>IF(ISNA(AR149),0,MAX(MIN(AR149-VLOOKUP("Apto en campo: "&amp;$B149,Tabla_Ventajas,3,FALSE)-Tablas!$O292-2*Tablas!$Q292-3*Tablas!$S292,3),1))</f>
        <v>0</v>
      </c>
      <c r="Q149" s="2614"/>
      <c r="R149" s="2980">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33"/>
        <v>0</v>
      </c>
      <c r="AJ149" s="2633" t="b">
        <f t="shared" si="34"/>
        <v>0</v>
      </c>
      <c r="AK149" s="2633"/>
      <c r="AL149" s="2471" t="e">
        <f t="shared" si="24"/>
        <v>#N/A</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25"/>
      <c r="D150" s="3356"/>
      <c r="E150" s="3798" t="s">
        <v>1717</v>
      </c>
      <c r="F150" s="3799"/>
      <c r="G150" s="3799"/>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33"/>
        <v>0</v>
      </c>
      <c r="AJ150" s="2633" t="b">
        <f t="shared" si="34"/>
        <v>0</v>
      </c>
      <c r="AK150" s="2633"/>
      <c r="AL150" s="2471" t="e">
        <f t="shared" si="24"/>
        <v>#N/A</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25"/>
      <c r="D151" s="3356"/>
      <c r="E151" s="3800" t="s">
        <v>1718</v>
      </c>
      <c r="F151" s="3801"/>
      <c r="G151" s="3801"/>
      <c r="H151" s="1045" t="s">
        <v>1659</v>
      </c>
      <c r="I151" s="2110"/>
      <c r="J151" s="2980">
        <f>IF(ISNA(AL151),0,MAX(MIN(AL151-VLOOKUP("Apto en campo: "&amp;$B151,Tabla_Ventajas,3,FALSE)-Tablas!$O294-2*Tablas!$Q294-3*Tablas!$S294,3),1))</f>
        <v>0</v>
      </c>
      <c r="K151" s="2614"/>
      <c r="L151" s="2980">
        <f>IF(ISNA(AN151),0,MAX(MIN(AN151-VLOOKUP("Apto en campo: "&amp;$B151,Tabla_Ventajas,3,FALSE)-Tablas!$O294-2*Tablas!$Q294-3*Tablas!$S294,3),1))</f>
        <v>0</v>
      </c>
      <c r="M151" s="2614"/>
      <c r="N151" s="2980">
        <f>IF(ISNA(AP151),0,MAX(MIN(AP151-VLOOKUP("Apto en campo: "&amp;$B151,Tabla_Ventajas,3,FALSE)-Tablas!$O294-2*Tablas!$Q294-3*Tablas!$S294,3),1))</f>
        <v>0</v>
      </c>
      <c r="O151" s="2614"/>
      <c r="P151" s="2980">
        <f>IF(ISNA(AR151),0,MAX(MIN(AR151-VLOOKUP("Apto en campo: "&amp;$B151,Tabla_Ventajas,3,FALSE)-Tablas!$O294-2*Tablas!$Q294-3*Tablas!$S294,3),1))</f>
        <v>0</v>
      </c>
      <c r="Q151" s="2614"/>
      <c r="R151" s="2980">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33"/>
        <v>0</v>
      </c>
      <c r="AJ151" s="2633" t="b">
        <f t="shared" si="34"/>
        <v>0</v>
      </c>
      <c r="AK151" s="2633"/>
      <c r="AL151" s="2471" t="e">
        <f t="shared" si="24"/>
        <v>#N/A</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25"/>
      <c r="D152" s="3356"/>
      <c r="E152" s="3798" t="s">
        <v>1719</v>
      </c>
      <c r="F152" s="3799"/>
      <c r="G152" s="3799"/>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21"/>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33"/>
        <v>0</v>
      </c>
      <c r="AJ152" s="2633" t="b">
        <f t="shared" si="34"/>
        <v>0</v>
      </c>
      <c r="AK152" s="2633"/>
      <c r="AL152" s="2471" t="e">
        <f t="shared" si="24"/>
        <v>#N/A</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25"/>
      <c r="D153" s="3356"/>
      <c r="E153" s="3800" t="s">
        <v>1720</v>
      </c>
      <c r="F153" s="3801"/>
      <c r="G153" s="3801"/>
      <c r="H153" s="1045" t="s">
        <v>1659</v>
      </c>
      <c r="I153" s="2110"/>
      <c r="J153" s="2980">
        <f>IF(ISNA(AL153),0,MAX(MIN(AL153-VLOOKUP("Apto en campo: "&amp;$B153,Tabla_Ventajas,3,FALSE)-Tablas!$O296-2*Tablas!$Q296-3*Tablas!$S296,3),1))</f>
        <v>0</v>
      </c>
      <c r="K153" s="2614"/>
      <c r="L153" s="2980">
        <f>IF(ISNA(AN153),0,MAX(MIN(AN153-VLOOKUP("Apto en campo: "&amp;$B153,Tabla_Ventajas,3,FALSE)-Tablas!$O296-2*Tablas!$Q296-3*Tablas!$S296,3),1))</f>
        <v>0</v>
      </c>
      <c r="M153" s="2614"/>
      <c r="N153" s="2980">
        <f>IF(ISNA(AP153),0,MAX(MIN(AP153-VLOOKUP("Apto en campo: "&amp;$B153,Tabla_Ventajas,3,FALSE)-Tablas!$O296-2*Tablas!$Q296-3*Tablas!$S296,3),1))</f>
        <v>0</v>
      </c>
      <c r="O153" s="2614"/>
      <c r="P153" s="2980">
        <f>IF(ISNA(AR153),0,MAX(MIN(AR153-VLOOKUP("Apto en campo: "&amp;$B153,Tabla_Ventajas,3,FALSE)-Tablas!$O296-2*Tablas!$Q296-3*Tablas!$S296,3),1))</f>
        <v>0</v>
      </c>
      <c r="Q153" s="2614"/>
      <c r="R153" s="2980">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33"/>
        <v>0</v>
      </c>
      <c r="AJ153" s="2633" t="b">
        <f t="shared" si="34"/>
        <v>0</v>
      </c>
      <c r="AK153" s="2633"/>
      <c r="AL153" s="2471" t="e">
        <f t="shared" si="24"/>
        <v>#N/A</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25"/>
      <c r="D154" s="3357"/>
      <c r="E154" s="3805" t="s">
        <v>1721</v>
      </c>
      <c r="F154" s="3806"/>
      <c r="G154" s="3806"/>
      <c r="H154" s="1049" t="s">
        <v>1664</v>
      </c>
      <c r="I154" s="2078"/>
      <c r="J154" s="2978">
        <f>IF(ISNA(AL154),0,MAX(MIN(AL154-VLOOKUP("Apto en campo: "&amp;$B154,Tabla_Ventajas,3,FALSE)-Tablas!$O297-2*Tablas!$Q297-3*Tablas!$S297,3),1))</f>
        <v>0</v>
      </c>
      <c r="K154" s="2622"/>
      <c r="L154" s="2978">
        <f>IF(ISNA(AN154),0,MAX(MIN(AN154-VLOOKUP("Apto en campo: "&amp;$B154,Tabla_Ventajas,3,FALSE)-Tablas!$O297-2*Tablas!$Q297-3*Tablas!$S297,3),1))</f>
        <v>0</v>
      </c>
      <c r="M154" s="2622"/>
      <c r="N154" s="2978">
        <f>IF(ISNA(AP154),0,MAX(MIN(AP154-VLOOKUP("Apto en campo: "&amp;$B154,Tabla_Ventajas,3,FALSE)-Tablas!$O297-2*Tablas!$Q297-3*Tablas!$S297,3),1))</f>
        <v>0</v>
      </c>
      <c r="O154" s="2622"/>
      <c r="P154" s="2978">
        <f>IF(ISNA(AR154),0,MAX(MIN(AR154-VLOOKUP("Apto en campo: "&amp;$B154,Tabla_Ventajas,3,FALSE)-Tablas!$O297-2*Tablas!$Q297-3*Tablas!$S297,3),1))</f>
        <v>0</v>
      </c>
      <c r="Q154" s="2622"/>
      <c r="R154" s="2978">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21"/>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33"/>
        <v>0</v>
      </c>
      <c r="AJ154" s="2633" t="b">
        <f t="shared" si="34"/>
        <v>0</v>
      </c>
      <c r="AK154" s="2633"/>
      <c r="AL154" s="2471" t="e">
        <f t="shared" si="24"/>
        <v>#N/A</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25"/>
      <c r="D155" s="3356" t="s">
        <v>1722</v>
      </c>
      <c r="E155" s="3800" t="s">
        <v>1723</v>
      </c>
      <c r="F155" s="3801"/>
      <c r="G155" s="3801"/>
      <c r="H155" s="1045" t="s">
        <v>1665</v>
      </c>
      <c r="I155" s="2110"/>
      <c r="J155" s="2980">
        <f>IF(ISNA(AL155),0,MAX(MIN(AL155-VLOOKUP("Apto en campo: "&amp;$B155,Tabla_Ventajas,3,FALSE)-Tablas!$O298-2*Tablas!$Q298-3*Tablas!$S298,3),1))</f>
        <v>0</v>
      </c>
      <c r="K155" s="2614"/>
      <c r="L155" s="2980">
        <f>IF(ISNA(AN155),0,MAX(MIN(AN155-VLOOKUP("Apto en campo: "&amp;$B155,Tabla_Ventajas,3,FALSE)-Tablas!$O298-2*Tablas!$Q298-3*Tablas!$S298,3),1))</f>
        <v>0</v>
      </c>
      <c r="M155" s="2614"/>
      <c r="N155" s="2980">
        <f>IF(ISNA(AP155),0,MAX(MIN(AP155-VLOOKUP("Apto en campo: "&amp;$B155,Tabla_Ventajas,3,FALSE)-Tablas!$O298-2*Tablas!$Q298-3*Tablas!$S298,3),1))</f>
        <v>0</v>
      </c>
      <c r="O155" s="2614"/>
      <c r="P155" s="2980">
        <f>IF(ISNA(AR155),0,MAX(MIN(AR155-VLOOKUP("Apto en campo: "&amp;$B155,Tabla_Ventajas,3,FALSE)-Tablas!$O298-2*Tablas!$Q298-3*Tablas!$S298,3),1))</f>
        <v>0</v>
      </c>
      <c r="Q155" s="2614"/>
      <c r="R155" s="2980">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21"/>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33"/>
        <v>0</v>
      </c>
      <c r="AJ155" s="2633" t="b">
        <f t="shared" si="34"/>
        <v>0</v>
      </c>
      <c r="AK155" s="2633"/>
      <c r="AL155" s="2471" t="e">
        <f t="shared" si="24"/>
        <v>#N/A</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25"/>
      <c r="D156" s="3356"/>
      <c r="E156" s="3798" t="s">
        <v>1724</v>
      </c>
      <c r="F156" s="3799"/>
      <c r="G156" s="3799"/>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29"/>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21"/>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33"/>
        <v>0</v>
      </c>
      <c r="AJ156" s="2633" t="b">
        <f t="shared" si="34"/>
        <v>0</v>
      </c>
      <c r="AK156" s="2633"/>
      <c r="AL156" s="2471" t="e">
        <f t="shared" si="24"/>
        <v>#N/A</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25"/>
      <c r="D157" s="3356"/>
      <c r="E157" s="3800" t="s">
        <v>1727</v>
      </c>
      <c r="F157" s="3801"/>
      <c r="G157" s="3801"/>
      <c r="H157" s="1045" t="s">
        <v>1665</v>
      </c>
      <c r="I157" s="2110"/>
      <c r="J157" s="2980">
        <f>IF(ISNA(AL157),0,MAX(MIN(AL157-VLOOKUP("Apto en campo: "&amp;$B157,Tabla_Ventajas,3,FALSE)-Tablas!$O300-2*Tablas!$Q300-3*Tablas!$S300,3),1))</f>
        <v>0</v>
      </c>
      <c r="K157" s="2614"/>
      <c r="L157" s="2980">
        <f>IF(ISNA(AN157),0,MAX(MIN(AN157-VLOOKUP("Apto en campo: "&amp;$B157,Tabla_Ventajas,3,FALSE)-Tablas!$O300-2*Tablas!$Q300-3*Tablas!$S300,3),1))</f>
        <v>0</v>
      </c>
      <c r="M157" s="2614"/>
      <c r="N157" s="2980">
        <f>IF(ISNA(AP157),0,MAX(MIN(AP157-VLOOKUP("Apto en campo: "&amp;$B157,Tabla_Ventajas,3,FALSE)-Tablas!$O300-2*Tablas!$Q300-3*Tablas!$S300,3),1))</f>
        <v>0</v>
      </c>
      <c r="O157" s="2614"/>
      <c r="P157" s="2980">
        <f>IF(ISNA(AR157),0,MAX(MIN(AR157-VLOOKUP("Apto en campo: "&amp;$B157,Tabla_Ventajas,3,FALSE)-Tablas!$O300-2*Tablas!$Q300-3*Tablas!$S300,3),1))</f>
        <v>0</v>
      </c>
      <c r="Q157" s="2614"/>
      <c r="R157" s="2980">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21"/>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33"/>
        <v>0</v>
      </c>
      <c r="AJ157" s="2633" t="b">
        <f t="shared" si="34"/>
        <v>0</v>
      </c>
      <c r="AK157" s="2633"/>
      <c r="AL157" s="2471" t="e">
        <f t="shared" si="24"/>
        <v>#N/A</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25"/>
      <c r="D158" s="3976" t="s">
        <v>1730</v>
      </c>
      <c r="E158" s="3794" t="s">
        <v>1731</v>
      </c>
      <c r="F158" s="3795"/>
      <c r="G158" s="3795"/>
      <c r="H158" s="1050" t="s">
        <v>1651</v>
      </c>
      <c r="I158" s="2079"/>
      <c r="J158" s="2979">
        <f>IF(ISNA(AL158),0,MAX(MIN(AL158-VLOOKUP("Apto en campo: "&amp;$B158,Tabla_Ventajas,3,FALSE)-Tablas!$O301-2*Tablas!$Q301-3*Tablas!$S301,3),1))</f>
        <v>0</v>
      </c>
      <c r="K158" s="2624"/>
      <c r="L158" s="2979">
        <f>IF(ISNA(AN158),0,MAX(MIN(AN158-VLOOKUP("Apto en campo: "&amp;$B158,Tabla_Ventajas,3,FALSE)-Tablas!$O301-2*Tablas!$Q301-3*Tablas!$S301,3),1))</f>
        <v>0</v>
      </c>
      <c r="M158" s="2624"/>
      <c r="N158" s="2979">
        <f>IF(ISNA(AP158),0,MAX(MIN(AP158-VLOOKUP("Apto en campo: "&amp;$B158,Tabla_Ventajas,3,FALSE)-Tablas!$O301-2*Tablas!$Q301-3*Tablas!$S301,3),1))</f>
        <v>0</v>
      </c>
      <c r="O158" s="2624"/>
      <c r="P158" s="2979">
        <f>IF(ISNA(AR158),0,MAX(MIN(AR158-VLOOKUP("Apto en campo: "&amp;$B158,Tabla_Ventajas,3,FALSE)-Tablas!$O301-2*Tablas!$Q301-3*Tablas!$S301,3),1))</f>
        <v>0</v>
      </c>
      <c r="Q158" s="2624"/>
      <c r="R158" s="2979">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37">OR(ISNUMBER(FIND("(",AG158)),ISNUMBER(FIND("(",AH158)))</f>
        <v>0</v>
      </c>
      <c r="AJ158" s="2633" t="b">
        <f t="shared" ref="AJ158:AJ176" si="38">AND(NOT(I158=""),OR(ISNUMBER(SEARCH(I158,AG158)),ISNUMBER(SEARCH(I158,AH158))))</f>
        <v>0</v>
      </c>
      <c r="AK158" s="2633"/>
      <c r="AL158" s="2471"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25"/>
      <c r="D159" s="3356"/>
      <c r="E159" s="3800" t="s">
        <v>1733</v>
      </c>
      <c r="F159" s="3801"/>
      <c r="G159" s="3801"/>
      <c r="H159" s="1045" t="s">
        <v>1651</v>
      </c>
      <c r="I159" s="2110"/>
      <c r="J159" s="2980">
        <f>IF(ISNA(AL159),0,MAX(MIN(AL159-VLOOKUP("Apto en campo: "&amp;$B159,Tabla_Ventajas,3,FALSE)-Tablas!$O302-2*Tablas!$Q302-3*Tablas!$S302,3),1))</f>
        <v>0</v>
      </c>
      <c r="K159" s="2614"/>
      <c r="L159" s="2980">
        <f>IF(ISNA(AN159),0,MAX(MIN(AN159-VLOOKUP("Apto en campo: "&amp;$B159,Tabla_Ventajas,3,FALSE)-Tablas!$O302-2*Tablas!$Q302-3*Tablas!$S302,3),1))</f>
        <v>0</v>
      </c>
      <c r="M159" s="2614"/>
      <c r="N159" s="2980">
        <f>IF(ISNA(AP159),0,MAX(MIN(AP159-VLOOKUP("Apto en campo: "&amp;$B159,Tabla_Ventajas,3,FALSE)-Tablas!$O302-2*Tablas!$Q302-3*Tablas!$S302,3),1))</f>
        <v>0</v>
      </c>
      <c r="O159" s="2614"/>
      <c r="P159" s="2980">
        <f>IF(ISNA(AR159),0,MAX(MIN(AR159-VLOOKUP("Apto en campo: "&amp;$B159,Tabla_Ventajas,3,FALSE)-Tablas!$O302-2*Tablas!$Q302-3*Tablas!$S302,3),1))</f>
        <v>0</v>
      </c>
      <c r="Q159" s="2614"/>
      <c r="R159" s="2980">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36"/>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37"/>
        <v>0</v>
      </c>
      <c r="AJ159" s="2633" t="b">
        <f t="shared" si="38"/>
        <v>0</v>
      </c>
      <c r="AK159" s="2633"/>
      <c r="AL159" s="2471" t="e">
        <f t="shared" si="39"/>
        <v>#N/A</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25"/>
      <c r="D160" s="3356"/>
      <c r="E160" s="3798" t="s">
        <v>1735</v>
      </c>
      <c r="F160" s="3799"/>
      <c r="G160" s="3799"/>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36"/>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37"/>
        <v>0</v>
      </c>
      <c r="AJ160" s="2633" t="b">
        <f t="shared" si="38"/>
        <v>0</v>
      </c>
      <c r="AK160" s="2633"/>
      <c r="AL160" s="2471" t="e">
        <f t="shared" si="39"/>
        <v>#N/A</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25"/>
      <c r="D161" s="3356"/>
      <c r="E161" s="3800" t="s">
        <v>1737</v>
      </c>
      <c r="F161" s="3801"/>
      <c r="G161" s="3801"/>
      <c r="H161" s="1045" t="s">
        <v>1651</v>
      </c>
      <c r="I161" s="2110"/>
      <c r="J161" s="2980">
        <f>IF(ISNA(AL161),0,MAX(MIN(AL161-VLOOKUP("Apto en campo: "&amp;$B161,Tabla_Ventajas,3,FALSE)-Tablas!$O304-2*Tablas!$Q304-3*Tablas!$S304,3),1))</f>
        <v>0</v>
      </c>
      <c r="K161" s="2614"/>
      <c r="L161" s="2980">
        <f>IF(ISNA(AN161),0,MAX(MIN(AN161-VLOOKUP("Apto en campo: "&amp;$B161,Tabla_Ventajas,3,FALSE)-Tablas!$O304-2*Tablas!$Q304-3*Tablas!$S304,3),1))</f>
        <v>0</v>
      </c>
      <c r="M161" s="2614"/>
      <c r="N161" s="2980">
        <f>IF(ISNA(AP161),0,MAX(MIN(AP161-VLOOKUP("Apto en campo: "&amp;$B161,Tabla_Ventajas,3,FALSE)-Tablas!$O304-2*Tablas!$Q304-3*Tablas!$S304,3),1))</f>
        <v>0</v>
      </c>
      <c r="O161" s="2614"/>
      <c r="P161" s="2980">
        <f>IF(ISNA(AR161),0,MAX(MIN(AR161-VLOOKUP("Apto en campo: "&amp;$B161,Tabla_Ventajas,3,FALSE)-Tablas!$O304-2*Tablas!$Q304-3*Tablas!$S304,3),1))</f>
        <v>0</v>
      </c>
      <c r="Q161" s="2614"/>
      <c r="R161" s="2980">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36"/>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37"/>
        <v>0</v>
      </c>
      <c r="AJ161" s="2633" t="b">
        <f t="shared" si="38"/>
        <v>0</v>
      </c>
      <c r="AK161" s="2633"/>
      <c r="AL161" s="2471" t="e">
        <f t="shared" si="39"/>
        <v>#N/A</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25"/>
      <c r="D162" s="3356"/>
      <c r="E162" s="3798" t="s">
        <v>1739</v>
      </c>
      <c r="F162" s="3799"/>
      <c r="G162" s="3799"/>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36"/>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37"/>
        <v>0</v>
      </c>
      <c r="AJ162" s="2633" t="b">
        <f t="shared" si="38"/>
        <v>0</v>
      </c>
      <c r="AK162" s="2633"/>
      <c r="AL162" s="2471" t="e">
        <f t="shared" si="39"/>
        <v>#N/A</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25"/>
      <c r="D163" s="3356"/>
      <c r="E163" s="3800" t="s">
        <v>1741</v>
      </c>
      <c r="F163" s="3801"/>
      <c r="G163" s="3801"/>
      <c r="H163" s="1045" t="s">
        <v>1651</v>
      </c>
      <c r="I163" s="2110"/>
      <c r="J163" s="2980">
        <f>IF(ISNA(AL163),0,MAX(MIN(AL163-VLOOKUP("Apto en campo: "&amp;$B163,Tabla_Ventajas,3,FALSE)-Tablas!$O306-2*Tablas!$Q306-3*Tablas!$S306,3),1))</f>
        <v>0</v>
      </c>
      <c r="K163" s="2614"/>
      <c r="L163" s="2980">
        <f>IF(ISNA(AN163),0,MAX(MIN(AN163-VLOOKUP("Apto en campo: "&amp;$B163,Tabla_Ventajas,3,FALSE)-Tablas!$O306-2*Tablas!$Q306-3*Tablas!$S306,3),1))</f>
        <v>0</v>
      </c>
      <c r="M163" s="2614"/>
      <c r="N163" s="2980">
        <f>IF(ISNA(AP163),0,MAX(MIN(AP163-VLOOKUP("Apto en campo: "&amp;$B163,Tabla_Ventajas,3,FALSE)-Tablas!$O306-2*Tablas!$Q306-3*Tablas!$S306,3),1))</f>
        <v>0</v>
      </c>
      <c r="O163" s="2614"/>
      <c r="P163" s="2980">
        <f>IF(ISNA(AR163),0,MAX(MIN(AR163-VLOOKUP("Apto en campo: "&amp;$B163,Tabla_Ventajas,3,FALSE)-Tablas!$O306-2*Tablas!$Q306-3*Tablas!$S306,3),1))</f>
        <v>0</v>
      </c>
      <c r="Q163" s="2614"/>
      <c r="R163" s="2980">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36"/>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37"/>
        <v>0</v>
      </c>
      <c r="AJ163" s="2633" t="b">
        <f t="shared" si="38"/>
        <v>0</v>
      </c>
      <c r="AK163" s="2633"/>
      <c r="AL163" s="2471" t="e">
        <f t="shared" si="39"/>
        <v>#N/A</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25"/>
      <c r="D164" s="3357"/>
      <c r="E164" s="3805" t="s">
        <v>1742</v>
      </c>
      <c r="F164" s="3806"/>
      <c r="G164" s="3806"/>
      <c r="H164" s="1046" t="s">
        <v>1659</v>
      </c>
      <c r="I164" s="2076"/>
      <c r="J164" s="2978">
        <f>IF(ISNA(AL164),0,MAX(MIN(AL164-VLOOKUP("Apto en campo: "&amp;$B164,Tabla_Ventajas,3,FALSE)-Tablas!$O307-2*Tablas!$Q307-3*Tablas!$S307,3),1))</f>
        <v>0</v>
      </c>
      <c r="K164" s="2616"/>
      <c r="L164" s="2978">
        <f>IF(ISNA(AN164),0,MAX(MIN(AN164-VLOOKUP("Apto en campo: "&amp;$B164,Tabla_Ventajas,3,FALSE)-Tablas!$O307-2*Tablas!$Q307-3*Tablas!$S307,3),1))</f>
        <v>0</v>
      </c>
      <c r="M164" s="2616"/>
      <c r="N164" s="2978">
        <f>IF(ISNA(AP164),0,MAX(MIN(AP164-VLOOKUP("Apto en campo: "&amp;$B164,Tabla_Ventajas,3,FALSE)-Tablas!$O307-2*Tablas!$Q307-3*Tablas!$S307,3),1))</f>
        <v>0</v>
      </c>
      <c r="O164" s="2616"/>
      <c r="P164" s="2978">
        <f>IF(ISNA(AR164),0,MAX(MIN(AR164-VLOOKUP("Apto en campo: "&amp;$B164,Tabla_Ventajas,3,FALSE)-Tablas!$O307-2*Tablas!$Q307-3*Tablas!$S307,3),1))</f>
        <v>0</v>
      </c>
      <c r="Q164" s="2616"/>
      <c r="R164" s="2978">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36"/>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37"/>
        <v>0</v>
      </c>
      <c r="AJ164" s="2633" t="b">
        <f t="shared" si="38"/>
        <v>0</v>
      </c>
      <c r="AK164" s="2633"/>
      <c r="AL164" s="2471" t="e">
        <f t="shared" si="39"/>
        <v>#N/A</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25"/>
      <c r="D165" s="3356" t="s">
        <v>1743</v>
      </c>
      <c r="E165" s="3800" t="s">
        <v>1744</v>
      </c>
      <c r="F165" s="3801"/>
      <c r="G165" s="3801"/>
      <c r="H165" s="1047" t="s">
        <v>1664</v>
      </c>
      <c r="I165" s="2114"/>
      <c r="J165" s="2980">
        <f>IF(ISNA(AL165),0,MAX(MIN(AL165-VLOOKUP("Apto en campo: "&amp;$B165,Tabla_Ventajas,3,FALSE)-Tablas!$O308-2*Tablas!$Q308-3*Tablas!$S308,3),1))</f>
        <v>0</v>
      </c>
      <c r="K165" s="2618"/>
      <c r="L165" s="2980">
        <f>IF(ISNA(AN165),0,MAX(MIN(AN165-VLOOKUP("Apto en campo: "&amp;$B165,Tabla_Ventajas,3,FALSE)-Tablas!$O308-2*Tablas!$Q308-3*Tablas!$S308,3),1))</f>
        <v>0</v>
      </c>
      <c r="M165" s="2618"/>
      <c r="N165" s="2980">
        <f>IF(ISNA(AP165),0,MAX(MIN(AP165-VLOOKUP("Apto en campo: "&amp;$B165,Tabla_Ventajas,3,FALSE)-Tablas!$O308-2*Tablas!$Q308-3*Tablas!$S308,3),1))</f>
        <v>0</v>
      </c>
      <c r="O165" s="2618"/>
      <c r="P165" s="2980">
        <f>IF(ISNA(AR165),0,MAX(MIN(AR165-VLOOKUP("Apto en campo: "&amp;$B165,Tabla_Ventajas,3,FALSE)-Tablas!$O308-2*Tablas!$Q308-3*Tablas!$S308,3),1))</f>
        <v>0</v>
      </c>
      <c r="Q165" s="2618"/>
      <c r="R165" s="2980">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37"/>
        <v>0</v>
      </c>
      <c r="AJ165" s="2633" t="b">
        <f t="shared" si="38"/>
        <v>0</v>
      </c>
      <c r="AK165" s="2633"/>
      <c r="AL165" s="2471" t="e">
        <f t="shared" si="39"/>
        <v>#N/A</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25"/>
      <c r="D166" s="3356"/>
      <c r="E166" s="3798" t="s">
        <v>1745</v>
      </c>
      <c r="F166" s="3799"/>
      <c r="G166" s="3799"/>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37"/>
        <v>0</v>
      </c>
      <c r="AJ166" s="2633" t="b">
        <f t="shared" si="38"/>
        <v>0</v>
      </c>
      <c r="AK166" s="2633"/>
      <c r="AL166" s="2471" t="e">
        <f t="shared" si="39"/>
        <v>#N/A</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25"/>
      <c r="D167" s="3356"/>
      <c r="E167" s="3800" t="s">
        <v>1746</v>
      </c>
      <c r="F167" s="3801"/>
      <c r="G167" s="3801"/>
      <c r="H167" s="1045" t="s">
        <v>1651</v>
      </c>
      <c r="I167" s="2112"/>
      <c r="J167" s="2980">
        <f>IF(ISNA(AL167),0,MAX(MIN(AL167-VLOOKUP("Apto en campo: "&amp;$B167,Tabla_Ventajas,3,FALSE)-Tablas!$O310-2*Tablas!$Q310-3*Tablas!$S310,3),1))</f>
        <v>0</v>
      </c>
      <c r="K167" s="2614"/>
      <c r="L167" s="2980">
        <f>IF(ISNA(AN167),0,MAX(MIN(AN167-VLOOKUP("Apto en campo: "&amp;$B167,Tabla_Ventajas,3,FALSE)-Tablas!$O310-2*Tablas!$Q310-3*Tablas!$S310,3),1))</f>
        <v>0</v>
      </c>
      <c r="M167" s="2614"/>
      <c r="N167" s="2980">
        <f>IF(ISNA(AP167),0,MAX(MIN(AP167-VLOOKUP("Apto en campo: "&amp;$B167,Tabla_Ventajas,3,FALSE)-Tablas!$O310-2*Tablas!$Q310-3*Tablas!$S310,3),1))</f>
        <v>0</v>
      </c>
      <c r="O167" s="2614"/>
      <c r="P167" s="2980">
        <f>IF(ISNA(AR167),0,MAX(MIN(AR167-VLOOKUP("Apto en campo: "&amp;$B167,Tabla_Ventajas,3,FALSE)-Tablas!$O310-2*Tablas!$Q310-3*Tablas!$S310,3),1))</f>
        <v>0</v>
      </c>
      <c r="Q167" s="2614"/>
      <c r="R167" s="2980">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37"/>
        <v>0</v>
      </c>
      <c r="AJ167" s="2633" t="b">
        <f t="shared" si="38"/>
        <v>0</v>
      </c>
      <c r="AK167" s="2633"/>
      <c r="AL167" s="2471" t="e">
        <f t="shared" si="39"/>
        <v>#N/A</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25"/>
      <c r="D168" s="3356"/>
      <c r="E168" s="3798" t="s">
        <v>1080</v>
      </c>
      <c r="F168" s="3799"/>
      <c r="G168" s="3799"/>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37"/>
        <v>0</v>
      </c>
      <c r="AJ168" s="2633" t="b">
        <f t="shared" si="38"/>
        <v>0</v>
      </c>
      <c r="AK168" s="2633"/>
      <c r="AL168" s="2471" t="e">
        <f t="shared" si="39"/>
        <v>#N/A</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25"/>
      <c r="D169" s="3356"/>
      <c r="E169" s="3800" t="s">
        <v>1081</v>
      </c>
      <c r="F169" s="3801"/>
      <c r="G169" s="3801"/>
      <c r="H169" s="1045" t="s">
        <v>1659</v>
      </c>
      <c r="I169" s="2110"/>
      <c r="J169" s="2980">
        <f>IF(ISNA(AL169),0,MAX(MIN(AL169-VLOOKUP("Apto en campo: "&amp;$B169,Tabla_Ventajas,3,FALSE)-Tablas!$O312-2*Tablas!$Q312-3*Tablas!$S312,3),1))</f>
        <v>0</v>
      </c>
      <c r="K169" s="2614"/>
      <c r="L169" s="2980">
        <f>IF(ISNA(AN169),0,MAX(MIN(AN169-VLOOKUP("Apto en campo: "&amp;$B169,Tabla_Ventajas,3,FALSE)-Tablas!$O312-2*Tablas!$Q312-3*Tablas!$S312,3),1))</f>
        <v>0</v>
      </c>
      <c r="M169" s="2614"/>
      <c r="N169" s="2980">
        <f>IF(ISNA(AP169),0,MAX(MIN(AP169-VLOOKUP("Apto en campo: "&amp;$B169,Tabla_Ventajas,3,FALSE)-Tablas!$O312-2*Tablas!$Q312-3*Tablas!$S312,3),1))</f>
        <v>0</v>
      </c>
      <c r="O169" s="2614"/>
      <c r="P169" s="2980">
        <f>IF(ISNA(AR169),0,MAX(MIN(AR169-VLOOKUP("Apto en campo: "&amp;$B169,Tabla_Ventajas,3,FALSE)-Tablas!$O312-2*Tablas!$Q312-3*Tablas!$S312,3),1))</f>
        <v>0</v>
      </c>
      <c r="Q169" s="2614"/>
      <c r="R169" s="2980">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39"/>
        <v>#N/A</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25"/>
      <c r="D170" s="3356"/>
      <c r="E170" s="3798" t="s">
        <v>1082</v>
      </c>
      <c r="F170" s="3799"/>
      <c r="G170" s="3799"/>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39"/>
        <v>#N/A</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25"/>
      <c r="D171" s="3356"/>
      <c r="E171" s="3800" t="s">
        <v>1747</v>
      </c>
      <c r="F171" s="3801"/>
      <c r="G171" s="3801"/>
      <c r="H171" s="1045" t="s">
        <v>1664</v>
      </c>
      <c r="I171" s="2112"/>
      <c r="J171" s="2980">
        <f>IF(ISNA(AL171),0,MAX(MIN(AL171-VLOOKUP("Apto en campo: "&amp;$B171,Tabla_Ventajas,3,FALSE)-Tablas!$O314-2*Tablas!$Q314-3*Tablas!$S314,3),1))</f>
        <v>0</v>
      </c>
      <c r="K171" s="2614"/>
      <c r="L171" s="2980">
        <f>IF(ISNA(AN171),0,MAX(MIN(AN171-VLOOKUP("Apto en campo: "&amp;$B171,Tabla_Ventajas,3,FALSE)-Tablas!$O314-2*Tablas!$Q314-3*Tablas!$S314,3),1))</f>
        <v>0</v>
      </c>
      <c r="M171" s="2614"/>
      <c r="N171" s="2980">
        <f>IF(ISNA(AP171),0,MAX(MIN(AP171-VLOOKUP("Apto en campo: "&amp;$B171,Tabla_Ventajas,3,FALSE)-Tablas!$O314-2*Tablas!$Q314-3*Tablas!$S314,3),1))</f>
        <v>0</v>
      </c>
      <c r="O171" s="2614"/>
      <c r="P171" s="2980">
        <f>IF(ISNA(AR171),0,MAX(MIN(AR171-VLOOKUP("Apto en campo: "&amp;$B171,Tabla_Ventajas,3,FALSE)-Tablas!$O314-2*Tablas!$Q314-3*Tablas!$S314,3),1))</f>
        <v>0</v>
      </c>
      <c r="Q171" s="2614"/>
      <c r="R171" s="2980">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37"/>
        <v>0</v>
      </c>
      <c r="AJ171" s="2633" t="b">
        <f t="shared" si="38"/>
        <v>0</v>
      </c>
      <c r="AK171" s="2633"/>
      <c r="AL171" s="2471" t="e">
        <f t="shared" si="39"/>
        <v>#N/A</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25"/>
      <c r="D172" s="3356"/>
      <c r="E172" s="3798" t="s">
        <v>1750</v>
      </c>
      <c r="F172" s="3799"/>
      <c r="G172" s="3799"/>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36"/>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37"/>
        <v>0</v>
      </c>
      <c r="AJ172" s="2633" t="b">
        <f t="shared" si="38"/>
        <v>0</v>
      </c>
      <c r="AK172" s="2633"/>
      <c r="AL172" s="2471" t="e">
        <f t="shared" si="39"/>
        <v>#N/A</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25"/>
      <c r="D173" s="3356"/>
      <c r="E173" s="3800" t="s">
        <v>6949</v>
      </c>
      <c r="F173" s="3801"/>
      <c r="G173" s="3801"/>
      <c r="H173" s="1045" t="s">
        <v>1651</v>
      </c>
      <c r="I173" s="2110"/>
      <c r="J173" s="2980">
        <f>IF(ISNA(AL173),0,MAX(MIN(AL173-VLOOKUP("Apto en campo: "&amp;$B173,Tabla_Ventajas,3,FALSE)-Tablas!$O316-2*Tablas!$Q316-3*Tablas!$S316,3),1))</f>
        <v>0</v>
      </c>
      <c r="K173" s="2614"/>
      <c r="L173" s="2980">
        <f>IF(ISNA(AN173),0,MAX(MIN(AN173-VLOOKUP("Apto en campo: "&amp;$B173,Tabla_Ventajas,3,FALSE)-Tablas!$O316-2*Tablas!$Q316-3*Tablas!$S316,3),1))</f>
        <v>0</v>
      </c>
      <c r="M173" s="2614"/>
      <c r="N173" s="2980">
        <f>IF(ISNA(AP173),0,MAX(MIN(AP173-VLOOKUP("Apto en campo: "&amp;$B173,Tabla_Ventajas,3,FALSE)-Tablas!$O316-2*Tablas!$Q316-3*Tablas!$S316,3),1))</f>
        <v>0</v>
      </c>
      <c r="O173" s="2614"/>
      <c r="P173" s="2980">
        <f>IF(ISNA(AR173),0,MAX(MIN(AR173-VLOOKUP("Apto en campo: "&amp;$B173,Tabla_Ventajas,3,FALSE)-Tablas!$O316-2*Tablas!$Q316-3*Tablas!$S316,3),1))</f>
        <v>0</v>
      </c>
      <c r="Q173" s="2614"/>
      <c r="R173" s="2980">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37"/>
        <v>0</v>
      </c>
      <c r="AJ173" s="2633" t="b">
        <f t="shared" si="38"/>
        <v>0</v>
      </c>
      <c r="AK173" s="2633"/>
      <c r="AL173" s="2471" t="e">
        <f t="shared" si="39"/>
        <v>#N/A</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25"/>
      <c r="D174" s="3356"/>
      <c r="E174" s="3798" t="s">
        <v>6950</v>
      </c>
      <c r="F174" s="3799"/>
      <c r="G174" s="3799"/>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37"/>
        <v>0</v>
      </c>
      <c r="AJ174" s="2633" t="b">
        <f t="shared" si="38"/>
        <v>0</v>
      </c>
      <c r="AK174" s="2633"/>
      <c r="AL174" s="2471" t="e">
        <f t="shared" si="39"/>
        <v>#N/A</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25"/>
      <c r="D175" s="3356"/>
      <c r="E175" s="3800" t="s">
        <v>6951</v>
      </c>
      <c r="F175" s="3801"/>
      <c r="G175" s="3801"/>
      <c r="H175" s="1045" t="s">
        <v>1651</v>
      </c>
      <c r="I175" s="2110"/>
      <c r="J175" s="2980">
        <f>IF(ISNA(AL175),0,MAX(MIN(AL175-VLOOKUP("Apto en campo: "&amp;$B175,Tabla_Ventajas,3,FALSE)-Tablas!$O318-2*Tablas!$Q318-3*Tablas!$S318,3),1))</f>
        <v>0</v>
      </c>
      <c r="K175" s="2614"/>
      <c r="L175" s="2980">
        <f>IF(ISNA(AN175),0,MAX(MIN(AN175-VLOOKUP("Apto en campo: "&amp;$B175,Tabla_Ventajas,3,FALSE)-Tablas!$O318-2*Tablas!$Q318-3*Tablas!$S318,3),1))</f>
        <v>0</v>
      </c>
      <c r="M175" s="2614"/>
      <c r="N175" s="2980">
        <f>IF(ISNA(AP175),0,MAX(MIN(AP175-VLOOKUP("Apto en campo: "&amp;$B175,Tabla_Ventajas,3,FALSE)-Tablas!$O318-2*Tablas!$Q318-3*Tablas!$S318,3),1))</f>
        <v>0</v>
      </c>
      <c r="O175" s="2614"/>
      <c r="P175" s="2980">
        <f>IF(ISNA(AR175),0,MAX(MIN(AR175-VLOOKUP("Apto en campo: "&amp;$B175,Tabla_Ventajas,3,FALSE)-Tablas!$O318-2*Tablas!$Q318-3*Tablas!$S318,3),1))</f>
        <v>0</v>
      </c>
      <c r="Q175" s="2614"/>
      <c r="R175" s="2980">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37"/>
        <v>0</v>
      </c>
      <c r="AJ175" s="2633" t="b">
        <f t="shared" si="38"/>
        <v>0</v>
      </c>
      <c r="AK175" s="2633"/>
      <c r="AL175" s="2471" t="e">
        <f t="shared" si="39"/>
        <v>#N/A</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25"/>
      <c r="D176" s="3356"/>
      <c r="E176" s="3798" t="s">
        <v>6952</v>
      </c>
      <c r="F176" s="3799"/>
      <c r="G176" s="3799"/>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37"/>
        <v>0</v>
      </c>
      <c r="AJ176" s="2633" t="b">
        <f t="shared" si="38"/>
        <v>0</v>
      </c>
      <c r="AK176" s="2633"/>
      <c r="AL176" s="2471" t="e">
        <f t="shared" si="39"/>
        <v>#N/A</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25"/>
      <c r="D177" s="1128" t="s">
        <v>1729</v>
      </c>
      <c r="E177" s="4039"/>
      <c r="F177" s="4040"/>
      <c r="G177" s="4040"/>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25"/>
      <c r="D178" s="1129" t="s">
        <v>1729</v>
      </c>
      <c r="E178" s="4041"/>
      <c r="F178" s="4042"/>
      <c r="G178" s="4042"/>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25"/>
      <c r="D179" s="1129" t="s">
        <v>1729</v>
      </c>
      <c r="E179" s="4043"/>
      <c r="F179" s="4044"/>
      <c r="G179" s="4044"/>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25"/>
      <c r="D180" s="1129" t="s">
        <v>1729</v>
      </c>
      <c r="E180" s="4041"/>
      <c r="F180" s="4042"/>
      <c r="G180" s="4042"/>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25"/>
      <c r="D181" s="1130" t="s">
        <v>1729</v>
      </c>
      <c r="E181" s="4029"/>
      <c r="F181" s="4030"/>
      <c r="G181" s="4030"/>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25"/>
      <c r="D182" s="4000" t="s">
        <v>1815</v>
      </c>
      <c r="E182" s="4001"/>
      <c r="F182" s="4001"/>
      <c r="G182" s="4001"/>
      <c r="H182" s="4001"/>
      <c r="I182" s="4001"/>
      <c r="J182" s="4001"/>
      <c r="K182" s="4001"/>
      <c r="L182" s="4001"/>
      <c r="M182" s="4001"/>
      <c r="N182" s="4001"/>
      <c r="O182" s="4001"/>
      <c r="P182" s="4001"/>
      <c r="Q182" s="4001"/>
      <c r="R182" s="4001"/>
      <c r="S182" s="4001"/>
      <c r="T182" s="4001"/>
      <c r="U182" s="4001"/>
      <c r="V182" s="4001"/>
      <c r="W182" s="4001"/>
      <c r="X182" s="4001"/>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25"/>
      <c r="D183" s="4002" t="s">
        <v>1817</v>
      </c>
      <c r="E183" s="4003"/>
      <c r="F183" s="4003"/>
      <c r="G183" s="4003"/>
      <c r="H183" s="4003"/>
      <c r="I183" s="4003"/>
      <c r="J183" s="4003"/>
      <c r="K183" s="4003"/>
      <c r="L183" s="4003"/>
      <c r="M183" s="4003"/>
      <c r="N183" s="4003"/>
      <c r="O183" s="4003"/>
      <c r="P183" s="4003"/>
      <c r="Q183" s="4003"/>
      <c r="R183" s="4003"/>
      <c r="S183" s="4003"/>
      <c r="T183" s="4003"/>
      <c r="U183" s="4003"/>
      <c r="V183" s="4003"/>
      <c r="W183" s="4003"/>
      <c r="X183" s="4003"/>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25"/>
      <c r="D184" s="4004" t="s">
        <v>1818</v>
      </c>
      <c r="E184" s="3799"/>
      <c r="F184" s="3799"/>
      <c r="G184" s="3799"/>
      <c r="H184" s="3799"/>
      <c r="I184" s="3799"/>
      <c r="J184" s="3799"/>
      <c r="K184" s="3799"/>
      <c r="L184" s="3799"/>
      <c r="M184" s="3799"/>
      <c r="N184" s="3799"/>
      <c r="O184" s="3799"/>
      <c r="P184" s="3799"/>
      <c r="Q184" s="3799"/>
      <c r="R184" s="3799"/>
      <c r="S184" s="3799"/>
      <c r="T184" s="3799"/>
      <c r="U184" s="3799"/>
      <c r="V184" s="3799"/>
      <c r="W184" s="3799"/>
      <c r="X184" s="3799"/>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25"/>
      <c r="D185" s="4007" t="s">
        <v>1819</v>
      </c>
      <c r="E185" s="4033" t="str">
        <f>IF(Acumulacion="Si","Múltiplos de Acumulación","Múltiplos de Vida")</f>
        <v>Múltiplos de Vida</v>
      </c>
      <c r="F185" s="4034"/>
      <c r="G185" s="4034"/>
      <c r="H185" s="4034"/>
      <c r="I185" s="4035"/>
      <c r="J185" s="4005">
        <f>IF(Acumulacion="Si","X",IF(Categoría_1=0,0,VLOOKUP(Categoría_1,Tabla_Categorías,4,FALSE)))</f>
        <v>0</v>
      </c>
      <c r="K185" s="3996"/>
      <c r="L185" s="4005">
        <f>IF(Acumulacion="Si","X",IF(Categoría_2=0,0,VLOOKUP(Categoría_2,Tabla_Categorías,4,FALSE)))</f>
        <v>0</v>
      </c>
      <c r="M185" s="3996"/>
      <c r="N185" s="4005">
        <f>IF(Acumulacion="Si","X",IF(Categoría_3=0,0,VLOOKUP(Categoría_3,Tabla_Categorías,4,FALSE)))</f>
        <v>0</v>
      </c>
      <c r="O185" s="3996"/>
      <c r="P185" s="4005">
        <f>IF(Acumulacion="Si","X",IF(Categoría_4=0,0,VLOOKUP(Categoría_4,Tabla_Categorías,4,FALSE)))</f>
        <v>0</v>
      </c>
      <c r="Q185" s="3996"/>
      <c r="R185" s="4005">
        <f>IF(Acumulacion="Si","X",IF(Categoría_5=0,0,VLOOKUP(Categoría_5,Tabla_Categorías,4,FALSE)))</f>
        <v>0</v>
      </c>
      <c r="S185" s="3996"/>
      <c r="T185" s="4031">
        <f>IF(Acumulacion="Si",IF(Tablas!$S$1691&gt;0,Tablas!$S$1691,VLOOKUP(Tamaño,Tabla_CreaciónSeres,5)),IF(J185=0,0,TRUNC((K185/J185),0))+IF(L185=0,0,TRUNC((M185/L185),0))+IF(N185=0,0,TRUNC((O185/N185),0))+IF(P185=0,0,TRUNC((Q185/P185),0))+IF(R185=0,0,TRUNC((S185/R185),0)))</f>
        <v>0</v>
      </c>
      <c r="U185" s="4009">
        <f>20+CON*10+Bono_Con</f>
        <v>20</v>
      </c>
      <c r="V185" s="4009">
        <f>(HLOOKUP("PV",Bonos_Cat_Base,2,FALSE)+(10*Tablas!$G$349+20*Tablas!$G$350+30*Tablas!$G$351)*Nivel_Total)*IF(Acumulacion="Si",VLOOKUP(Tamaño,Tabla_CreaciónSeres,5),1)</f>
        <v>0</v>
      </c>
      <c r="W185" s="4037">
        <f>IF(Acumulacion="Si",T185*(K185+M185+O185+Q185+S185),T185*CON)</f>
        <v>0</v>
      </c>
      <c r="X185" s="4011"/>
      <c r="Y185" s="4012"/>
      <c r="Z185" s="4025">
        <f>U185+W185+V185+X185</f>
        <v>20</v>
      </c>
      <c r="AA185" s="4026"/>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26"/>
      <c r="D186" s="4008"/>
      <c r="E186" s="4032"/>
      <c r="F186" s="4010"/>
      <c r="G186" s="4010"/>
      <c r="H186" s="4010"/>
      <c r="I186" s="4036"/>
      <c r="J186" s="4006"/>
      <c r="K186" s="3997"/>
      <c r="L186" s="4006"/>
      <c r="M186" s="3997"/>
      <c r="N186" s="4006"/>
      <c r="O186" s="3997"/>
      <c r="P186" s="4006"/>
      <c r="Q186" s="3997"/>
      <c r="R186" s="4006"/>
      <c r="S186" s="3997"/>
      <c r="T186" s="4032"/>
      <c r="U186" s="4010"/>
      <c r="V186" s="4010"/>
      <c r="W186" s="4038"/>
      <c r="X186" s="4013"/>
      <c r="Y186" s="4014"/>
      <c r="Z186" s="4027"/>
      <c r="AA186" s="4028"/>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83" t="s">
        <v>1820</v>
      </c>
      <c r="D189" s="3984"/>
      <c r="E189" s="3984"/>
      <c r="F189" s="3984"/>
      <c r="G189" s="3984"/>
      <c r="H189" s="3984"/>
      <c r="I189" s="3834"/>
      <c r="J189" s="3810">
        <f>$T$5</f>
        <v>400</v>
      </c>
      <c r="K189" s="3812">
        <f>M83+M101+M117+SUM(K126:K181)+K185+Z7+W18</f>
        <v>0</v>
      </c>
      <c r="L189" s="3810">
        <f>$T$7</f>
        <v>0</v>
      </c>
      <c r="M189" s="3812">
        <f>IF(Categoría_2="",0,O83+O101+O117+M185+SUM(M126:M181)-M83-M101-M117+AA7+Z9+X18)</f>
        <v>0</v>
      </c>
      <c r="N189" s="3810">
        <f>$T$9</f>
        <v>0</v>
      </c>
      <c r="O189" s="3812">
        <f>IF(Categoría_3="",0,Q83+Q101+Q117+O185+SUM(O126:O181)-O83-O101-O117+AA9+Z11+Y18)</f>
        <v>0</v>
      </c>
      <c r="P189" s="3810">
        <f>$T$11</f>
        <v>0</v>
      </c>
      <c r="Q189" s="3812">
        <f>IF(Categoría_4="",0,S83+S101+S117+Q185+SUM(Q126:Q181)-Q83-Q101-Q117+AA11+Z13+Z18)</f>
        <v>0</v>
      </c>
      <c r="R189" s="3810">
        <f>$T$13</f>
        <v>0</v>
      </c>
      <c r="S189" s="3998">
        <f>IF(Categoría_4="",0,U83+U101+U117+S185+SUM(S126:S181)-S83-S101-S117+AA13+AA18)</f>
        <v>0</v>
      </c>
      <c r="T189" s="3679" t="str">
        <f>IF(AA189&gt;Z189,"Exceso de PDs gastados",IF(OR(K189&gt;J189,M189&gt;L189,O189&gt;N189,Q189&gt;P189,S189&gt;R189),"Límite por Categoría excedido",""))</f>
        <v/>
      </c>
      <c r="U189" s="3680"/>
      <c r="V189" s="3680"/>
      <c r="W189" s="3681"/>
      <c r="X189" s="3675" t="s">
        <v>3762</v>
      </c>
      <c r="Y189" s="3676"/>
      <c r="Z189" s="3685">
        <f>J189+L189+N189+P189+R189</f>
        <v>400</v>
      </c>
      <c r="AA189" s="3687">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85"/>
      <c r="D190" s="3598"/>
      <c r="E190" s="3598"/>
      <c r="F190" s="3598"/>
      <c r="G190" s="3598"/>
      <c r="H190" s="3598"/>
      <c r="I190" s="3599"/>
      <c r="J190" s="3811"/>
      <c r="K190" s="3813"/>
      <c r="L190" s="3811"/>
      <c r="M190" s="3813"/>
      <c r="N190" s="3811"/>
      <c r="O190" s="3813"/>
      <c r="P190" s="3811"/>
      <c r="Q190" s="3813"/>
      <c r="R190" s="3811"/>
      <c r="S190" s="3999"/>
      <c r="T190" s="3682"/>
      <c r="U190" s="3683"/>
      <c r="V190" s="3683"/>
      <c r="W190" s="3684"/>
      <c r="X190" s="3677"/>
      <c r="Y190" s="3678"/>
      <c r="Z190" s="3686"/>
      <c r="AA190" s="3688"/>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11" priority="549" stopIfTrue="1" operator="equal">
      <formula>"Tabla de Esquiva con Escudo"</formula>
    </cfRule>
  </conditionalFormatting>
  <conditionalFormatting sqref="K189">
    <cfRule type="cellIs" dxfId="1110" priority="550" stopIfTrue="1" operator="greaterThan">
      <formula>$J$189</formula>
    </cfRule>
  </conditionalFormatting>
  <conditionalFormatting sqref="Y184">
    <cfRule type="cellIs" dxfId="1109" priority="551" stopIfTrue="1" operator="notEqual">
      <formula>$AA$184</formula>
    </cfRule>
  </conditionalFormatting>
  <conditionalFormatting sqref="Y183">
    <cfRule type="cellIs" dxfId="1108" priority="552" stopIfTrue="1" operator="notEqual">
      <formula>$AA$183</formula>
    </cfRule>
  </conditionalFormatting>
  <conditionalFormatting sqref="Y182">
    <cfRule type="expression" dxfId="1107" priority="134" stopIfTrue="1">
      <formula>OR($AB$182&gt;$AD$182,$AB$183&gt;$AD$183)</formula>
    </cfRule>
    <cfRule type="expression" dxfId="1106" priority="553">
      <formula>OR($AB$182&lt;$AD$182,$AB$183&lt;$AD$183)</formula>
    </cfRule>
  </conditionalFormatting>
  <conditionalFormatting sqref="Y126:Y181">
    <cfRule type="cellIs" dxfId="1105" priority="554" stopIfTrue="1" operator="greaterThan">
      <formula>$AA$184/5</formula>
    </cfRule>
  </conditionalFormatting>
  <conditionalFormatting sqref="AA126:AA128">
    <cfRule type="expression" dxfId="1104" priority="558" stopIfTrue="1">
      <formula>B1</formula>
    </cfRule>
  </conditionalFormatting>
  <conditionalFormatting sqref="P7 P9 P11 P13">
    <cfRule type="expression" dxfId="1103" priority="600" stopIfTrue="1">
      <formula>$P$5=0</formula>
    </cfRule>
  </conditionalFormatting>
  <conditionalFormatting sqref="AA129:AA132">
    <cfRule type="expression" dxfId="1102" priority="231" stopIfTrue="1">
      <formula>B4</formula>
    </cfRule>
  </conditionalFormatting>
  <conditionalFormatting sqref="AA133:AA180">
    <cfRule type="expression" dxfId="1101" priority="220" stopIfTrue="1">
      <formula>B8</formula>
    </cfRule>
  </conditionalFormatting>
  <conditionalFormatting sqref="AA181">
    <cfRule type="expression" dxfId="1100" priority="213" stopIfTrue="1">
      <formula>B56</formula>
    </cfRule>
  </conditionalFormatting>
  <conditionalFormatting sqref="V41:V45">
    <cfRule type="expression" dxfId="1099" priority="1766" stopIfTrue="1">
      <formula>AND(NOT($V41="Armas improvisadas"),$Y41=0)</formula>
    </cfRule>
  </conditionalFormatting>
  <conditionalFormatting sqref="E40:K45 E75:K82">
    <cfRule type="expression" dxfId="1098" priority="1769">
      <formula>NOT(OR(L40=M40,$N40=$O40,$P40=$Q40,$R40=$S40,$T40=$U40))</formula>
    </cfRule>
  </conditionalFormatting>
  <conditionalFormatting sqref="Y40:AA45">
    <cfRule type="expression" dxfId="1097" priority="211" stopIfTrue="1">
      <formula>$V40=""</formula>
    </cfRule>
  </conditionalFormatting>
  <conditionalFormatting sqref="E113">
    <cfRule type="expression" dxfId="1096" priority="1881" stopIfTrue="1">
      <formula>NOT(OR(#REF!=#REF!,#REF!=#REF!,#REF!=#REF!,#REF!=#REF!,#REF!=#REF!))</formula>
    </cfRule>
  </conditionalFormatting>
  <conditionalFormatting sqref="E114">
    <cfRule type="expression" dxfId="1095" priority="2421" stopIfTrue="1">
      <formula>NOT(OR(#REF!=#REF!,#REF!=#REF!,#REF!=#REF!,#REF!=#REF!,#REF!=#REF!))</formula>
    </cfRule>
  </conditionalFormatting>
  <conditionalFormatting sqref="E115:E116">
    <cfRule type="expression" dxfId="1094" priority="2424" stopIfTrue="1">
      <formula>NOT(OR(M123=L123,O123=N123,Q123=P123,S123=R123,U123=T123))</formula>
    </cfRule>
  </conditionalFormatting>
  <conditionalFormatting sqref="E56:E74">
    <cfRule type="expression" dxfId="1093" priority="175">
      <formula>OR($J56="",$AF56&gt;1)</formula>
    </cfRule>
  </conditionalFormatting>
  <conditionalFormatting sqref="L185">
    <cfRule type="expression" dxfId="1092" priority="4224" stopIfTrue="1">
      <formula>Categoría_2=0</formula>
    </cfRule>
  </conditionalFormatting>
  <conditionalFormatting sqref="N185">
    <cfRule type="expression" dxfId="1091" priority="4294" stopIfTrue="1">
      <formula>Categoría_3=0</formula>
    </cfRule>
  </conditionalFormatting>
  <conditionalFormatting sqref="P185">
    <cfRule type="expression" dxfId="1090" priority="4364" stopIfTrue="1">
      <formula>Categoría_4=0</formula>
    </cfRule>
  </conditionalFormatting>
  <conditionalFormatting sqref="R185">
    <cfRule type="expression" dxfId="1089" priority="4434" stopIfTrue="1">
      <formula>Categoría_5=0</formula>
    </cfRule>
  </conditionalFormatting>
  <conditionalFormatting sqref="N83:O83">
    <cfRule type="expression" dxfId="1088" priority="4774" stopIfTrue="1">
      <formula>Categoría_2=0</formula>
    </cfRule>
  </conditionalFormatting>
  <conditionalFormatting sqref="P83:Q83">
    <cfRule type="expression" dxfId="1087" priority="4780" stopIfTrue="1">
      <formula>Categoría_3=0</formula>
    </cfRule>
  </conditionalFormatting>
  <conditionalFormatting sqref="R83">
    <cfRule type="expression" dxfId="1086" priority="4786" stopIfTrue="1">
      <formula>Categoría_4=0</formula>
    </cfRule>
  </conditionalFormatting>
  <conditionalFormatting sqref="T83 T101 T117">
    <cfRule type="expression" dxfId="1085" priority="4792" stopIfTrue="1">
      <formula>Categoría_5=0</formula>
    </cfRule>
  </conditionalFormatting>
  <conditionalFormatting sqref="S83">
    <cfRule type="expression" dxfId="1084" priority="4798" stopIfTrue="1">
      <formula>Categoría_4=0</formula>
    </cfRule>
  </conditionalFormatting>
  <conditionalFormatting sqref="V40">
    <cfRule type="expression" dxfId="1083" priority="174" stopIfTrue="1">
      <formula>AND(NOT($V40="Armas improvisadas"),$Y40=0)</formula>
    </cfRule>
  </conditionalFormatting>
  <conditionalFormatting sqref="L83:M84">
    <cfRule type="expression" dxfId="1082" priority="172" stopIfTrue="1">
      <formula>$N83&gt;0</formula>
    </cfRule>
  </conditionalFormatting>
  <conditionalFormatting sqref="L189:M189">
    <cfRule type="cellIs" dxfId="1081" priority="5125" stopIfTrue="1" operator="greaterThan">
      <formula>$L$189</formula>
    </cfRule>
    <cfRule type="expression" dxfId="1080" priority="5126" stopIfTrue="1">
      <formula>$P$7=0</formula>
    </cfRule>
  </conditionalFormatting>
  <conditionalFormatting sqref="N189:O189">
    <cfRule type="cellIs" dxfId="1079" priority="5127" stopIfTrue="1" operator="greaterThan">
      <formula>$N$189</formula>
    </cfRule>
    <cfRule type="expression" dxfId="1078" priority="5128" stopIfTrue="1">
      <formula>$P$9=0</formula>
    </cfRule>
  </conditionalFormatting>
  <conditionalFormatting sqref="P189:Q189">
    <cfRule type="cellIs" dxfId="1077" priority="5129" stopIfTrue="1" operator="greaterThan">
      <formula>$P$189</formula>
    </cfRule>
    <cfRule type="expression" dxfId="1076" priority="5130" stopIfTrue="1">
      <formula>$P$11=0</formula>
    </cfRule>
  </conditionalFormatting>
  <conditionalFormatting sqref="R189:S189">
    <cfRule type="cellIs" dxfId="1075" priority="5131" stopIfTrue="1" operator="greaterThan">
      <formula>$R$189</formula>
    </cfRule>
    <cfRule type="expression" dxfId="1074" priority="5132" stopIfTrue="1">
      <formula>$P$13=0</formula>
    </cfRule>
  </conditionalFormatting>
  <conditionalFormatting sqref="U83 U101 U117">
    <cfRule type="expression" dxfId="1073" priority="5134" stopIfTrue="1">
      <formula>$P$13=0</formula>
    </cfRule>
  </conditionalFormatting>
  <conditionalFormatting sqref="M189:M190">
    <cfRule type="expression" dxfId="1072" priority="5139">
      <formula>$M$189&gt;$T$7</formula>
    </cfRule>
  </conditionalFormatting>
  <conditionalFormatting sqref="Y7:Y14">
    <cfRule type="expression" dxfId="1071" priority="168" stopIfTrue="1">
      <formula>NOT($Y7=$Z7+$AA7)</formula>
    </cfRule>
  </conditionalFormatting>
  <conditionalFormatting sqref="N83:O84">
    <cfRule type="expression" dxfId="1070" priority="165" stopIfTrue="1">
      <formula>$P83&gt;0</formula>
    </cfRule>
  </conditionalFormatting>
  <conditionalFormatting sqref="P83:Q84">
    <cfRule type="expression" dxfId="1069" priority="164" stopIfTrue="1">
      <formula>$R83&gt;0</formula>
    </cfRule>
  </conditionalFormatting>
  <conditionalFormatting sqref="R83:S84">
    <cfRule type="expression" dxfId="1068" priority="163" stopIfTrue="1">
      <formula>$T83&gt;0</formula>
    </cfRule>
  </conditionalFormatting>
  <conditionalFormatting sqref="N101:O101">
    <cfRule type="expression" dxfId="1067" priority="157" stopIfTrue="1">
      <formula>Categoría_2=0</formula>
    </cfRule>
  </conditionalFormatting>
  <conditionalFormatting sqref="P101:Q101">
    <cfRule type="expression" dxfId="1066" priority="158" stopIfTrue="1">
      <formula>Categoría_3=0</formula>
    </cfRule>
  </conditionalFormatting>
  <conditionalFormatting sqref="R101">
    <cfRule type="expression" dxfId="1065" priority="159" stopIfTrue="1">
      <formula>Categoría_4=0</formula>
    </cfRule>
  </conditionalFormatting>
  <conditionalFormatting sqref="S101">
    <cfRule type="expression" dxfId="1064" priority="161" stopIfTrue="1">
      <formula>Categoría_4=0</formula>
    </cfRule>
  </conditionalFormatting>
  <conditionalFormatting sqref="L101:M102">
    <cfRule type="expression" dxfId="1063" priority="155" stopIfTrue="1">
      <formula>$N101&gt;0</formula>
    </cfRule>
  </conditionalFormatting>
  <conditionalFormatting sqref="N101:O102">
    <cfRule type="expression" dxfId="1062" priority="154" stopIfTrue="1">
      <formula>$P101&gt;0</formula>
    </cfRule>
  </conditionalFormatting>
  <conditionalFormatting sqref="P101:Q102">
    <cfRule type="expression" dxfId="1061" priority="153" stopIfTrue="1">
      <formula>$R101&gt;0</formula>
    </cfRule>
  </conditionalFormatting>
  <conditionalFormatting sqref="R101:S102">
    <cfRule type="expression" dxfId="1060" priority="152" stopIfTrue="1">
      <formula>$T101&gt;0</formula>
    </cfRule>
  </conditionalFormatting>
  <conditionalFormatting sqref="N117:O117">
    <cfRule type="expression" dxfId="1059" priority="147" stopIfTrue="1">
      <formula>Categoría_2=0</formula>
    </cfRule>
  </conditionalFormatting>
  <conditionalFormatting sqref="P117:Q117">
    <cfRule type="expression" dxfId="1058" priority="148" stopIfTrue="1">
      <formula>Categoría_3=0</formula>
    </cfRule>
  </conditionalFormatting>
  <conditionalFormatting sqref="R117">
    <cfRule type="expression" dxfId="1057" priority="149" stopIfTrue="1">
      <formula>Categoría_4=0</formula>
    </cfRule>
  </conditionalFormatting>
  <conditionalFormatting sqref="S117">
    <cfRule type="expression" dxfId="1056" priority="151" stopIfTrue="1">
      <formula>Categoría_4=0</formula>
    </cfRule>
  </conditionalFormatting>
  <conditionalFormatting sqref="L117:M118">
    <cfRule type="expression" dxfId="1055" priority="145" stopIfTrue="1">
      <formula>$N117&gt;0</formula>
    </cfRule>
  </conditionalFormatting>
  <conditionalFormatting sqref="N117:O118">
    <cfRule type="expression" dxfId="1054" priority="144" stopIfTrue="1">
      <formula>$P117&gt;0</formula>
    </cfRule>
  </conditionalFormatting>
  <conditionalFormatting sqref="P117:Q118">
    <cfRule type="expression" dxfId="1053" priority="143" stopIfTrue="1">
      <formula>$R117&gt;0</formula>
    </cfRule>
  </conditionalFormatting>
  <conditionalFormatting sqref="R117:S118">
    <cfRule type="expression" dxfId="1052" priority="142" stopIfTrue="1">
      <formula>$T117&gt;0</formula>
    </cfRule>
  </conditionalFormatting>
  <conditionalFormatting sqref="AA126:AA176">
    <cfRule type="expression" dxfId="1051" priority="137" stopIfTrue="1">
      <formula>OR($AF126&gt;0,$AI126)</formula>
    </cfRule>
  </conditionalFormatting>
  <conditionalFormatting sqref="E46:K55">
    <cfRule type="expression" dxfId="1050" priority="135">
      <formula>$AG46</formula>
    </cfRule>
  </conditionalFormatting>
  <conditionalFormatting sqref="W126:W181">
    <cfRule type="cellIs" dxfId="1049" priority="133" stopIfTrue="1" operator="greaterThan">
      <formula>VALUE(LEFT($AA$182,1))</formula>
    </cfRule>
  </conditionalFormatting>
  <conditionalFormatting sqref="X126:X181">
    <cfRule type="cellIs" dxfId="1048" priority="128" stopIfTrue="1" operator="greaterThan">
      <formula>$AA$183/5</formula>
    </cfRule>
  </conditionalFormatting>
  <conditionalFormatting sqref="E56:K74">
    <cfRule type="expression" dxfId="1047" priority="6871">
      <formula>NOT($AL56)</formula>
    </cfRule>
  </conditionalFormatting>
  <conditionalFormatting sqref="V56:AA74">
    <cfRule type="containsText" dxfId="1046" priority="114" operator="containsText" text="FALTAN REQUISITOS">
      <formula>NOT(ISERROR(SEARCH("FALTAN REQUISITOS",V56)))</formula>
    </cfRule>
    <cfRule type="containsText" dxfId="1045" priority="115" operator="containsText" text="ARTE MARCIAL REPETIDA">
      <formula>NOT(ISERROR(SEARCH("ARTE MARCIAL REPETIDA",V56)))</formula>
    </cfRule>
    <cfRule type="containsText" dxfId="1044" priority="116" operator="containsText" text="ARTE MARCIAL SIN PAGAR">
      <formula>NOT(ISERROR(SEARCH("ARTE MARCIAL SIN PAGAR",V56)))</formula>
    </cfRule>
  </conditionalFormatting>
  <conditionalFormatting sqref="X18:AA18">
    <cfRule type="expression" dxfId="1043" priority="109" stopIfTrue="1">
      <formula>$AA$16=$W$18</formula>
    </cfRule>
  </conditionalFormatting>
  <conditionalFormatting sqref="N22:N25 N27:N82">
    <cfRule type="expression" dxfId="1042" priority="98">
      <formula>N$19&lt;&gt;""</formula>
    </cfRule>
  </conditionalFormatting>
  <conditionalFormatting sqref="O22:O82">
    <cfRule type="expression" dxfId="1041" priority="47" stopIfTrue="1">
      <formula>N$19=""</formula>
    </cfRule>
  </conditionalFormatting>
  <conditionalFormatting sqref="L22:L25 L27:L55">
    <cfRule type="expression" dxfId="1040" priority="46">
      <formula>L$19&lt;&gt;""</formula>
    </cfRule>
  </conditionalFormatting>
  <conditionalFormatting sqref="M22:M55">
    <cfRule type="expression" dxfId="1039" priority="45" stopIfTrue="1">
      <formula>L$19=""</formula>
    </cfRule>
  </conditionalFormatting>
  <conditionalFormatting sqref="P22:P25 P27:P55">
    <cfRule type="expression" dxfId="1038" priority="44">
      <formula>P$19&lt;&gt;""</formula>
    </cfRule>
  </conditionalFormatting>
  <conditionalFormatting sqref="Q22:Q55">
    <cfRule type="expression" dxfId="1037" priority="43" stopIfTrue="1">
      <formula>P$19=""</formula>
    </cfRule>
  </conditionalFormatting>
  <conditionalFormatting sqref="R22:R25 R27:R55">
    <cfRule type="expression" dxfId="1036" priority="42">
      <formula>R$19&lt;&gt;""</formula>
    </cfRule>
  </conditionalFormatting>
  <conditionalFormatting sqref="S22:S55">
    <cfRule type="expression" dxfId="1035" priority="41" stopIfTrue="1">
      <formula>R$19=""</formula>
    </cfRule>
  </conditionalFormatting>
  <conditionalFormatting sqref="T22:T25 T27:T55">
    <cfRule type="expression" dxfId="1034" priority="40">
      <formula>T$19&lt;&gt;""</formula>
    </cfRule>
  </conditionalFormatting>
  <conditionalFormatting sqref="U22:U55">
    <cfRule type="expression" dxfId="1033" priority="39" stopIfTrue="1">
      <formula>T$19=""</formula>
    </cfRule>
  </conditionalFormatting>
  <conditionalFormatting sqref="L75:L82">
    <cfRule type="expression" dxfId="1032" priority="38">
      <formula>L$19&lt;&gt;""</formula>
    </cfRule>
  </conditionalFormatting>
  <conditionalFormatting sqref="M75:M82">
    <cfRule type="expression" dxfId="1031" priority="37" stopIfTrue="1">
      <formula>L$19=""</formula>
    </cfRule>
  </conditionalFormatting>
  <conditionalFormatting sqref="P75:P82">
    <cfRule type="expression" dxfId="1030" priority="36" stopIfTrue="1">
      <formula>P$19&lt;&gt;""</formula>
    </cfRule>
  </conditionalFormatting>
  <conditionalFormatting sqref="Q75:Q82">
    <cfRule type="expression" dxfId="1029" priority="35" stopIfTrue="1">
      <formula>P$19=""</formula>
    </cfRule>
  </conditionalFormatting>
  <conditionalFormatting sqref="R75:R82">
    <cfRule type="expression" dxfId="1028" priority="34">
      <formula>R$19&lt;&gt;""</formula>
    </cfRule>
  </conditionalFormatting>
  <conditionalFormatting sqref="S75:S82">
    <cfRule type="expression" dxfId="1027" priority="33" stopIfTrue="1">
      <formula>R$19=""</formula>
    </cfRule>
  </conditionalFormatting>
  <conditionalFormatting sqref="T75:T82">
    <cfRule type="expression" dxfId="1026" priority="32" stopIfTrue="1">
      <formula>T$19&lt;&gt;""</formula>
    </cfRule>
  </conditionalFormatting>
  <conditionalFormatting sqref="U75:U82">
    <cfRule type="expression" dxfId="1025" priority="31" stopIfTrue="1">
      <formula>T$19=""</formula>
    </cfRule>
  </conditionalFormatting>
  <conditionalFormatting sqref="L90:L100">
    <cfRule type="expression" dxfId="1024" priority="30">
      <formula>L$87&lt;&gt;""</formula>
    </cfRule>
  </conditionalFormatting>
  <conditionalFormatting sqref="M90:M100">
    <cfRule type="expression" dxfId="1023" priority="29">
      <formula>L$87=""</formula>
    </cfRule>
  </conditionalFormatting>
  <conditionalFormatting sqref="N90:N100">
    <cfRule type="expression" dxfId="1022" priority="28">
      <formula>N$87&lt;&gt;""</formula>
    </cfRule>
  </conditionalFormatting>
  <conditionalFormatting sqref="O90:O100">
    <cfRule type="expression" dxfId="1021" priority="27">
      <formula>N$87=""</formula>
    </cfRule>
  </conditionalFormatting>
  <conditionalFormatting sqref="P90:P100">
    <cfRule type="expression" dxfId="1020" priority="26">
      <formula>P$87&lt;&gt;""</formula>
    </cfRule>
  </conditionalFormatting>
  <conditionalFormatting sqref="Q90:Q100">
    <cfRule type="expression" dxfId="1019" priority="25">
      <formula>P$87=""</formula>
    </cfRule>
  </conditionalFormatting>
  <conditionalFormatting sqref="R90:R100">
    <cfRule type="expression" dxfId="1018" priority="24">
      <formula>R$87&lt;&gt;""</formula>
    </cfRule>
  </conditionalFormatting>
  <conditionalFormatting sqref="S90:S100">
    <cfRule type="expression" dxfId="1017" priority="23">
      <formula>R$87=""</formula>
    </cfRule>
  </conditionalFormatting>
  <conditionalFormatting sqref="T90:T100">
    <cfRule type="expression" dxfId="1016" priority="22">
      <formula>T$87&lt;&gt;""</formula>
    </cfRule>
  </conditionalFormatting>
  <conditionalFormatting sqref="U90:U100">
    <cfRule type="expression" dxfId="1015" priority="21">
      <formula>T$87=""</formula>
    </cfRule>
  </conditionalFormatting>
  <conditionalFormatting sqref="L108:L116">
    <cfRule type="expression" dxfId="1014" priority="20" stopIfTrue="1">
      <formula>L$105&lt;&gt;""</formula>
    </cfRule>
  </conditionalFormatting>
  <conditionalFormatting sqref="M108:M116">
    <cfRule type="expression" dxfId="1013" priority="19">
      <formula>L$105=""</formula>
    </cfRule>
  </conditionalFormatting>
  <conditionalFormatting sqref="N108:N116">
    <cfRule type="expression" dxfId="1012" priority="18" stopIfTrue="1">
      <formula>N$105&lt;&gt;""</formula>
    </cfRule>
  </conditionalFormatting>
  <conditionalFormatting sqref="O108:O116">
    <cfRule type="expression" dxfId="1011" priority="17">
      <formula>N$105=""</formula>
    </cfRule>
  </conditionalFormatting>
  <conditionalFormatting sqref="P108:P116">
    <cfRule type="expression" dxfId="1010" priority="16" stopIfTrue="1">
      <formula>P$105&lt;&gt;""</formula>
    </cfRule>
  </conditionalFormatting>
  <conditionalFormatting sqref="Q108:Q116">
    <cfRule type="expression" dxfId="1009" priority="15">
      <formula>P$105=""</formula>
    </cfRule>
  </conditionalFormatting>
  <conditionalFormatting sqref="R108:R116">
    <cfRule type="expression" dxfId="1008" priority="14" stopIfTrue="1">
      <formula>R$105&lt;&gt;""</formula>
    </cfRule>
  </conditionalFormatting>
  <conditionalFormatting sqref="S108:S116">
    <cfRule type="expression" dxfId="1007" priority="13">
      <formula>R$105=""</formula>
    </cfRule>
  </conditionalFormatting>
  <conditionalFormatting sqref="T108:T116">
    <cfRule type="expression" dxfId="1006" priority="12" stopIfTrue="1">
      <formula>T$105&lt;&gt;""</formula>
    </cfRule>
  </conditionalFormatting>
  <conditionalFormatting sqref="U108:U116">
    <cfRule type="expression" dxfId="1005" priority="11">
      <formula>T$105=""</formula>
    </cfRule>
  </conditionalFormatting>
  <conditionalFormatting sqref="J126:J176">
    <cfRule type="expression" dxfId="1004" priority="10" stopIfTrue="1">
      <formula>J$123&lt;&gt;""</formula>
    </cfRule>
  </conditionalFormatting>
  <conditionalFormatting sqref="K126:K176">
    <cfRule type="expression" dxfId="1003" priority="9">
      <formula>J$123=""</formula>
    </cfRule>
  </conditionalFormatting>
  <conditionalFormatting sqref="L126:L176">
    <cfRule type="expression" dxfId="1002" priority="8" stopIfTrue="1">
      <formula>L$123&lt;&gt;""</formula>
    </cfRule>
  </conditionalFormatting>
  <conditionalFormatting sqref="M126:M176">
    <cfRule type="expression" dxfId="1001" priority="7">
      <formula>L$123=""</formula>
    </cfRule>
  </conditionalFormatting>
  <conditionalFormatting sqref="N126:N176">
    <cfRule type="expression" dxfId="1000" priority="6" stopIfTrue="1">
      <formula>N$123&lt;&gt;""</formula>
    </cfRule>
  </conditionalFormatting>
  <conditionalFormatting sqref="O126:O176">
    <cfRule type="expression" dxfId="999" priority="5">
      <formula>N$123=""</formula>
    </cfRule>
  </conditionalFormatting>
  <conditionalFormatting sqref="P126:P176">
    <cfRule type="expression" dxfId="998" priority="4" stopIfTrue="1">
      <formula>P$123&lt;&gt;""</formula>
    </cfRule>
  </conditionalFormatting>
  <conditionalFormatting sqref="Q126:Q176">
    <cfRule type="expression" dxfId="997" priority="3">
      <formula>P$123=""</formula>
    </cfRule>
  </conditionalFormatting>
  <conditionalFormatting sqref="R126:R176">
    <cfRule type="expression" dxfId="996" priority="2" stopIfTrue="1">
      <formula>R$123&lt;&gt;""</formula>
    </cfRule>
  </conditionalFormatting>
  <conditionalFormatting sqref="S126:S176">
    <cfRule type="expression" dxfId="995" priority="1">
      <formula>R$123=""</formula>
    </cfRule>
  </conditionalFormatting>
  <dataValidations count="2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O40 M40 Q40 S40 U40">
      <formula1>$N$40</formula1>
      <formula2>0</formula2>
    </dataValidation>
    <dataValidation type="list" operator="equal" allowBlank="1" showErrorMessage="1" sqref="O41 M41 Q41 S41 U41">
      <formula1>$N$41</formula1>
      <formula2>0</formula2>
    </dataValidation>
    <dataValidation type="list" operator="equal" allowBlank="1" showErrorMessage="1" sqref="O42 M42 Q42 S42 U42">
      <formula1>$N$42</formula1>
      <formula2>0</formula2>
    </dataValidation>
    <dataValidation type="list" operator="equal" allowBlank="1" showErrorMessage="1" sqref="O43 M43 Q43 S43 U43">
      <formula1>$N$43</formula1>
      <formula2>0</formula2>
    </dataValidation>
    <dataValidation type="list" operator="equal" allowBlank="1" showErrorMessage="1" sqref="O44 M44 Q44 S44 U44">
      <formula1>$N$44</formula1>
      <formula2>0</formula2>
    </dataValidation>
    <dataValidation type="list" operator="equal" allowBlank="1" showErrorMessage="1" sqref="O45 M45 Q45 S45 U45">
      <formula1>$N$45</formula1>
      <formula2>0</formula2>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operator="equal" allowBlank="1" showErrorMessage="1" sqref="O75:O82 S75:S82 M75:M82 Q75:Q82 U75:U82">
      <formula1>$N75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O46:O55 M46:M55 Q46:Q55 S46:S55 U46:U55">
      <formula1>IF($AD46=1,IF(Categoría_2="Maestro de Armas",INDIRECT($AE46),IF(Categoría_2="","",INDIRECT($AF46))),$L46)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topLeftCell="A7" zoomScaleNormal="100" zoomScaleSheetLayoutView="55" workbookViewId="0">
      <selection activeCell="AD14" sqref="AD14"/>
    </sheetView>
  </sheetViews>
  <sheetFormatPr baseColWidth="10"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31"/>
      <c r="D3" s="3231"/>
      <c r="E3" s="3231"/>
      <c r="F3" s="3231"/>
      <c r="G3" s="3231"/>
      <c r="H3" s="3231"/>
      <c r="I3" s="7"/>
      <c r="J3" s="7"/>
      <c r="K3" s="7"/>
      <c r="L3" s="7"/>
      <c r="M3" s="2579"/>
      <c r="N3" s="7"/>
      <c r="O3" s="7"/>
      <c r="P3" s="7"/>
      <c r="Q3" s="7"/>
      <c r="R3" s="7"/>
      <c r="S3" s="7"/>
      <c r="T3" s="7"/>
      <c r="U3" s="7"/>
      <c r="V3" s="7"/>
      <c r="W3" s="1038"/>
      <c r="X3" s="1509"/>
      <c r="Y3" s="28"/>
      <c r="Z3" s="28"/>
      <c r="AA3" s="1508"/>
      <c r="AB3" s="3231"/>
      <c r="AC3" s="3231"/>
      <c r="AD3" s="3231"/>
      <c r="AE3" s="3231"/>
      <c r="AF3" s="3231"/>
      <c r="AG3" s="3231"/>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31"/>
      <c r="D4" s="3231"/>
      <c r="E4" s="3231"/>
      <c r="F4" s="3231"/>
      <c r="G4" s="3231"/>
      <c r="H4" s="3231"/>
      <c r="I4" s="10"/>
      <c r="J4" s="10"/>
      <c r="K4" s="3232" t="s">
        <v>1595</v>
      </c>
      <c r="L4" s="3232"/>
      <c r="M4" s="3233" t="str">
        <f>IF(OR(General!$F$22="",General!$F$22=0),"",General!$F$22)</f>
        <v/>
      </c>
      <c r="N4" s="3233"/>
      <c r="O4" s="3233"/>
      <c r="P4" s="3233"/>
      <c r="Q4" s="3233"/>
      <c r="R4" s="1036"/>
      <c r="S4" s="1036"/>
      <c r="T4" s="1036"/>
      <c r="U4" s="1036"/>
      <c r="V4" s="1036"/>
      <c r="W4" s="11"/>
      <c r="X4" s="1509"/>
      <c r="Y4" s="28"/>
      <c r="Z4" s="28"/>
      <c r="AA4" s="1508"/>
      <c r="AB4" s="3231"/>
      <c r="AC4" s="3231"/>
      <c r="AD4" s="3231"/>
      <c r="AE4" s="3231"/>
      <c r="AF4" s="3231"/>
      <c r="AG4" s="3231"/>
      <c r="AH4" s="10"/>
      <c r="AI4" s="10"/>
      <c r="AJ4" s="3232" t="s">
        <v>1595</v>
      </c>
      <c r="AK4" s="3232"/>
      <c r="AL4" s="3233" t="str">
        <f>IF(OR(General!$F$22="",General!$F$22=0),"",General!$F$22)</f>
        <v/>
      </c>
      <c r="AM4" s="3233"/>
      <c r="AN4" s="3233"/>
      <c r="AO4" s="3233"/>
      <c r="AP4" s="3233"/>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31"/>
      <c r="D5" s="3231"/>
      <c r="E5" s="3231"/>
      <c r="F5" s="3231"/>
      <c r="G5" s="3231"/>
      <c r="H5" s="3231"/>
      <c r="I5" s="10"/>
      <c r="J5" s="10"/>
      <c r="K5" s="3223" t="s">
        <v>1596</v>
      </c>
      <c r="L5" s="3223"/>
      <c r="M5" s="3224" t="str">
        <f>Principal!$L$5</f>
        <v/>
      </c>
      <c r="N5" s="3224"/>
      <c r="O5" s="3224"/>
      <c r="P5" s="12" t="s">
        <v>1597</v>
      </c>
      <c r="Q5" s="13" t="str">
        <f>Principal!$P$5</f>
        <v>0 + 1</v>
      </c>
      <c r="R5" s="10"/>
      <c r="S5" s="10"/>
      <c r="T5" s="12" t="s">
        <v>9587</v>
      </c>
      <c r="U5" s="1633" t="str">
        <f>Arma_Desarrollada</f>
        <v>Desarmado</v>
      </c>
      <c r="V5" s="10"/>
      <c r="W5" s="14"/>
      <c r="X5" s="1509"/>
      <c r="Y5" s="28"/>
      <c r="Z5" s="28"/>
      <c r="AA5" s="1508"/>
      <c r="AB5" s="3231"/>
      <c r="AC5" s="3231"/>
      <c r="AD5" s="3231"/>
      <c r="AE5" s="3231"/>
      <c r="AF5" s="3231"/>
      <c r="AG5" s="3231"/>
      <c r="AH5" s="10"/>
      <c r="AI5" s="10"/>
      <c r="AJ5" s="3223" t="s">
        <v>1596</v>
      </c>
      <c r="AK5" s="3223"/>
      <c r="AL5" s="3224" t="str">
        <f>Principal!$L$5</f>
        <v/>
      </c>
      <c r="AM5" s="3224"/>
      <c r="AN5" s="3224"/>
      <c r="AO5" s="12" t="s">
        <v>1597</v>
      </c>
      <c r="AP5" s="13" t="str">
        <f>Principal!$P$5</f>
        <v>0 + 1</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31"/>
      <c r="D6" s="3231"/>
      <c r="E6" s="3231"/>
      <c r="F6" s="3231"/>
      <c r="G6" s="3231"/>
      <c r="H6" s="3231"/>
      <c r="I6" s="10"/>
      <c r="J6" s="10"/>
      <c r="K6" s="3225" t="s">
        <v>1821</v>
      </c>
      <c r="L6" s="3225"/>
      <c r="M6" s="3225"/>
      <c r="N6" s="3225"/>
      <c r="O6" s="3225"/>
      <c r="P6" s="3225"/>
      <c r="Q6" s="3225"/>
      <c r="R6" s="10"/>
      <c r="S6" s="10"/>
      <c r="T6" s="10"/>
      <c r="U6" s="4217"/>
      <c r="V6" s="4217"/>
      <c r="W6" s="14"/>
      <c r="X6" s="1509"/>
      <c r="Y6" s="28"/>
      <c r="Z6" s="28"/>
      <c r="AA6" s="1508"/>
      <c r="AB6" s="3231"/>
      <c r="AC6" s="3231"/>
      <c r="AD6" s="3231"/>
      <c r="AE6" s="3231"/>
      <c r="AF6" s="3231"/>
      <c r="AG6" s="3231"/>
      <c r="AH6" s="10"/>
      <c r="AI6" s="10"/>
      <c r="AJ6" s="3225" t="s">
        <v>1822</v>
      </c>
      <c r="AK6" s="3225"/>
      <c r="AL6" s="3225"/>
      <c r="AM6" s="3225"/>
      <c r="AN6" s="3225"/>
      <c r="AO6" s="3225"/>
      <c r="AP6" s="3225"/>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31"/>
      <c r="D7" s="3231"/>
      <c r="E7" s="3231"/>
      <c r="F7" s="3231"/>
      <c r="G7" s="3231"/>
      <c r="H7" s="3231"/>
      <c r="I7" s="10"/>
      <c r="J7" s="10"/>
      <c r="K7" s="3225"/>
      <c r="L7" s="3225"/>
      <c r="M7" s="3225"/>
      <c r="N7" s="3225"/>
      <c r="O7" s="3225"/>
      <c r="P7" s="3225"/>
      <c r="Q7" s="3225"/>
      <c r="R7" s="10"/>
      <c r="S7" s="10"/>
      <c r="T7" s="10"/>
      <c r="U7" s="4217"/>
      <c r="V7" s="4217"/>
      <c r="W7" s="14"/>
      <c r="X7" s="1509"/>
      <c r="Y7" s="28"/>
      <c r="Z7" s="28"/>
      <c r="AA7" s="1508"/>
      <c r="AB7" s="3231"/>
      <c r="AC7" s="3231"/>
      <c r="AD7" s="3231"/>
      <c r="AE7" s="3231"/>
      <c r="AF7" s="3231"/>
      <c r="AG7" s="3231"/>
      <c r="AH7" s="10"/>
      <c r="AI7" s="10"/>
      <c r="AJ7" s="3225"/>
      <c r="AK7" s="3225"/>
      <c r="AL7" s="3225"/>
      <c r="AM7" s="3225"/>
      <c r="AN7" s="3225"/>
      <c r="AO7" s="3225"/>
      <c r="AP7" s="3225"/>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31"/>
      <c r="D8" s="3231"/>
      <c r="E8" s="3231"/>
      <c r="F8" s="3231"/>
      <c r="G8" s="3231"/>
      <c r="H8" s="3231"/>
      <c r="I8" s="15"/>
      <c r="J8" s="15"/>
      <c r="K8" s="15"/>
      <c r="L8" s="15"/>
      <c r="M8" s="2580"/>
      <c r="N8" s="15"/>
      <c r="O8" s="15"/>
      <c r="P8" s="15"/>
      <c r="Q8" s="15"/>
      <c r="R8" s="15"/>
      <c r="S8" s="15"/>
      <c r="T8" s="15"/>
      <c r="U8" s="15"/>
      <c r="V8" s="15"/>
      <c r="W8" s="2636" t="s">
        <v>9588</v>
      </c>
      <c r="X8" s="1509"/>
      <c r="Y8" s="28"/>
      <c r="Z8" s="28"/>
      <c r="AA8" s="1508"/>
      <c r="AB8" s="3231"/>
      <c r="AC8" s="3231"/>
      <c r="AD8" s="3231"/>
      <c r="AE8" s="3231"/>
      <c r="AF8" s="3231"/>
      <c r="AG8" s="3231"/>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12" t="s">
        <v>1823</v>
      </c>
      <c r="D10" s="4213"/>
      <c r="E10" s="4213"/>
      <c r="F10" s="4213"/>
      <c r="G10" s="4213"/>
      <c r="H10" s="4213"/>
      <c r="I10" s="4213"/>
      <c r="J10" s="4213"/>
      <c r="K10" s="4213"/>
      <c r="L10" s="4213"/>
      <c r="M10" s="4213"/>
      <c r="N10" s="4213"/>
      <c r="O10" s="4213"/>
      <c r="P10" s="4213"/>
      <c r="Q10" s="4213"/>
      <c r="R10" s="4213"/>
      <c r="S10" s="4214"/>
      <c r="T10" s="49"/>
      <c r="U10" s="3234" t="s">
        <v>9522</v>
      </c>
      <c r="V10" s="3235"/>
      <c r="W10" s="3236"/>
      <c r="X10" s="1509"/>
      <c r="Y10" s="28"/>
      <c r="Z10" s="28"/>
      <c r="AA10" s="1508"/>
      <c r="AB10" s="4239" t="s">
        <v>1671</v>
      </c>
      <c r="AC10" s="4246" t="s">
        <v>10223</v>
      </c>
      <c r="AD10" s="4247"/>
      <c r="AE10" s="4232" t="s">
        <v>10224</v>
      </c>
      <c r="AF10" s="4233"/>
      <c r="AG10" s="816"/>
      <c r="AH10" s="3391" t="s">
        <v>1776</v>
      </c>
      <c r="AI10" s="3391"/>
      <c r="AJ10" s="3391"/>
      <c r="AK10" s="3391"/>
      <c r="AL10" s="4154" t="s">
        <v>1824</v>
      </c>
      <c r="AM10" s="4154"/>
      <c r="AN10" s="4154"/>
      <c r="AO10" s="4154"/>
      <c r="AP10" s="4154"/>
      <c r="AQ10" s="4154"/>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90" t="s">
        <v>1823</v>
      </c>
      <c r="D11" s="4191"/>
      <c r="E11" s="4191"/>
      <c r="F11" s="4192" t="s">
        <v>1600</v>
      </c>
      <c r="G11" s="4192"/>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4240"/>
      <c r="AC11" s="4248"/>
      <c r="AD11" s="4249"/>
      <c r="AE11" s="4234"/>
      <c r="AF11" s="4235"/>
      <c r="AG11" s="49"/>
      <c r="AH11" s="4115" t="str">
        <f>IF(PDs!$E40=0,"",PDs!$E40)</f>
        <v/>
      </c>
      <c r="AI11" s="4115"/>
      <c r="AJ11" s="4115"/>
      <c r="AK11" s="4115"/>
      <c r="AL11" s="4218" t="str">
        <f>IF(PDs!$AD40=0,"",PDs!$V40&amp;" ")&amp;IF(PDs!$AD40=0,"",IF(PDs!$Y40=0,"",PDs!$Y40))</f>
        <v xml:space="preserve"> </v>
      </c>
      <c r="AM11" s="4218"/>
      <c r="AN11" s="4218"/>
      <c r="AO11" s="4218"/>
      <c r="AP11" s="4218"/>
      <c r="AQ11" s="4218"/>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07"/>
      <c r="D12" s="4208"/>
      <c r="E12" s="4208"/>
      <c r="F12" s="4209" t="str">
        <f>IF(C12=0,"",VLOOKUP(C12,Tabla_Armaduras,7,FALSE))</f>
        <v/>
      </c>
      <c r="G12" s="4210"/>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70"/>
      <c r="V12" s="4171"/>
      <c r="W12" s="4215">
        <f>U12/100*V12</f>
        <v>0</v>
      </c>
      <c r="X12" s="1301"/>
      <c r="Y12" s="28"/>
      <c r="Z12" s="28"/>
      <c r="AA12" s="1508"/>
      <c r="AB12" s="4240"/>
      <c r="AC12" s="4236" t="s">
        <v>10226</v>
      </c>
      <c r="AD12" s="4238"/>
      <c r="AE12" s="4236" t="s">
        <v>10227</v>
      </c>
      <c r="AF12" s="4237"/>
      <c r="AG12" s="49"/>
      <c r="AH12" s="4082" t="str">
        <f>IF(PDs!$E41=0,"",PDs!$E41)</f>
        <v/>
      </c>
      <c r="AI12" s="4082"/>
      <c r="AJ12" s="4082"/>
      <c r="AK12" s="4082"/>
      <c r="AL12" s="4211" t="str">
        <f>IF(PDs!$AD41=0,"",PDs!$V41&amp;" ")&amp;IF(PDs!$AD41=0,"",IF(PDs!$Y41=0,"",PDs!$Y41))</f>
        <v xml:space="preserve"> </v>
      </c>
      <c r="AM12" s="4211"/>
      <c r="AN12" s="4211"/>
      <c r="AO12" s="4211"/>
      <c r="AP12" s="4211"/>
      <c r="AQ12" s="4211"/>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03"/>
      <c r="D13" s="4204"/>
      <c r="E13" s="4204"/>
      <c r="F13" s="4205" t="str">
        <f>IF(C13=0,"",VLOOKUP(C13,Tabla_Armaduras,7,FALSE))</f>
        <v/>
      </c>
      <c r="G13" s="4206"/>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70"/>
      <c r="V13" s="4171"/>
      <c r="W13" s="4216"/>
      <c r="X13" s="1301"/>
      <c r="Y13" s="28"/>
      <c r="Z13" s="28"/>
      <c r="AA13" s="1508"/>
      <c r="AB13" s="4240"/>
      <c r="AC13" s="4236"/>
      <c r="AD13" s="4238"/>
      <c r="AE13" s="4236"/>
      <c r="AF13" s="4237"/>
      <c r="AG13" s="49"/>
      <c r="AH13" s="4082" t="str">
        <f>IF(PDs!$E42=0,"",PDs!$E42)</f>
        <v/>
      </c>
      <c r="AI13" s="4082"/>
      <c r="AJ13" s="4082"/>
      <c r="AK13" s="4082"/>
      <c r="AL13" s="4211" t="str">
        <f>IF(PDs!$AD42=0,"",PDs!$V42&amp;" ")&amp;IF(PDs!$AD42=0,"",IF(PDs!$Y42=0,"",PDs!$Y42))</f>
        <v xml:space="preserve"> </v>
      </c>
      <c r="AM13" s="4211"/>
      <c r="AN13" s="4211"/>
      <c r="AO13" s="4211"/>
      <c r="AP13" s="4211"/>
      <c r="AQ13" s="4211"/>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72"/>
      <c r="D14" s="4173"/>
      <c r="E14" s="4173"/>
      <c r="F14" s="4174" t="str">
        <f>IF(C14=0,"",VLOOKUP(C14,Tabla_Armaduras,7,FALSE))</f>
        <v/>
      </c>
      <c r="G14" s="4174"/>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70"/>
      <c r="V14" s="4171"/>
      <c r="W14" s="4215">
        <f>U14/100*V14</f>
        <v>0</v>
      </c>
      <c r="X14" s="1301"/>
      <c r="Y14" s="28"/>
      <c r="Z14" s="28"/>
      <c r="AA14" s="1508"/>
      <c r="AB14" s="4240"/>
      <c r="AC14" s="2948" t="s">
        <v>1691</v>
      </c>
      <c r="AD14" s="2999"/>
      <c r="AE14" s="2948" t="s">
        <v>1691</v>
      </c>
      <c r="AF14" s="3000"/>
      <c r="AG14" s="49"/>
      <c r="AH14" s="4082" t="str">
        <f>IF(PDs!$E43=0,"",PDs!$E43)</f>
        <v/>
      </c>
      <c r="AI14" s="4082"/>
      <c r="AJ14" s="4082"/>
      <c r="AK14" s="4082"/>
      <c r="AL14" s="4211" t="str">
        <f>IF(PDs!$AD43=0,"",PDs!$V43&amp;" ")&amp;IF(PDs!$AD43=0,"",IF(PDs!$Y43=0,"",PDs!$Y43))</f>
        <v xml:space="preserve"> </v>
      </c>
      <c r="AM14" s="4211"/>
      <c r="AN14" s="4211"/>
      <c r="AO14" s="4211"/>
      <c r="AP14" s="4211"/>
      <c r="AQ14" s="4211"/>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77"/>
      <c r="D15" s="4178"/>
      <c r="E15" s="4179"/>
      <c r="F15" s="4193" t="s">
        <v>1835</v>
      </c>
      <c r="G15" s="4193"/>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70"/>
      <c r="V15" s="4171"/>
      <c r="W15" s="4216"/>
      <c r="X15" s="1301"/>
      <c r="Y15" s="28"/>
      <c r="Z15" s="28"/>
      <c r="AA15" s="1508"/>
      <c r="AB15" s="4240"/>
      <c r="AC15" s="4244" t="s">
        <v>1622</v>
      </c>
      <c r="AD15" s="4229">
        <f>IF(OR(Principal!$P$16="",Principal!$P$16&gt;4),0,IF(Principal!$P$16=0,-120,-10*2^(4-Principal!$P$16)))+AD14</f>
        <v>0</v>
      </c>
      <c r="AE15" s="4244" t="s">
        <v>1622</v>
      </c>
      <c r="AF15" s="4242">
        <f>S16+AF14</f>
        <v>0</v>
      </c>
      <c r="AG15" s="49"/>
      <c r="AH15" s="4082" t="str">
        <f>IF(PDs!$E44=0,"",PDs!$E44)</f>
        <v/>
      </c>
      <c r="AI15" s="4082"/>
      <c r="AJ15" s="4082"/>
      <c r="AK15" s="4082"/>
      <c r="AL15" s="4211" t="str">
        <f>IF(PDs!$AD44=0,"",PDs!$V44&amp;" ")&amp;IF(PDs!$AD44=0,"",IF(PDs!$Y44=0,"",PDs!$Y44))</f>
        <v xml:space="preserve"> </v>
      </c>
      <c r="AM15" s="4211"/>
      <c r="AN15" s="4211"/>
      <c r="AO15" s="4211"/>
      <c r="AP15" s="4211"/>
      <c r="AQ15" s="4211"/>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94" t="s">
        <v>1836</v>
      </c>
      <c r="D16" s="4195"/>
      <c r="E16" s="4198">
        <f>MAX(0,R12+R13+R14-MAX(0,TRUNC((LlevarArmadura_final-H16)/50,0)))</f>
        <v>0</v>
      </c>
      <c r="F16" s="4200" t="s">
        <v>1837</v>
      </c>
      <c r="G16" s="4200"/>
      <c r="H16" s="2561">
        <f>IF(C12="",0,MAX(0,VLOOKUP(C12,Tabla_Armaduras,2,FALSE)-H12)+IF(C13="",0,VLOOKUP(C13,Tabla_Armaduras,2,FALSE)-H13)+IF(C14="",0,VLOOKUP(C14,Tabla_Armaduras,2,FALSE)-H14)+IF(C15="",0,MAX(VLOOKUP(C15,Tabla_Yelmos,2,FALSE)-H15,0)))</f>
        <v>0</v>
      </c>
      <c r="I16" s="4201">
        <f t="shared" ref="I16:O16" si="4">AX$10</f>
        <v>0</v>
      </c>
      <c r="J16" s="4155">
        <f t="shared" si="4"/>
        <v>0</v>
      </c>
      <c r="K16" s="4155">
        <f t="shared" si="4"/>
        <v>0</v>
      </c>
      <c r="L16" s="4155">
        <f t="shared" si="4"/>
        <v>0</v>
      </c>
      <c r="M16" s="4155">
        <f t="shared" si="4"/>
        <v>0</v>
      </c>
      <c r="N16" s="4155">
        <f t="shared" si="4"/>
        <v>0</v>
      </c>
      <c r="O16" s="4072">
        <f t="shared" si="4"/>
        <v>0</v>
      </c>
      <c r="P16" s="4187" t="s">
        <v>9194</v>
      </c>
      <c r="Q16" s="4188"/>
      <c r="R16" s="4188"/>
      <c r="S16" s="1577">
        <f>IF(H16=0,0,MIN(LlevarArmadura_final-H16,0))</f>
        <v>0</v>
      </c>
      <c r="T16" s="49"/>
      <c r="U16" s="4170"/>
      <c r="V16" s="4171"/>
      <c r="W16" s="4215">
        <f>U16/100*V16</f>
        <v>0</v>
      </c>
      <c r="X16" s="1301"/>
      <c r="Y16" s="28"/>
      <c r="Z16" s="28"/>
      <c r="AA16" s="1508"/>
      <c r="AB16" s="4241"/>
      <c r="AC16" s="4245"/>
      <c r="AD16" s="4230"/>
      <c r="AE16" s="4245"/>
      <c r="AF16" s="4243"/>
      <c r="AG16" s="49"/>
      <c r="AH16" s="4080" t="str">
        <f>IF(PDs!$E45=0,"",PDs!$E45)</f>
        <v/>
      </c>
      <c r="AI16" s="4080"/>
      <c r="AJ16" s="4080"/>
      <c r="AK16" s="4080"/>
      <c r="AL16" s="4228" t="str">
        <f>IF(PDs!$AD45=0,"",PDs!$V45&amp;" ")&amp;IF(PDs!$AD45=0,"",IF(PDs!$Y45=0,"",PDs!$Y45))</f>
        <v xml:space="preserve"> </v>
      </c>
      <c r="AM16" s="4228"/>
      <c r="AN16" s="4228"/>
      <c r="AO16" s="4228"/>
      <c r="AP16" s="4228"/>
      <c r="AQ16" s="4228"/>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96"/>
      <c r="D17" s="4197"/>
      <c r="E17" s="4199"/>
      <c r="F17" s="4183" t="s">
        <v>1838</v>
      </c>
      <c r="G17" s="4183"/>
      <c r="H17" s="596">
        <f>IF(C12="",0,MIN(VLOOKUP(C12,Tabla_Armaduras,3,FALSE)+H12,0))+IF(C13="",0,MIN(VLOOKUP(C13,Tabla_Armaduras,3,FALSE)+H13,0))+IF(C14="",0,MIN(VLOOKUP(C14,Tabla_Armaduras,3,FALSE)+H14,0))</f>
        <v>0</v>
      </c>
      <c r="I17" s="4202"/>
      <c r="J17" s="3678"/>
      <c r="K17" s="3678"/>
      <c r="L17" s="3678"/>
      <c r="M17" s="3678"/>
      <c r="N17" s="3678"/>
      <c r="O17" s="4186"/>
      <c r="P17" s="4182" t="s">
        <v>9188</v>
      </c>
      <c r="Q17" s="3181"/>
      <c r="R17" s="3181"/>
      <c r="S17" s="1785">
        <f>MIN(MAX(LlevarArmadura_final-H16,0)+H17,0)+MAX(MIN(-20*IF(OR(C12=0,B12="Natural"),0,1)-20*IF(OR(C13=0,B13="Natural"),0,1)-20*IF(OR(C14=0,B14="Natural"),0,1)+20,0),-40)</f>
        <v>0</v>
      </c>
      <c r="T17" s="49"/>
      <c r="U17" s="4175"/>
      <c r="V17" s="4176"/>
      <c r="W17" s="4216"/>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89" t="str">
        <f>IF(COUNTIF(AX21:BD27,"&gt;0")&gt;0,"Armaduras especiales aplicadas:","")</f>
        <v/>
      </c>
      <c r="D18" s="4189"/>
      <c r="E18" s="4189"/>
      <c r="F18" s="4189"/>
      <c r="G18" s="4189"/>
      <c r="H18" s="4168" t="str">
        <f>BE23&amp;BF23&amp;BE24&amp;BF24&amp;BE25&amp;BF25&amp;BE26&amp;BF26&amp;BE27</f>
        <v/>
      </c>
      <c r="I18" s="4168"/>
      <c r="J18" s="4168"/>
      <c r="K18" s="4168"/>
      <c r="L18" s="4168"/>
      <c r="M18" s="4168"/>
      <c r="N18" s="4168"/>
      <c r="O18" s="4168"/>
      <c r="P18" s="4168"/>
      <c r="Q18" s="4168"/>
      <c r="R18" s="4168"/>
      <c r="S18" s="4168"/>
      <c r="T18" s="1503"/>
      <c r="U18" s="85"/>
      <c r="V18" s="85"/>
      <c r="W18" s="85"/>
      <c r="X18" s="1509"/>
      <c r="Y18" s="28"/>
      <c r="Z18" s="28"/>
      <c r="AA18" s="1508"/>
      <c r="AB18" s="3391" t="s">
        <v>1777</v>
      </c>
      <c r="AC18" s="3391"/>
      <c r="AD18" s="3391"/>
      <c r="AE18" s="3391"/>
      <c r="AF18" s="3391"/>
      <c r="AG18" s="3391"/>
      <c r="AH18" s="4154" t="s">
        <v>1824</v>
      </c>
      <c r="AI18" s="4154"/>
      <c r="AJ18" s="4154"/>
      <c r="AK18" s="4154"/>
      <c r="AL18" s="4154"/>
      <c r="AM18" s="4154"/>
      <c r="AN18" s="4154"/>
      <c r="AO18" s="4154"/>
      <c r="AP18" s="4154"/>
      <c r="AQ18" s="4154"/>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37" t="str">
        <f>IF(PDs!$E46="","",PDs!$E46&amp;IF(AND(PDs!AD46=1,PDs!M46/PDs!L46+PDs!O46/PDs!N46+PDs!Q46/PDs!P46+PDs!S46/PDs!R46+PDs!U46/PDs!T46&gt;1)," ("&amp;PDs!M46/PDs!L46+PDs!O46/PDs!N46+PDs!Q46/PDs!P46+PDs!S46/PDs!R46+PDs!U46/PDs!T46&amp;")",""))</f>
        <v/>
      </c>
      <c r="AC19" s="4137"/>
      <c r="AD19" s="4137"/>
      <c r="AE19" s="4137"/>
      <c r="AF19" s="4137"/>
      <c r="AG19" s="4137"/>
      <c r="AH19" s="4119" t="str">
        <f>IF(PDs!$V46=0,"",PDs!$V46)</f>
        <v/>
      </c>
      <c r="AI19" s="4119"/>
      <c r="AJ19" s="4119"/>
      <c r="AK19" s="4119"/>
      <c r="AL19" s="4119"/>
      <c r="AM19" s="4119"/>
      <c r="AN19" s="4119"/>
      <c r="AO19" s="4119"/>
      <c r="AP19" s="4119"/>
      <c r="AQ19" s="4119"/>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88" t="str">
        <f>IF(COUNTA(PDs!$E$56:$E$74)&gt;0,"Artes Marciales","Desarmado")</f>
        <v>Desarmado</v>
      </c>
      <c r="D20" s="4180"/>
      <c r="E20" s="4181"/>
      <c r="F20" s="4181"/>
      <c r="G20" s="4181"/>
      <c r="H20" s="2587" t="s">
        <v>1666</v>
      </c>
      <c r="I20" s="2588" t="s">
        <v>1839</v>
      </c>
      <c r="J20" s="4092" t="s">
        <v>1840</v>
      </c>
      <c r="K20" s="4092"/>
      <c r="L20" s="2589" t="s">
        <v>1841</v>
      </c>
      <c r="M20" s="57"/>
      <c r="N20" s="4219" t="s">
        <v>9494</v>
      </c>
      <c r="O20" s="4220"/>
      <c r="P20" s="4221"/>
      <c r="Q20" s="49"/>
      <c r="R20" s="3114" t="s">
        <v>9541</v>
      </c>
      <c r="S20" s="3115"/>
      <c r="T20" s="3115"/>
      <c r="U20" s="3115"/>
      <c r="V20" s="3115"/>
      <c r="W20" s="3116"/>
      <c r="X20" s="1301"/>
      <c r="Y20" s="28"/>
      <c r="Z20" s="28"/>
      <c r="AA20" s="1508"/>
      <c r="AB20" s="4137" t="str">
        <f>IF(PDs!$E47="","",PDs!$E47&amp;IF(AND(PDs!AD47=1,PDs!M47/PDs!L47+PDs!O47/PDs!N47+PDs!Q47/PDs!P47+PDs!S47/PDs!R47+PDs!U47/PDs!T47&gt;1)," ("&amp;PDs!M47/PDs!L47+PDs!O47/PDs!N47+PDs!Q47/PDs!P47+PDs!S47/PDs!R47+PDs!U47/PDs!T47&amp;")",""))</f>
        <v/>
      </c>
      <c r="AC20" s="4138"/>
      <c r="AD20" s="4138"/>
      <c r="AE20" s="4138"/>
      <c r="AF20" s="4138"/>
      <c r="AG20" s="4139"/>
      <c r="AH20" s="4119" t="str">
        <f>IF(PDs!$V47=0,"",PDs!$V47)</f>
        <v/>
      </c>
      <c r="AI20" s="4119"/>
      <c r="AJ20" s="4119"/>
      <c r="AK20" s="4119"/>
      <c r="AL20" s="4119"/>
      <c r="AM20" s="4119"/>
      <c r="AN20" s="4119"/>
      <c r="AO20" s="4119"/>
      <c r="AP20" s="4119"/>
      <c r="AQ20" s="4119"/>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84" t="str">
        <f>IF(C20="Artes Marciales","Conocida",VLOOKUP(C20,Tabla_ArmasyEscudos,9,FALSE))</f>
        <v>Conocida</v>
      </c>
      <c r="D21" s="4185"/>
      <c r="E21" s="2590"/>
      <c r="F21" s="2595" t="s">
        <v>9521</v>
      </c>
      <c r="G21" s="2100" t="s">
        <v>2400</v>
      </c>
      <c r="H21" s="3629">
        <f>Turno_Nat_final+Combate!D24+Personalización!Y7+IFERROR(MIN(0,I23+VLOOKUP(E20,Tabla_EquipoArtesMarciales,3,FALSE)),0)</f>
        <v>40</v>
      </c>
      <c r="I21" s="4156">
        <f>IF(C20="Desarmado",HA_final-IF(C21="Conocida",0,60),HA_final-PDs!$X$22+MIN(PDs!$X$22+F24,50)+BonoMaestro_HA)-IF(Tablas!$H$519&lt;&gt;0,IF(Arma_Desarrollada="Desarmado",0,30),0)+Personalización!Y8+IFERROR(MIN(0,I23+VLOOKUP(E20,Tabla_EquipoArtesMarciales,4,FALSE)),0)</f>
        <v>0</v>
      </c>
      <c r="J21" s="4086">
        <f>MAX(HP_SinArmas,HE_SinArmas)+Personalización!Y9+IFERROR(MIN(0,I23+VLOOKUP(E20,Tabla_EquipoArtesMarciales,4,FALSE)),0)</f>
        <v>0</v>
      </c>
      <c r="K21" s="4072" t="str">
        <f>IF(HP_SinArmas&gt;=HE_SinArmas,"Par","Esq")</f>
        <v>Par</v>
      </c>
      <c r="L21" s="4063">
        <f>IF(C20="Desarmado",VLOOKUP(Tamaño,Tabla_CreaciónSeres,7,TRUE)+Bono_Fue,ArtesM_Daño)+L24+Personalización!Y10</f>
        <v>5</v>
      </c>
      <c r="M21" s="57"/>
      <c r="N21" s="4162" t="str">
        <f>IF(AU63,AU62,"")&amp;IF(AV64,", ","")&amp;IF(AV63,AV62,"")&amp;IF(AW64,", ","")&amp;IF(AW63,AW62,"")&amp;IF(AX64,", ","")&amp;IF(AX63,AX62,"")&amp;IF(AY64,", ","")&amp;IF(AY63,AY62,"")&amp;IF(AZ64,", ","")&amp;IF(AZ63,AZ62,"")</f>
        <v/>
      </c>
      <c r="O21" s="4163"/>
      <c r="P21" s="4164"/>
      <c r="Q21" s="49"/>
      <c r="R21" s="4160" t="s">
        <v>9542</v>
      </c>
      <c r="S21" s="4161"/>
      <c r="T21" s="4161"/>
      <c r="U21" s="4161" t="s">
        <v>9543</v>
      </c>
      <c r="V21" s="4161"/>
      <c r="W21" s="4169"/>
      <c r="X21" s="1301"/>
      <c r="Y21" s="28"/>
      <c r="Z21" s="28"/>
      <c r="AA21" s="1508"/>
      <c r="AB21" s="4137" t="str">
        <f>IF(PDs!$E48="","",PDs!$E48&amp;IF(AND(PDs!AD48=1,PDs!M48/PDs!L48+PDs!O48/PDs!N48+PDs!Q48/PDs!P48+PDs!S48/PDs!R48+PDs!U48/PDs!T48&gt;1)," ("&amp;PDs!M48/PDs!L48+PDs!O48/PDs!N48+PDs!Q48/PDs!P48+PDs!S48/PDs!R48+PDs!U48/PDs!T48&amp;")",""))</f>
        <v/>
      </c>
      <c r="AC21" s="4138"/>
      <c r="AD21" s="4138"/>
      <c r="AE21" s="4138"/>
      <c r="AF21" s="4138"/>
      <c r="AG21" s="4139"/>
      <c r="AH21" s="4119" t="str">
        <f>IF(PDs!$V48=0,"",PDs!$V48)</f>
        <v/>
      </c>
      <c r="AI21" s="4119"/>
      <c r="AJ21" s="4119"/>
      <c r="AK21" s="4119"/>
      <c r="AL21" s="4119"/>
      <c r="AM21" s="4119"/>
      <c r="AN21" s="4119"/>
      <c r="AO21" s="4119"/>
      <c r="AP21" s="4119"/>
      <c r="AQ21" s="4119"/>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70"/>
      <c r="I22" s="4070"/>
      <c r="J22" s="4086"/>
      <c r="K22" s="4072"/>
      <c r="L22" s="4064"/>
      <c r="M22" s="57"/>
      <c r="N22" s="4165"/>
      <c r="O22" s="4166"/>
      <c r="P22" s="4167"/>
      <c r="Q22" s="49"/>
      <c r="R22" s="4135"/>
      <c r="S22" s="4129"/>
      <c r="T22" s="4129"/>
      <c r="U22" s="4157"/>
      <c r="V22" s="4158"/>
      <c r="W22" s="4159"/>
      <c r="X22" s="1301"/>
      <c r="Y22" s="28"/>
      <c r="Z22" s="28"/>
      <c r="AA22" s="1508"/>
      <c r="AB22" s="4137" t="str">
        <f>IF(PDs!$E49="","",PDs!$E49&amp;IF(AND(PDs!AD49=1,PDs!M49/PDs!L49+PDs!O49/PDs!N49+PDs!Q49/PDs!P49+PDs!S49/PDs!R49+PDs!U49/PDs!T49&gt;1)," ("&amp;PDs!M49/PDs!L49+PDs!O49/PDs!N49+PDs!Q49/PDs!P49+PDs!S49/PDs!R49+PDs!U49/PDs!T49&amp;")",""))</f>
        <v/>
      </c>
      <c r="AC22" s="4138"/>
      <c r="AD22" s="4138"/>
      <c r="AE22" s="4138"/>
      <c r="AF22" s="4138"/>
      <c r="AG22" s="4139"/>
      <c r="AH22" s="4119" t="str">
        <f>IF(PDs!$V49=0,"",PDs!$V49)</f>
        <v/>
      </c>
      <c r="AI22" s="4119"/>
      <c r="AJ22" s="4119"/>
      <c r="AK22" s="4119"/>
      <c r="AL22" s="4119"/>
      <c r="AM22" s="4119"/>
      <c r="AN22" s="4119"/>
      <c r="AO22" s="4119"/>
      <c r="AP22" s="4119"/>
      <c r="AQ22" s="4119"/>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43" t="str">
        <f>IF(OR(I23=0,E20=""),"","TA defensor:")</f>
        <v/>
      </c>
      <c r="K23" s="4143"/>
      <c r="L23" s="2054" t="str">
        <f>IF(J23="TA defensor:",I23/(-5),"")</f>
        <v/>
      </c>
      <c r="M23" s="57"/>
      <c r="N23" s="3234" t="s">
        <v>9344</v>
      </c>
      <c r="O23" s="3235"/>
      <c r="P23" s="3236"/>
      <c r="Q23" s="49"/>
      <c r="R23" s="4134"/>
      <c r="S23" s="4126"/>
      <c r="T23" s="4126"/>
      <c r="U23" s="4125"/>
      <c r="V23" s="4126"/>
      <c r="W23" s="4127"/>
      <c r="X23" s="1301"/>
      <c r="Y23" s="28"/>
      <c r="Z23" s="28"/>
      <c r="AA23" s="1508"/>
      <c r="AB23" s="4137" t="str">
        <f>IF(PDs!$E50="","",PDs!$E50&amp;IF(AND(PDs!AD50=1,PDs!M50/PDs!L50+PDs!O50/PDs!N50+PDs!Q50/PDs!P50+PDs!S50/PDs!R50+PDs!U50/PDs!T50&gt;1)," ("&amp;PDs!M50/PDs!L50+PDs!O50/PDs!N50+PDs!Q50/PDs!P50+PDs!S50/PDs!R50+PDs!U50/PDs!T50&amp;")",""))</f>
        <v/>
      </c>
      <c r="AC23" s="4138"/>
      <c r="AD23" s="4138"/>
      <c r="AE23" s="4138"/>
      <c r="AF23" s="4138"/>
      <c r="AG23" s="4139"/>
      <c r="AH23" s="4119" t="str">
        <f>IF(PDs!$V50=0,"",PDs!$V50)</f>
        <v/>
      </c>
      <c r="AI23" s="4119"/>
      <c r="AJ23" s="4119"/>
      <c r="AK23" s="4119"/>
      <c r="AL23" s="4119"/>
      <c r="AM23" s="4119"/>
      <c r="AN23" s="4119"/>
      <c r="AO23" s="4119"/>
      <c r="AP23" s="4119"/>
      <c r="AQ23" s="4119"/>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50" t="s">
        <v>1846</v>
      </c>
      <c r="D24" s="4146">
        <f>Tablas!$K$906</f>
        <v>0</v>
      </c>
      <c r="E24" s="4148" t="s">
        <v>1847</v>
      </c>
      <c r="F24" s="4146">
        <f>MIN(Tablas!$H$906,50)</f>
        <v>0</v>
      </c>
      <c r="G24" s="4148" t="s">
        <v>1848</v>
      </c>
      <c r="H24" s="4152">
        <f>MIN(Tablas!$J$906,50)</f>
        <v>0</v>
      </c>
      <c r="I24" s="4144" t="s">
        <v>1849</v>
      </c>
      <c r="J24" s="4152">
        <f>MIN(Tablas!$I$906,50)</f>
        <v>0</v>
      </c>
      <c r="K24" s="4144" t="s">
        <v>1850</v>
      </c>
      <c r="L24" s="4150">
        <f>IF(Extensióndelauraalarma,10,0)+IF(DañoIncrementado,10,0)+IF($C$20="Artes Marciales",Tablas!F906,0)+Tablas!$K$1732+IFERROR(VLOOKUP(E20,Tabla_EquipoArtesMarciales,2,FALSE)+I23*2,0)</f>
        <v>0</v>
      </c>
      <c r="M24" s="57"/>
      <c r="N24" s="4162" t="str">
        <f>IF(AU58,AU57,"")&amp;IF(AV59,", ","")&amp;IF(AV58,AV57,"")&amp;IF(AW59,", ","")&amp;IF(AW58,AW57,"")&amp;IF(AX59,", ","")&amp;IF(AX58,AX57,"")&amp;IF(AX57="CON"," (+10 Daño armas CON)","")</f>
        <v/>
      </c>
      <c r="O24" s="4163"/>
      <c r="P24" s="4164"/>
      <c r="Q24" s="49"/>
      <c r="R24" s="4135"/>
      <c r="S24" s="4129"/>
      <c r="T24" s="4129"/>
      <c r="U24" s="4128"/>
      <c r="V24" s="4129"/>
      <c r="W24" s="4130"/>
      <c r="X24" s="1301"/>
      <c r="Y24" s="28"/>
      <c r="Z24" s="28"/>
      <c r="AA24" s="1508"/>
      <c r="AB24" s="4137" t="str">
        <f>IF(PDs!$E51="","",PDs!$E51&amp;IF(AND(PDs!AD51=1,PDs!M51/PDs!L51+PDs!O51/PDs!N51+PDs!Q51/PDs!P51+PDs!S51/PDs!R51+PDs!U51/PDs!T51&gt;1)," ("&amp;PDs!M51/PDs!L51+PDs!O51/PDs!N51+PDs!Q51/PDs!P51+PDs!S51/PDs!R51+PDs!U51/PDs!T51&amp;")",""))</f>
        <v/>
      </c>
      <c r="AC24" s="4138"/>
      <c r="AD24" s="4138"/>
      <c r="AE24" s="4138"/>
      <c r="AF24" s="4138"/>
      <c r="AG24" s="4139"/>
      <c r="AH24" s="4119" t="str">
        <f>IF(PDs!$V51=0,"",PDs!$V51)</f>
        <v/>
      </c>
      <c r="AI24" s="4119"/>
      <c r="AJ24" s="4119"/>
      <c r="AK24" s="4119"/>
      <c r="AL24" s="4119"/>
      <c r="AM24" s="4119"/>
      <c r="AN24" s="4119"/>
      <c r="AO24" s="4119"/>
      <c r="AP24" s="4119"/>
      <c r="AQ24" s="4119"/>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51"/>
      <c r="D25" s="4147"/>
      <c r="E25" s="4145"/>
      <c r="F25" s="4147"/>
      <c r="G25" s="4145"/>
      <c r="H25" s="4147"/>
      <c r="I25" s="4145"/>
      <c r="J25" s="4153"/>
      <c r="K25" s="4149"/>
      <c r="L25" s="4151"/>
      <c r="M25" s="1503"/>
      <c r="N25" s="4165"/>
      <c r="O25" s="4166"/>
      <c r="P25" s="4167"/>
      <c r="Q25" s="49"/>
      <c r="R25" s="4136"/>
      <c r="S25" s="4132"/>
      <c r="T25" s="4132"/>
      <c r="U25" s="4131"/>
      <c r="V25" s="4132"/>
      <c r="W25" s="4133"/>
      <c r="X25" s="1509"/>
      <c r="Y25" s="28"/>
      <c r="Z25" s="28"/>
      <c r="AA25" s="1508"/>
      <c r="AB25" s="4137" t="str">
        <f>IF(PDs!$E52="","",PDs!$E52&amp;IF(AND(PDs!AD52=1,PDs!M52/PDs!L52+PDs!O52/PDs!N52+PDs!Q52/PDs!P52+PDs!S52/PDs!R52+PDs!U52/PDs!T52&gt;1)," ("&amp;PDs!M52/PDs!L52+PDs!O52/PDs!N52+PDs!Q52/PDs!P52+PDs!S52/PDs!R52+PDs!U52/PDs!T52&amp;")",""))</f>
        <v/>
      </c>
      <c r="AC25" s="4138"/>
      <c r="AD25" s="4138"/>
      <c r="AE25" s="4138"/>
      <c r="AF25" s="4138"/>
      <c r="AG25" s="4139"/>
      <c r="AH25" s="4119" t="str">
        <f>IF(PDs!$V52=0,"",PDs!$V52)</f>
        <v/>
      </c>
      <c r="AI25" s="4119"/>
      <c r="AJ25" s="4119"/>
      <c r="AK25" s="4119"/>
      <c r="AL25" s="4119"/>
      <c r="AM25" s="4119"/>
      <c r="AN25" s="4119"/>
      <c r="AO25" s="4119"/>
      <c r="AP25" s="4119"/>
      <c r="AQ25" s="4119"/>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37" t="str">
        <f>IF(PDs!$E53="","",PDs!$E53&amp;IF(AND(PDs!AD53=1,PDs!M53/PDs!L53+PDs!O53/PDs!N53+PDs!Q53/PDs!P53+PDs!S53/PDs!R53+PDs!U53/PDs!T53&gt;1)," ("&amp;PDs!M53/PDs!L53+PDs!O53/PDs!N53+PDs!Q53/PDs!P53+PDs!S53/PDs!R53+PDs!U53/PDs!T53&amp;")",""))</f>
        <v/>
      </c>
      <c r="AC26" s="4138"/>
      <c r="AD26" s="4138"/>
      <c r="AE26" s="4138"/>
      <c r="AF26" s="4138"/>
      <c r="AG26" s="4139"/>
      <c r="AH26" s="4119" t="str">
        <f>IF(PDs!$V53=0,"",PDs!$V53)</f>
        <v/>
      </c>
      <c r="AI26" s="4119"/>
      <c r="AJ26" s="4119"/>
      <c r="AK26" s="4119"/>
      <c r="AL26" s="4119"/>
      <c r="AM26" s="4119"/>
      <c r="AN26" s="4119"/>
      <c r="AO26" s="4119"/>
      <c r="AP26" s="4119"/>
      <c r="AQ26" s="4119"/>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137" t="str">
        <f>IF(PDs!$E54="","",PDs!$E54&amp;IF(AND(PDs!AD54=1,PDs!M54/PDs!L54+PDs!O54/PDs!N54+PDs!Q54/PDs!P54+PDs!S54/PDs!R54+PDs!U54/PDs!T54&gt;1)," ("&amp;PDs!M54/PDs!L54+PDs!O54/PDs!N54+PDs!Q54/PDs!P54+PDs!S54/PDs!R54+PDs!U54/PDs!T54&amp;")",""))</f>
        <v/>
      </c>
      <c r="AC27" s="4138"/>
      <c r="AD27" s="4138"/>
      <c r="AE27" s="4138"/>
      <c r="AF27" s="4138"/>
      <c r="AG27" s="4139"/>
      <c r="AH27" s="4119" t="str">
        <f>IF(PDs!$V54=0,"",PDs!$V54)</f>
        <v/>
      </c>
      <c r="AI27" s="4119"/>
      <c r="AJ27" s="4119"/>
      <c r="AK27" s="4119"/>
      <c r="AL27" s="4119"/>
      <c r="AM27" s="4119"/>
      <c r="AN27" s="4119"/>
      <c r="AO27" s="4119"/>
      <c r="AP27" s="4119"/>
      <c r="AQ27" s="4119"/>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87" t="s">
        <v>9512</v>
      </c>
      <c r="D28" s="4088"/>
      <c r="E28" s="4097"/>
      <c r="F28" s="4098"/>
      <c r="G28" s="4099"/>
      <c r="H28" s="2587" t="s">
        <v>1666</v>
      </c>
      <c r="I28" s="2588" t="s">
        <v>1839</v>
      </c>
      <c r="J28" s="4092" t="s">
        <v>1840</v>
      </c>
      <c r="K28" s="4092"/>
      <c r="L28" s="2589" t="s">
        <v>1841</v>
      </c>
      <c r="M28" s="2092" t="str">
        <f>IF(C28=INDEX(Lista_ManosArma,2),Lista_A2Manos,Lista_A1Mano)</f>
        <v>Tablas!$AB$632:$AB$744</v>
      </c>
      <c r="N28" s="4087" t="s">
        <v>9512</v>
      </c>
      <c r="O28" s="4088"/>
      <c r="P28" s="4102"/>
      <c r="Q28" s="4102"/>
      <c r="R28" s="4103"/>
      <c r="S28" s="2587" t="s">
        <v>1666</v>
      </c>
      <c r="T28" s="2588" t="s">
        <v>1839</v>
      </c>
      <c r="U28" s="4092" t="s">
        <v>1840</v>
      </c>
      <c r="V28" s="4092"/>
      <c r="W28" s="2589" t="s">
        <v>1841</v>
      </c>
      <c r="X28" s="2092" t="str">
        <f>IF(N28=INDEX(Lista_ManosArma,2),Lista_A2Manos,Lista_A1Mano)</f>
        <v>Tablas!$AB$632:$AB$744</v>
      </c>
      <c r="Y28" s="28"/>
      <c r="Z28" s="28"/>
      <c r="AA28" s="1508"/>
      <c r="AB28" s="4140" t="str">
        <f>IF(PDs!$E55="","",PDs!$E55&amp;IF(AND(PDs!AD55=1,PDs!M55/PDs!L55+PDs!O55/PDs!N55+PDs!Q55/PDs!P55+PDs!S55/PDs!R55+PDs!U55/PDs!T55&gt;1)," ("&amp;PDs!M55/PDs!L55+PDs!O55/PDs!N55+PDs!Q55/PDs!P55+PDs!S55/PDs!R55+PDs!U55/PDs!T55&amp;")",""))</f>
        <v/>
      </c>
      <c r="AC28" s="4141"/>
      <c r="AD28" s="4141"/>
      <c r="AE28" s="4141"/>
      <c r="AF28" s="4141"/>
      <c r="AG28" s="4142"/>
      <c r="AH28" s="4114" t="str">
        <f>IF(PDs!$V55=0,"",PDs!$V55)</f>
        <v/>
      </c>
      <c r="AI28" s="4114"/>
      <c r="AJ28" s="4114"/>
      <c r="AK28" s="4114"/>
      <c r="AL28" s="4114"/>
      <c r="AM28" s="4114"/>
      <c r="AN28" s="4114"/>
      <c r="AO28" s="4114"/>
      <c r="AP28" s="4114"/>
      <c r="AQ28" s="4114"/>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65" t="str">
        <f>IF(E28=0,"",VLOOKUP(E28,Tabla_ArmasyEscudos,9,FALSE))</f>
        <v/>
      </c>
      <c r="D29" s="4066"/>
      <c r="E29" s="2591" t="s">
        <v>1851</v>
      </c>
      <c r="F29" s="4067" t="s">
        <v>1852</v>
      </c>
      <c r="G29" s="4068"/>
      <c r="H29" s="4069">
        <f>IFERROR(INDEX(Tabla_Combate,11,LEFT(C27,LEN(C27)-1)),0)</f>
        <v>0</v>
      </c>
      <c r="I29" s="4070">
        <f>IFERROR(INDEX(Tabla_Combate,12,LEFT(C27,LEN(C27)-1)),0)</f>
        <v>0</v>
      </c>
      <c r="J29" s="4085">
        <f>IF(K29="-",0,IF(K29="Par",INDEX(Tabla_Combate,13,LEFT(C27,LEN(C27)-1)),INDEX(Tabla_Combate,14,LEFT(C27,LEN(C27)-1))))</f>
        <v>0</v>
      </c>
      <c r="K29" s="3629" t="str">
        <f>IFERROR(IF(INDEX(Tabla_Combate,13,LEFT(C27,LEN(C27)-1))&gt;INDEX(Tabla_Combate,14,LEFT(C27,LEN(C27)-1)),"Par","Esq"),"-")</f>
        <v>-</v>
      </c>
      <c r="L29" s="4063">
        <f>IFERROR(INDEX(Tabla_Combate,15,LEFT(C27,LEN(C27)-1)),0)</f>
        <v>0</v>
      </c>
      <c r="M29" s="977"/>
      <c r="N29" s="4065" t="str">
        <f>IF(P28=0,"",VLOOKUP(P28,Tabla_ArmasyEscudos,9,FALSE))</f>
        <v/>
      </c>
      <c r="O29" s="4066"/>
      <c r="P29" s="2591" t="s">
        <v>1851</v>
      </c>
      <c r="Q29" s="4067" t="s">
        <v>1852</v>
      </c>
      <c r="R29" s="4068"/>
      <c r="S29" s="4069">
        <f>IFERROR(INDEX(Tabla_Combate,11,LEFT(N27,LEN(N27)-1)),0)</f>
        <v>0</v>
      </c>
      <c r="T29" s="4070">
        <f>IFERROR(INDEX(Tabla_Combate,12,LEFT(N27,LEN(N27)-1)),0)</f>
        <v>0</v>
      </c>
      <c r="U29" s="4085">
        <f>IF(V29="-",0,IF(V29="Par",INDEX(Tabla_Combate,13,LEFT(N27,LEN(N27)-1)),INDEX(Tabla_Combate,14,LEFT(N27,LEN(N27)-1))))</f>
        <v>0</v>
      </c>
      <c r="V29" s="3629" t="str">
        <f>IFERROR(IF(INDEX(Tabla_Combate,13,LEFT(N27,LEN(N27)-1))&gt;INDEX(Tabla_Combate,14,LEFT(N27,LEN(N27)-1)),"Par","Esq"),"-")</f>
        <v>-</v>
      </c>
      <c r="W29" s="4063">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69"/>
      <c r="I30" s="4071"/>
      <c r="J30" s="4086"/>
      <c r="K30" s="4072"/>
      <c r="L30" s="4064"/>
      <c r="M30" s="977"/>
      <c r="N30" s="1420" t="s">
        <v>1843</v>
      </c>
      <c r="O30" s="2558" t="s">
        <v>1844</v>
      </c>
      <c r="P30" s="2558" t="s">
        <v>1832</v>
      </c>
      <c r="Q30" s="2558" t="s">
        <v>1845</v>
      </c>
      <c r="R30" s="2558" t="s">
        <v>1833</v>
      </c>
      <c r="S30" s="4069"/>
      <c r="T30" s="4071"/>
      <c r="U30" s="4086"/>
      <c r="V30" s="4072"/>
      <c r="W30" s="4064"/>
      <c r="X30" s="977"/>
      <c r="Y30" s="28"/>
      <c r="Z30" s="28"/>
      <c r="AA30" s="1508"/>
      <c r="AB30" s="4222" t="s">
        <v>1778</v>
      </c>
      <c r="AC30" s="4223"/>
      <c r="AD30" s="4223"/>
      <c r="AE30" s="4224"/>
      <c r="AF30" s="4225" t="s">
        <v>1824</v>
      </c>
      <c r="AG30" s="4226"/>
      <c r="AH30" s="4226"/>
      <c r="AI30" s="4226"/>
      <c r="AJ30" s="4226"/>
      <c r="AK30" s="4226"/>
      <c r="AL30" s="4226"/>
      <c r="AM30" s="4226"/>
      <c r="AN30" s="4226"/>
      <c r="AO30" s="4226"/>
      <c r="AP30" s="4227"/>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083" t="s">
        <v>9514</v>
      </c>
      <c r="I31" s="4084"/>
      <c r="J31" s="2100"/>
      <c r="K31" s="4061" t="s">
        <v>9164</v>
      </c>
      <c r="L31" s="4062"/>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083" t="s">
        <v>9514</v>
      </c>
      <c r="T31" s="4084"/>
      <c r="U31" s="2100"/>
      <c r="V31" s="4061" t="s">
        <v>9164</v>
      </c>
      <c r="W31" s="4062"/>
      <c r="X31" s="977"/>
      <c r="Y31" s="28"/>
      <c r="Z31" s="28"/>
      <c r="AA31" s="1508"/>
      <c r="AB31" s="4123" t="str">
        <f>IF(PDs!$AD56=0,"",PDs!$AD56)</f>
        <v/>
      </c>
      <c r="AC31" s="4124"/>
      <c r="AD31" s="4124"/>
      <c r="AE31" s="4124"/>
      <c r="AF31" s="4108" t="str">
        <f t="shared" ref="AF31:AF49" si="10">IFERROR(VLOOKUP(AB31,Tabla_ArtesMarciales,9,FALSE),"")</f>
        <v/>
      </c>
      <c r="AG31" s="4109"/>
      <c r="AH31" s="4109"/>
      <c r="AI31" s="4109"/>
      <c r="AJ31" s="4109"/>
      <c r="AK31" s="4109"/>
      <c r="AL31" s="4109"/>
      <c r="AM31" s="4109"/>
      <c r="AN31" s="4109"/>
      <c r="AO31" s="4109"/>
      <c r="AP31" s="4110"/>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00" t="str">
        <f>IF(E28=0,"",IF(VLOOKUP(E28,Tabla_ArmasyEscudos,17,FALSE)&lt;&gt;"-",D33,C33))</f>
        <v/>
      </c>
      <c r="D32" s="4101"/>
      <c r="E32" s="4101"/>
      <c r="F32" s="4101"/>
      <c r="G32" s="4101"/>
      <c r="H32" s="4101"/>
      <c r="I32" s="2049"/>
      <c r="J32" s="2050" t="str">
        <f>IF(F29=0,IF(J31&lt;=0,"","TA defensor: -"&amp;J31/5),IF(Tamaño&lt;VLOOKUP(F29,Tabla_ArmasEnormes,2,FALSE),"Tam. excesivo",IF(J31&lt;=0,"","TA defensor: -"&amp;J31/5)))</f>
        <v/>
      </c>
      <c r="K32" s="4076" t="s">
        <v>1654</v>
      </c>
      <c r="L32" s="4077"/>
      <c r="M32" s="977"/>
      <c r="N32" s="4100" t="str">
        <f>IF(P28=0,"",IF(VLOOKUP(P28,Tabla_ArmasyEscudos,17,FALSE)&lt;&gt;"-",O33,N33))</f>
        <v/>
      </c>
      <c r="O32" s="4101"/>
      <c r="P32" s="4101"/>
      <c r="Q32" s="4101"/>
      <c r="R32" s="4101"/>
      <c r="S32" s="4101"/>
      <c r="T32" s="2049"/>
      <c r="U32" s="2050" t="str">
        <f>IF(Q29=0,IF(U31&lt;=0,"","TA defensor: -"&amp;U31/5),IF(Tamaño&lt;VLOOKUP(Q29,Tabla_ArmasEnormes,2,FALSE),"Tam. excesivo",IF(U31&lt;=0,"","TA defensor: -"&amp;U31/5)))</f>
        <v/>
      </c>
      <c r="V32" s="4076" t="s">
        <v>1654</v>
      </c>
      <c r="W32" s="4077"/>
      <c r="X32" s="977"/>
      <c r="Y32" s="28"/>
      <c r="Z32" s="28"/>
      <c r="AA32" s="1508"/>
      <c r="AB32" s="4231" t="str">
        <f>IF(PDs!$AD57=0,"",PDs!$AD57)</f>
        <v/>
      </c>
      <c r="AC32" s="4109"/>
      <c r="AD32" s="4109"/>
      <c r="AE32" s="4109"/>
      <c r="AF32" s="4108" t="str">
        <f t="shared" si="10"/>
        <v/>
      </c>
      <c r="AG32" s="4109"/>
      <c r="AH32" s="4109"/>
      <c r="AI32" s="4109"/>
      <c r="AJ32" s="4109"/>
      <c r="AK32" s="4109"/>
      <c r="AL32" s="4109"/>
      <c r="AM32" s="4109"/>
      <c r="AN32" s="4109"/>
      <c r="AO32" s="4109"/>
      <c r="AP32" s="4110"/>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31" t="str">
        <f>IF(PDs!$AD58=0,"",PDs!$AD58)</f>
        <v/>
      </c>
      <c r="AC33" s="4109"/>
      <c r="AD33" s="4109"/>
      <c r="AE33" s="4109"/>
      <c r="AF33" s="4108" t="str">
        <f t="shared" si="10"/>
        <v/>
      </c>
      <c r="AG33" s="4109"/>
      <c r="AH33" s="4109"/>
      <c r="AI33" s="4109"/>
      <c r="AJ33" s="4109"/>
      <c r="AK33" s="4109"/>
      <c r="AL33" s="4109"/>
      <c r="AM33" s="4109"/>
      <c r="AN33" s="4109"/>
      <c r="AO33" s="4109"/>
      <c r="AP33" s="4110"/>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4231" t="str">
        <f>IF(PDs!$AD59=0,"",PDs!$AD59)</f>
        <v/>
      </c>
      <c r="AC34" s="4109"/>
      <c r="AD34" s="4109"/>
      <c r="AE34" s="4109"/>
      <c r="AF34" s="4108" t="str">
        <f t="shared" si="10"/>
        <v/>
      </c>
      <c r="AG34" s="4109"/>
      <c r="AH34" s="4109"/>
      <c r="AI34" s="4109"/>
      <c r="AJ34" s="4109"/>
      <c r="AK34" s="4109"/>
      <c r="AL34" s="4109"/>
      <c r="AM34" s="4109"/>
      <c r="AN34" s="4109"/>
      <c r="AO34" s="4109"/>
      <c r="AP34" s="4110"/>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87" t="s">
        <v>9512</v>
      </c>
      <c r="D35" s="4088"/>
      <c r="E35" s="4097"/>
      <c r="F35" s="4098"/>
      <c r="G35" s="4099"/>
      <c r="H35" s="2587" t="s">
        <v>1666</v>
      </c>
      <c r="I35" s="2588" t="s">
        <v>1839</v>
      </c>
      <c r="J35" s="4092" t="s">
        <v>1840</v>
      </c>
      <c r="K35" s="4092"/>
      <c r="L35" s="2589" t="s">
        <v>1841</v>
      </c>
      <c r="M35" s="2092" t="str">
        <f>IF(C35=INDEX(Lista_ManosArma,2),Lista_A2Manos,Lista_A1Mano)</f>
        <v>Tablas!$AB$632:$AB$744</v>
      </c>
      <c r="N35" s="4087" t="s">
        <v>9512</v>
      </c>
      <c r="O35" s="4088"/>
      <c r="P35" s="4102"/>
      <c r="Q35" s="4102"/>
      <c r="R35" s="4103"/>
      <c r="S35" s="2587" t="s">
        <v>1666</v>
      </c>
      <c r="T35" s="2588" t="s">
        <v>1839</v>
      </c>
      <c r="U35" s="4092" t="s">
        <v>1840</v>
      </c>
      <c r="V35" s="4092"/>
      <c r="W35" s="2589" t="s">
        <v>1841</v>
      </c>
      <c r="X35" s="2092" t="str">
        <f>IF(N35=INDEX(Lista_ManosArma,2),Lista_A2Manos,Lista_A1Mano)</f>
        <v>Tablas!$AB$632:$AB$744</v>
      </c>
      <c r="Y35" s="28"/>
      <c r="Z35" s="28"/>
      <c r="AA35" s="1508"/>
      <c r="AB35" s="4231" t="str">
        <f>IF(PDs!$AD60=0,"",PDs!$AD60)</f>
        <v/>
      </c>
      <c r="AC35" s="4109"/>
      <c r="AD35" s="4109"/>
      <c r="AE35" s="4109"/>
      <c r="AF35" s="4108" t="str">
        <f t="shared" si="10"/>
        <v/>
      </c>
      <c r="AG35" s="4109"/>
      <c r="AH35" s="4109"/>
      <c r="AI35" s="4109"/>
      <c r="AJ35" s="4109"/>
      <c r="AK35" s="4109"/>
      <c r="AL35" s="4109"/>
      <c r="AM35" s="4109"/>
      <c r="AN35" s="4109"/>
      <c r="AO35" s="4109"/>
      <c r="AP35" s="4110"/>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65" t="str">
        <f>IF(E35=0,"",VLOOKUP(E35,Tabla_ArmasyEscudos,9,FALSE))</f>
        <v/>
      </c>
      <c r="D36" s="4066"/>
      <c r="E36" s="2591" t="s">
        <v>1851</v>
      </c>
      <c r="F36" s="4067" t="s">
        <v>1852</v>
      </c>
      <c r="G36" s="4068"/>
      <c r="H36" s="4069">
        <f>IFERROR(INDEX(Tabla_Combate,11,LEFT(C34,LEN(C34)-1)),0)</f>
        <v>0</v>
      </c>
      <c r="I36" s="4070">
        <f>IFERROR(INDEX(Tabla_Combate,12,LEFT(C34,LEN(C34)-1)),0)</f>
        <v>0</v>
      </c>
      <c r="J36" s="4085">
        <f>IF(K36="-",0,IF(K36="Par",INDEX(Tabla_Combate,13,LEFT(C34,LEN(C34)-1)),INDEX(Tabla_Combate,14,LEFT(C34,LEN(C34)-1))))</f>
        <v>0</v>
      </c>
      <c r="K36" s="3629" t="str">
        <f>IFERROR(IF(INDEX(Tabla_Combate,13,LEFT(C34,LEN(C34)-1))&gt;INDEX(Tabla_Combate,14,LEFT(C34,LEN(C34)-1)),"Par","Esq"),"-")</f>
        <v>-</v>
      </c>
      <c r="L36" s="4063">
        <f>IFERROR(INDEX(Tabla_Combate,15,LEFT(C34,LEN(C34)-1)),0)</f>
        <v>0</v>
      </c>
      <c r="M36" s="977"/>
      <c r="N36" s="4065" t="str">
        <f>IF(P35=0,"",VLOOKUP(P35,Tabla_ArmasyEscudos,9,FALSE))</f>
        <v/>
      </c>
      <c r="O36" s="4066"/>
      <c r="P36" s="2591" t="s">
        <v>1851</v>
      </c>
      <c r="Q36" s="4067" t="s">
        <v>1852</v>
      </c>
      <c r="R36" s="4068"/>
      <c r="S36" s="4069">
        <f>IFERROR(INDEX(Tabla_Combate,11,LEFT(N34,LEN(N34)-1)),0)</f>
        <v>0</v>
      </c>
      <c r="T36" s="4070">
        <f>IFERROR(INDEX(Tabla_Combate,12,LEFT(N34,LEN(N34)-1)),0)</f>
        <v>0</v>
      </c>
      <c r="U36" s="4085">
        <f>IF(V36="-",0,IF(V36="Par",INDEX(Tabla_Combate,13,LEFT(N34,LEN(N34)-1)),INDEX(Tabla_Combate,14,LEFT(N34,LEN(N34)-1))))</f>
        <v>0</v>
      </c>
      <c r="V36" s="3629" t="str">
        <f>IFERROR(IF(INDEX(Tabla_Combate,13,LEFT(N34,LEN(N34)-1))&gt;INDEX(Tabla_Combate,14,LEFT(N34,LEN(N34)-1)),"Par","Esq"),"-")</f>
        <v>-</v>
      </c>
      <c r="W36" s="4063">
        <f>IFERROR(INDEX(Tabla_Combate,15,LEFT(N34,LEN(N34)-1)),0)</f>
        <v>0</v>
      </c>
      <c r="X36" s="977"/>
      <c r="Y36" s="28"/>
      <c r="Z36" s="28"/>
      <c r="AA36" s="1508"/>
      <c r="AB36" s="4231" t="str">
        <f>IF(PDs!$AD61=0,"",PDs!$AD61)</f>
        <v/>
      </c>
      <c r="AC36" s="4109"/>
      <c r="AD36" s="4109"/>
      <c r="AE36" s="4109"/>
      <c r="AF36" s="4108" t="str">
        <f t="shared" si="10"/>
        <v/>
      </c>
      <c r="AG36" s="4109"/>
      <c r="AH36" s="4109"/>
      <c r="AI36" s="4109"/>
      <c r="AJ36" s="4109"/>
      <c r="AK36" s="4109"/>
      <c r="AL36" s="4109"/>
      <c r="AM36" s="4109"/>
      <c r="AN36" s="4109"/>
      <c r="AO36" s="4109"/>
      <c r="AP36" s="4110"/>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69"/>
      <c r="I37" s="4071"/>
      <c r="J37" s="4086"/>
      <c r="K37" s="4072"/>
      <c r="L37" s="4064"/>
      <c r="M37" s="977"/>
      <c r="N37" s="1420" t="s">
        <v>1843</v>
      </c>
      <c r="O37" s="2558" t="s">
        <v>1844</v>
      </c>
      <c r="P37" s="2558" t="s">
        <v>1832</v>
      </c>
      <c r="Q37" s="2558" t="s">
        <v>1845</v>
      </c>
      <c r="R37" s="2558" t="s">
        <v>1833</v>
      </c>
      <c r="S37" s="4069"/>
      <c r="T37" s="4071"/>
      <c r="U37" s="4086"/>
      <c r="V37" s="4072"/>
      <c r="W37" s="4064"/>
      <c r="X37" s="977"/>
      <c r="Y37" s="28"/>
      <c r="Z37" s="28"/>
      <c r="AA37" s="1508"/>
      <c r="AB37" s="4104" t="str">
        <f>IF(PDs!$AD62=0,"",PDs!$AD62)</f>
        <v/>
      </c>
      <c r="AC37" s="4105"/>
      <c r="AD37" s="4105"/>
      <c r="AE37" s="4105"/>
      <c r="AF37" s="4108" t="str">
        <f t="shared" si="10"/>
        <v/>
      </c>
      <c r="AG37" s="4109"/>
      <c r="AH37" s="4109"/>
      <c r="AI37" s="4109"/>
      <c r="AJ37" s="4109"/>
      <c r="AK37" s="4109"/>
      <c r="AL37" s="4109"/>
      <c r="AM37" s="4109"/>
      <c r="AN37" s="4109"/>
      <c r="AO37" s="4109"/>
      <c r="AP37" s="4110"/>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83" t="s">
        <v>9514</v>
      </c>
      <c r="I38" s="4084"/>
      <c r="J38" s="2100"/>
      <c r="K38" s="4061" t="s">
        <v>9164</v>
      </c>
      <c r="L38" s="4062"/>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83" t="s">
        <v>9514</v>
      </c>
      <c r="T38" s="4084"/>
      <c r="U38" s="2100"/>
      <c r="V38" s="4061" t="s">
        <v>9164</v>
      </c>
      <c r="W38" s="4062"/>
      <c r="X38" s="977"/>
      <c r="Y38" s="28"/>
      <c r="Z38" s="28"/>
      <c r="AA38" s="1508"/>
      <c r="AB38" s="4104" t="str">
        <f>IF(PDs!$AD63=0,"",PDs!$AD63)</f>
        <v/>
      </c>
      <c r="AC38" s="4105"/>
      <c r="AD38" s="4105"/>
      <c r="AE38" s="4105"/>
      <c r="AF38" s="4108" t="str">
        <f t="shared" si="10"/>
        <v/>
      </c>
      <c r="AG38" s="4109"/>
      <c r="AH38" s="4109"/>
      <c r="AI38" s="4109"/>
      <c r="AJ38" s="4109"/>
      <c r="AK38" s="4109"/>
      <c r="AL38" s="4109"/>
      <c r="AM38" s="4109"/>
      <c r="AN38" s="4109"/>
      <c r="AO38" s="4109"/>
      <c r="AP38" s="4110"/>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00" t="str">
        <f>IF(E35=0,"",IF(VLOOKUP(E35,Tabla_ArmasyEscudos,17,FALSE)&lt;&gt;"-",D40,C40))</f>
        <v/>
      </c>
      <c r="D39" s="4101"/>
      <c r="E39" s="4101"/>
      <c r="F39" s="4101"/>
      <c r="G39" s="4101"/>
      <c r="H39" s="4101"/>
      <c r="I39" s="2049"/>
      <c r="J39" s="2050" t="str">
        <f>IF(F36=0,IF(J38&lt;=0,"","TA defensor: -"&amp;J38/5),IF(Tamaño&lt;VLOOKUP(F36,Tabla_ArmasEnormes,2,FALSE),"Tam. excesivo",IF(J38&lt;=0,"","TA defensor: -"&amp;J38/5)))</f>
        <v/>
      </c>
      <c r="K39" s="4076" t="s">
        <v>1654</v>
      </c>
      <c r="L39" s="4077"/>
      <c r="M39" s="977"/>
      <c r="N39" s="4100" t="str">
        <f>IF(P35=0,"",IF(VLOOKUP(P35,Tabla_ArmasyEscudos,17,FALSE)&lt;&gt;"-",O40,N40))</f>
        <v/>
      </c>
      <c r="O39" s="4101"/>
      <c r="P39" s="4101"/>
      <c r="Q39" s="4101"/>
      <c r="R39" s="4101"/>
      <c r="S39" s="4101"/>
      <c r="T39" s="2049"/>
      <c r="U39" s="2050" t="str">
        <f>IF(Q36=0,IF(U38&lt;=0,"","TA defensor: -"&amp;U38/5),IF(Tamaño&lt;VLOOKUP(Q36,Tabla_ArmasEnormes,2,FALSE),"Tam. excesivo",IF(U38&lt;=0,"","TA defensor: -"&amp;U38/5)))</f>
        <v/>
      </c>
      <c r="V39" s="4076" t="s">
        <v>1654</v>
      </c>
      <c r="W39" s="4077"/>
      <c r="X39" s="977"/>
      <c r="Y39" s="28"/>
      <c r="Z39" s="28"/>
      <c r="AA39" s="1508"/>
      <c r="AB39" s="4104" t="str">
        <f>IF(PDs!$AD64=0,"",PDs!$AD64)</f>
        <v/>
      </c>
      <c r="AC39" s="4105"/>
      <c r="AD39" s="4105"/>
      <c r="AE39" s="4105"/>
      <c r="AF39" s="4108" t="str">
        <f t="shared" si="10"/>
        <v/>
      </c>
      <c r="AG39" s="4109"/>
      <c r="AH39" s="4109"/>
      <c r="AI39" s="4109"/>
      <c r="AJ39" s="4109"/>
      <c r="AK39" s="4109"/>
      <c r="AL39" s="4109"/>
      <c r="AM39" s="4109"/>
      <c r="AN39" s="4109"/>
      <c r="AO39" s="4109"/>
      <c r="AP39" s="4110"/>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04" t="str">
        <f>IF(PDs!$AD65=0,"",PDs!$AD65)</f>
        <v/>
      </c>
      <c r="AC40" s="4105"/>
      <c r="AD40" s="4105"/>
      <c r="AE40" s="4105"/>
      <c r="AF40" s="4108" t="str">
        <f t="shared" si="10"/>
        <v/>
      </c>
      <c r="AG40" s="4109"/>
      <c r="AH40" s="4109"/>
      <c r="AI40" s="4109"/>
      <c r="AJ40" s="4109"/>
      <c r="AK40" s="4109"/>
      <c r="AL40" s="4109"/>
      <c r="AM40" s="4109"/>
      <c r="AN40" s="4109"/>
      <c r="AO40" s="4109"/>
      <c r="AP40" s="4110"/>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4104" t="str">
        <f>IF(PDs!$AD66=0,"",PDs!$AD66)</f>
        <v/>
      </c>
      <c r="AC41" s="4105"/>
      <c r="AD41" s="4105"/>
      <c r="AE41" s="4105"/>
      <c r="AF41" s="4108" t="str">
        <f t="shared" si="10"/>
        <v/>
      </c>
      <c r="AG41" s="4109"/>
      <c r="AH41" s="4109"/>
      <c r="AI41" s="4109"/>
      <c r="AJ41" s="4109"/>
      <c r="AK41" s="4109"/>
      <c r="AL41" s="4109"/>
      <c r="AM41" s="4109"/>
      <c r="AN41" s="4109"/>
      <c r="AO41" s="4109"/>
      <c r="AP41" s="4110"/>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87" t="s">
        <v>9512</v>
      </c>
      <c r="D42" s="4088"/>
      <c r="E42" s="4097"/>
      <c r="F42" s="4098"/>
      <c r="G42" s="4099"/>
      <c r="H42" s="2587" t="s">
        <v>1666</v>
      </c>
      <c r="I42" s="2588" t="s">
        <v>1839</v>
      </c>
      <c r="J42" s="4092" t="s">
        <v>1840</v>
      </c>
      <c r="K42" s="4092"/>
      <c r="L42" s="2589" t="s">
        <v>1841</v>
      </c>
      <c r="M42" s="2092" t="str">
        <f>IF(C42=INDEX(Lista_ManosArma,2),Lista_A2Manos,Lista_A1Mano)</f>
        <v>Tablas!$AB$632:$AB$744</v>
      </c>
      <c r="N42" s="4087" t="s">
        <v>9512</v>
      </c>
      <c r="O42" s="4088"/>
      <c r="P42" s="4102"/>
      <c r="Q42" s="4102"/>
      <c r="R42" s="4103"/>
      <c r="S42" s="2587" t="s">
        <v>1666</v>
      </c>
      <c r="T42" s="2588" t="s">
        <v>1839</v>
      </c>
      <c r="U42" s="4092" t="s">
        <v>1840</v>
      </c>
      <c r="V42" s="4092"/>
      <c r="W42" s="2589" t="s">
        <v>1841</v>
      </c>
      <c r="X42" s="2092" t="str">
        <f>IF(N42=INDEX(Lista_ManosArma,2),Lista_A2Manos,Lista_A1Mano)</f>
        <v>Tablas!$AB$632:$AB$744</v>
      </c>
      <c r="Y42" s="28"/>
      <c r="Z42" s="28"/>
      <c r="AA42" s="1508"/>
      <c r="AB42" s="4104" t="str">
        <f>IF(PDs!$AD67=0,"",PDs!$AD67)</f>
        <v/>
      </c>
      <c r="AC42" s="4105"/>
      <c r="AD42" s="4105"/>
      <c r="AE42" s="4105"/>
      <c r="AF42" s="4108" t="str">
        <f t="shared" si="10"/>
        <v/>
      </c>
      <c r="AG42" s="4109"/>
      <c r="AH42" s="4109"/>
      <c r="AI42" s="4109"/>
      <c r="AJ42" s="4109"/>
      <c r="AK42" s="4109"/>
      <c r="AL42" s="4109"/>
      <c r="AM42" s="4109"/>
      <c r="AN42" s="4109"/>
      <c r="AO42" s="4109"/>
      <c r="AP42" s="4110"/>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65" t="str">
        <f>IF(E42=0,"",VLOOKUP(E42,Tabla_ArmasyEscudos,9,FALSE))</f>
        <v/>
      </c>
      <c r="D43" s="4066"/>
      <c r="E43" s="2591" t="s">
        <v>1851</v>
      </c>
      <c r="F43" s="4067" t="s">
        <v>1852</v>
      </c>
      <c r="G43" s="4068"/>
      <c r="H43" s="4069">
        <f>IFERROR(INDEX(Tabla_Combate,11,LEFT(C41,LEN(C41)-1)),0)</f>
        <v>0</v>
      </c>
      <c r="I43" s="4070">
        <f>IFERROR(INDEX(Tabla_Combate,12,LEFT(C41,LEN(C41)-1)),0)</f>
        <v>0</v>
      </c>
      <c r="J43" s="4085">
        <f>IF(K43="-",0,IF(K43="Par",INDEX(Tabla_Combate,13,LEFT(C41,LEN(C41)-1)),INDEX(Tabla_Combate,14,LEFT(C41,LEN(C41)-1))))</f>
        <v>0</v>
      </c>
      <c r="K43" s="3629" t="str">
        <f>IFERROR(IF(INDEX(Tabla_Combate,13,LEFT(C41,LEN(C41)-1))&gt;INDEX(Tabla_Combate,14,LEFT(C41,LEN(C41)-1)),"Par","Esq"),"-")</f>
        <v>-</v>
      </c>
      <c r="L43" s="4063">
        <f>IFERROR(INDEX(Tabla_Combate,15,LEFT(C41,LEN(C41)-1)),0)</f>
        <v>0</v>
      </c>
      <c r="M43" s="977"/>
      <c r="N43" s="4065" t="str">
        <f>IF(P42=0,"",VLOOKUP(P42,Tabla_ArmasyEscudos,9,FALSE))</f>
        <v/>
      </c>
      <c r="O43" s="4066"/>
      <c r="P43" s="2591" t="s">
        <v>1851</v>
      </c>
      <c r="Q43" s="4067" t="s">
        <v>1852</v>
      </c>
      <c r="R43" s="4068"/>
      <c r="S43" s="4069">
        <f>IFERROR(INDEX(Tabla_Combate,11,LEFT(N41,LEN(N41)-1)),0)</f>
        <v>0</v>
      </c>
      <c r="T43" s="4070">
        <f>IFERROR(INDEX(Tabla_Combate,12,LEFT(N41,LEN(N41)-1)),0)</f>
        <v>0</v>
      </c>
      <c r="U43" s="4085">
        <f>IF(V43="-",0,IF(V43="Par",INDEX(Tabla_Combate,13,LEFT(N41,LEN(N41)-1)),INDEX(Tabla_Combate,14,LEFT(N41,LEN(N41)-1))))</f>
        <v>0</v>
      </c>
      <c r="V43" s="3629" t="str">
        <f>IFERROR(IF(INDEX(Tabla_Combate,13,LEFT(N41,LEN(N41)-1))&gt;INDEX(Tabla_Combate,14,LEFT(N41,LEN(N41)-1)),"Par","Esq"),"-")</f>
        <v>-</v>
      </c>
      <c r="W43" s="4063">
        <f>IFERROR(INDEX(Tabla_Combate,15,LEFT(N41,LEN(N41)-1)),0)</f>
        <v>0</v>
      </c>
      <c r="X43" s="977"/>
      <c r="Y43" s="28"/>
      <c r="Z43" s="28"/>
      <c r="AA43" s="1508"/>
      <c r="AB43" s="4104" t="str">
        <f>IF(PDs!$AD68=0,"",PDs!$AD68)</f>
        <v/>
      </c>
      <c r="AC43" s="4105"/>
      <c r="AD43" s="4105"/>
      <c r="AE43" s="4105"/>
      <c r="AF43" s="4108" t="str">
        <f t="shared" si="10"/>
        <v/>
      </c>
      <c r="AG43" s="4109"/>
      <c r="AH43" s="4109"/>
      <c r="AI43" s="4109"/>
      <c r="AJ43" s="4109"/>
      <c r="AK43" s="4109"/>
      <c r="AL43" s="4109"/>
      <c r="AM43" s="4109"/>
      <c r="AN43" s="4109"/>
      <c r="AO43" s="4109"/>
      <c r="AP43" s="4110"/>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69"/>
      <c r="I44" s="4071"/>
      <c r="J44" s="4086"/>
      <c r="K44" s="4072"/>
      <c r="L44" s="4064"/>
      <c r="M44" s="977"/>
      <c r="N44" s="1420" t="s">
        <v>1843</v>
      </c>
      <c r="O44" s="2558" t="s">
        <v>1844</v>
      </c>
      <c r="P44" s="2558" t="s">
        <v>1832</v>
      </c>
      <c r="Q44" s="2558" t="s">
        <v>1845</v>
      </c>
      <c r="R44" s="2558" t="s">
        <v>1833</v>
      </c>
      <c r="S44" s="4069"/>
      <c r="T44" s="4071"/>
      <c r="U44" s="4086"/>
      <c r="V44" s="4072"/>
      <c r="W44" s="4064"/>
      <c r="X44" s="977"/>
      <c r="Y44" s="28"/>
      <c r="Z44" s="28"/>
      <c r="AA44" s="1508"/>
      <c r="AB44" s="4104" t="str">
        <f>IF(PDs!$AD69=0,"",PDs!$AD69)</f>
        <v/>
      </c>
      <c r="AC44" s="4105"/>
      <c r="AD44" s="4105"/>
      <c r="AE44" s="4105"/>
      <c r="AF44" s="4108" t="str">
        <f t="shared" si="10"/>
        <v/>
      </c>
      <c r="AG44" s="4109"/>
      <c r="AH44" s="4109"/>
      <c r="AI44" s="4109"/>
      <c r="AJ44" s="4109"/>
      <c r="AK44" s="4109"/>
      <c r="AL44" s="4109"/>
      <c r="AM44" s="4109"/>
      <c r="AN44" s="4109"/>
      <c r="AO44" s="4109"/>
      <c r="AP44" s="4110"/>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83" t="s">
        <v>9514</v>
      </c>
      <c r="I45" s="4084"/>
      <c r="J45" s="2100"/>
      <c r="K45" s="4061" t="s">
        <v>9164</v>
      </c>
      <c r="L45" s="4062"/>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83" t="s">
        <v>9514</v>
      </c>
      <c r="T45" s="4084"/>
      <c r="U45" s="2100"/>
      <c r="V45" s="4061" t="s">
        <v>9164</v>
      </c>
      <c r="W45" s="4062"/>
      <c r="X45" s="977"/>
      <c r="Y45" s="28"/>
      <c r="Z45" s="28"/>
      <c r="AA45" s="1508"/>
      <c r="AB45" s="4104" t="str">
        <f>IF(PDs!$AD70=0,"",PDs!$AD70)</f>
        <v/>
      </c>
      <c r="AC45" s="4105"/>
      <c r="AD45" s="4105"/>
      <c r="AE45" s="4105"/>
      <c r="AF45" s="4108" t="str">
        <f t="shared" si="10"/>
        <v/>
      </c>
      <c r="AG45" s="4109"/>
      <c r="AH45" s="4109"/>
      <c r="AI45" s="4109"/>
      <c r="AJ45" s="4109"/>
      <c r="AK45" s="4109"/>
      <c r="AL45" s="4109"/>
      <c r="AM45" s="4109"/>
      <c r="AN45" s="4109"/>
      <c r="AO45" s="4109"/>
      <c r="AP45" s="4110"/>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00" t="str">
        <f>IF(E42=0,"",IF(VLOOKUP(E42,Tabla_ArmasyEscudos,17,FALSE)&lt;&gt;"-",D47,C47))</f>
        <v/>
      </c>
      <c r="D46" s="4101"/>
      <c r="E46" s="4101"/>
      <c r="F46" s="4101"/>
      <c r="G46" s="4101"/>
      <c r="H46" s="4101"/>
      <c r="I46" s="2049"/>
      <c r="J46" s="2050" t="str">
        <f>IF(F43=0,IF(J45&lt;=0,"","TA defensor: -"&amp;J45/5),IF(Tamaño&lt;VLOOKUP(F43,Tabla_ArmasEnormes,2,FALSE),"Tam. excesivo",IF(J45&lt;=0,"","TA defensor: -"&amp;J45/5)))</f>
        <v/>
      </c>
      <c r="K46" s="4076" t="s">
        <v>1654</v>
      </c>
      <c r="L46" s="4077"/>
      <c r="M46" s="977"/>
      <c r="N46" s="4100" t="str">
        <f>IF(P42=0,"",IF(VLOOKUP(P42,Tabla_ArmasyEscudos,17,FALSE)&lt;&gt;"-",O47,N47))</f>
        <v/>
      </c>
      <c r="O46" s="4101"/>
      <c r="P46" s="4101"/>
      <c r="Q46" s="4101"/>
      <c r="R46" s="4101"/>
      <c r="S46" s="4101"/>
      <c r="T46" s="2049"/>
      <c r="U46" s="2050" t="str">
        <f>IF(Q43=0,IF(U45&lt;=0,"","TA defensor: -"&amp;U45/5),IF(Tamaño&lt;VLOOKUP(Q43,Tabla_ArmasEnormes,2,FALSE),"Tam. excesivo",IF(U45&lt;=0,"","TA defensor: -"&amp;U45/5)))</f>
        <v/>
      </c>
      <c r="V46" s="4076" t="s">
        <v>1654</v>
      </c>
      <c r="W46" s="4077"/>
      <c r="X46" s="977"/>
      <c r="Y46" s="28"/>
      <c r="Z46" s="28"/>
      <c r="AA46" s="1508"/>
      <c r="AB46" s="4104" t="str">
        <f>IF(PDs!$AD71=0,"",PDs!$AD71)</f>
        <v/>
      </c>
      <c r="AC46" s="4105"/>
      <c r="AD46" s="4105"/>
      <c r="AE46" s="4105"/>
      <c r="AF46" s="4108" t="str">
        <f t="shared" si="10"/>
        <v/>
      </c>
      <c r="AG46" s="4109"/>
      <c r="AH46" s="4109"/>
      <c r="AI46" s="4109"/>
      <c r="AJ46" s="4109"/>
      <c r="AK46" s="4109"/>
      <c r="AL46" s="4109"/>
      <c r="AM46" s="4109"/>
      <c r="AN46" s="4109"/>
      <c r="AO46" s="4109"/>
      <c r="AP46" s="4110"/>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04" t="str">
        <f>IF(PDs!$AD72=0,"",PDs!$AD72)</f>
        <v/>
      </c>
      <c r="AC47" s="4105"/>
      <c r="AD47" s="4105"/>
      <c r="AE47" s="4105"/>
      <c r="AF47" s="4108" t="str">
        <f t="shared" si="10"/>
        <v/>
      </c>
      <c r="AG47" s="4109"/>
      <c r="AH47" s="4109"/>
      <c r="AI47" s="4109"/>
      <c r="AJ47" s="4109"/>
      <c r="AK47" s="4109"/>
      <c r="AL47" s="4109"/>
      <c r="AM47" s="4109"/>
      <c r="AN47" s="4109"/>
      <c r="AO47" s="4109"/>
      <c r="AP47" s="4110"/>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4104" t="str">
        <f>IF(PDs!$AD73=0,"",PDs!$AD73)</f>
        <v/>
      </c>
      <c r="AC48" s="4105"/>
      <c r="AD48" s="4105"/>
      <c r="AE48" s="4105"/>
      <c r="AF48" s="4108" t="str">
        <f t="shared" si="10"/>
        <v/>
      </c>
      <c r="AG48" s="4109"/>
      <c r="AH48" s="4109"/>
      <c r="AI48" s="4109"/>
      <c r="AJ48" s="4109"/>
      <c r="AK48" s="4109"/>
      <c r="AL48" s="4109"/>
      <c r="AM48" s="4109"/>
      <c r="AN48" s="4109"/>
      <c r="AO48" s="4109"/>
      <c r="AP48" s="4110"/>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87" t="s">
        <v>9512</v>
      </c>
      <c r="D49" s="4088"/>
      <c r="E49" s="4089"/>
      <c r="F49" s="4090"/>
      <c r="G49" s="4091"/>
      <c r="H49" s="2587" t="s">
        <v>1666</v>
      </c>
      <c r="I49" s="2588" t="s">
        <v>1839</v>
      </c>
      <c r="J49" s="4092" t="s">
        <v>1840</v>
      </c>
      <c r="K49" s="4092"/>
      <c r="L49" s="2589" t="s">
        <v>1841</v>
      </c>
      <c r="M49" s="2092" t="str">
        <f>IF(C49=INDEX(Lista_ManosArma,2),Lista_ProyA2manos,Lista_ProyA1Mano)</f>
        <v>Tablas!$AD$635:$AD$648</v>
      </c>
      <c r="N49" s="4087" t="s">
        <v>9513</v>
      </c>
      <c r="O49" s="4088"/>
      <c r="P49" s="4102"/>
      <c r="Q49" s="4102"/>
      <c r="R49" s="4103"/>
      <c r="S49" s="2587" t="s">
        <v>1666</v>
      </c>
      <c r="T49" s="2588" t="s">
        <v>1839</v>
      </c>
      <c r="U49" s="4092" t="s">
        <v>1840</v>
      </c>
      <c r="V49" s="4092"/>
      <c r="W49" s="2589" t="s">
        <v>1841</v>
      </c>
      <c r="X49" s="2092" t="str">
        <f>IF(N49=INDEX(Lista_ManosArma,2),Lista_ProyA2manos,Lista_ProyA1Mano)</f>
        <v>Tablas!$AE$635:$AE$651</v>
      </c>
      <c r="Y49" s="28"/>
      <c r="Z49" s="28"/>
      <c r="AA49" s="1508"/>
      <c r="AB49" s="4106" t="str">
        <f>IF(PDs!$AD74=0,"",PDs!$AD74)</f>
        <v/>
      </c>
      <c r="AC49" s="4107"/>
      <c r="AD49" s="4107"/>
      <c r="AE49" s="4107"/>
      <c r="AF49" s="4111" t="str">
        <f t="shared" si="10"/>
        <v/>
      </c>
      <c r="AG49" s="4112"/>
      <c r="AH49" s="4112"/>
      <c r="AI49" s="4112"/>
      <c r="AJ49" s="4112"/>
      <c r="AK49" s="4112"/>
      <c r="AL49" s="4112"/>
      <c r="AM49" s="4112"/>
      <c r="AN49" s="4112"/>
      <c r="AO49" s="4112"/>
      <c r="AP49" s="4113"/>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93" t="s">
        <v>1855</v>
      </c>
      <c r="D50" s="4094"/>
      <c r="E50" s="4095"/>
      <c r="F50" s="4095"/>
      <c r="G50" s="4096"/>
      <c r="H50" s="4069">
        <f>IFERROR(INDEX(Tabla_Combate,11,LEFT(C48,LEN(C48)-1)),0)</f>
        <v>0</v>
      </c>
      <c r="I50" s="4070">
        <f>IFERROR(INDEX(Tabla_Combate,12,LEFT(C48,LEN(C48)-1)),0)</f>
        <v>0</v>
      </c>
      <c r="J50" s="4085">
        <f>IF(K50="-",0,IF(K50="Par",INDEX(Tabla_Combate,13,LEFT(C48,LEN(C48)-1)),INDEX(Tabla_Combate,14,LEFT(C48,LEN(C48)-1))))</f>
        <v>0</v>
      </c>
      <c r="K50" s="3629" t="str">
        <f>IFERROR(IF(INDEX(Tabla_Combate,13,LEFT(C48,LEN(C48)-1))&gt;INDEX(Tabla_Combate,14,LEFT(C48,LEN(C48)-1)),"Par","Esq"),"-")</f>
        <v>-</v>
      </c>
      <c r="L50" s="4063">
        <f>IFERROR(INDEX(Tabla_Combate,15,LEFT(C48,LEN(C48)-1)),0)</f>
        <v>0</v>
      </c>
      <c r="M50" s="977"/>
      <c r="N50" s="4093" t="s">
        <v>1855</v>
      </c>
      <c r="O50" s="4094"/>
      <c r="P50" s="4095"/>
      <c r="Q50" s="4095"/>
      <c r="R50" s="4096"/>
      <c r="S50" s="4069">
        <f>IFERROR(INDEX(Tabla_Combate,11,LEFT(N48,LEN(N48)-1)),0)</f>
        <v>0</v>
      </c>
      <c r="T50" s="4070">
        <f>IFERROR(INDEX(Tabla_Combate,12,LEFT(N48,LEN(N48)-1)),0)</f>
        <v>0</v>
      </c>
      <c r="U50" s="4085">
        <f>IF(V50="-",0,IF(V50="Par",INDEX(Tabla_Combate,13,LEFT(N48,LEN(N48)-1)),INDEX(Tabla_Combate,14,LEFT(N48,LEN(N48)-1))))</f>
        <v>0</v>
      </c>
      <c r="V50" s="3629" t="str">
        <f>IFERROR(IF(INDEX(Tabla_Combate,13,LEFT(N48,LEN(N48)-1))&gt;INDEX(Tabla_Combate,14,LEFT(N48,LEN(N48)-1)),"Par","Esq"),"-")</f>
        <v>-</v>
      </c>
      <c r="W50" s="4063">
        <f>IFERROR(INDEX(Tabla_Combate,15,LEFT(N48,LEN(N48)-1)),0)</f>
        <v>0</v>
      </c>
      <c r="X50" s="977"/>
      <c r="Y50" s="28"/>
      <c r="Z50" s="28"/>
      <c r="AA50" s="1508"/>
      <c r="AB50" s="4120" t="str">
        <f>IF(PDs!$E75=0,"",PDs!$E75)</f>
        <v/>
      </c>
      <c r="AC50" s="4120"/>
      <c r="AD50" s="4120"/>
      <c r="AE50" s="4120"/>
      <c r="AF50" s="4120"/>
      <c r="AG50" s="4120"/>
      <c r="AH50" s="4117" t="str">
        <f>IF($AB50="","",IF(PDs!$V75="FALTAN REQUISITOS",PDs!$V75,VLOOKUP(AB50,Tabla_AM_Armas,5,FALSE)))</f>
        <v/>
      </c>
      <c r="AI50" s="4117"/>
      <c r="AJ50" s="4117"/>
      <c r="AK50" s="4117"/>
      <c r="AL50" s="4117"/>
      <c r="AM50" s="4117"/>
      <c r="AN50" s="4117"/>
      <c r="AO50" s="4117"/>
      <c r="AP50" s="4117"/>
      <c r="AQ50" s="4117"/>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65" t="str">
        <f>IF(E49=0,"",VLOOKUP(E49,Tabla_ArmasyEscudos,9,FALSE))</f>
        <v/>
      </c>
      <c r="D51" s="4066"/>
      <c r="E51" s="2591" t="s">
        <v>1851</v>
      </c>
      <c r="F51" s="4067" t="s">
        <v>1852</v>
      </c>
      <c r="G51" s="4068"/>
      <c r="H51" s="4069"/>
      <c r="I51" s="4071"/>
      <c r="J51" s="4086"/>
      <c r="K51" s="4072"/>
      <c r="L51" s="4064"/>
      <c r="M51" s="977"/>
      <c r="N51" s="4065" t="str">
        <f>IF(P49=0,"",VLOOKUP(P49,Tabla_ArmasyEscudos,9,FALSE))</f>
        <v/>
      </c>
      <c r="O51" s="4066"/>
      <c r="P51" s="2591" t="s">
        <v>1851</v>
      </c>
      <c r="Q51" s="4067"/>
      <c r="R51" s="4068"/>
      <c r="S51" s="4069"/>
      <c r="T51" s="4071"/>
      <c r="U51" s="4086"/>
      <c r="V51" s="4072"/>
      <c r="W51" s="4064"/>
      <c r="X51" s="977"/>
      <c r="Y51" s="28"/>
      <c r="Z51" s="28"/>
      <c r="AA51" s="1508"/>
      <c r="AB51" s="4121" t="str">
        <f>IF(PDs!$E76=0,"",PDs!$E76)</f>
        <v/>
      </c>
      <c r="AC51" s="4121"/>
      <c r="AD51" s="4121"/>
      <c r="AE51" s="4121"/>
      <c r="AF51" s="4121"/>
      <c r="AG51" s="4121"/>
      <c r="AH51" s="4119" t="str">
        <f>IF($AB51="","",IF(PDs!$V76="FALTAN REQUISITOS",PDs!$V76,VLOOKUP(AB51,Tabla_AM_Armas,5,FALSE)))</f>
        <v/>
      </c>
      <c r="AI51" s="4119"/>
      <c r="AJ51" s="4119"/>
      <c r="AK51" s="4119"/>
      <c r="AL51" s="4119"/>
      <c r="AM51" s="4119"/>
      <c r="AN51" s="4119"/>
      <c r="AO51" s="4119"/>
      <c r="AP51" s="4119"/>
      <c r="AQ51" s="4119"/>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83" t="s">
        <v>9514</v>
      </c>
      <c r="I52" s="4084"/>
      <c r="J52" s="2099"/>
      <c r="K52" s="4054" t="str">
        <f>IF(Tablas!$G$500&gt;0,"-50 a puntería","")</f>
        <v/>
      </c>
      <c r="L52" s="4055"/>
      <c r="M52" s="977"/>
      <c r="N52" s="1939" t="s">
        <v>1843</v>
      </c>
      <c r="O52" s="1940" t="s">
        <v>1844</v>
      </c>
      <c r="P52" s="1940" t="s">
        <v>1832</v>
      </c>
      <c r="Q52" s="1940" t="s">
        <v>1845</v>
      </c>
      <c r="R52" s="367" t="s">
        <v>1833</v>
      </c>
      <c r="S52" s="4083" t="s">
        <v>9514</v>
      </c>
      <c r="T52" s="4084"/>
      <c r="U52" s="2099"/>
      <c r="V52" s="4054" t="str">
        <f>IF(Tablas!$G$500&gt;0,"-50 a puntería","")</f>
        <v/>
      </c>
      <c r="W52" s="4055"/>
      <c r="X52" s="977"/>
      <c r="Y52" s="28"/>
      <c r="Z52" s="28"/>
      <c r="AA52" s="1508"/>
      <c r="AB52" s="4118" t="str">
        <f>IF(PDs!$E77=0,"",PDs!$E77)</f>
        <v/>
      </c>
      <c r="AC52" s="4118"/>
      <c r="AD52" s="4118"/>
      <c r="AE52" s="4118"/>
      <c r="AF52" s="4118"/>
      <c r="AG52" s="4118"/>
      <c r="AH52" s="4114" t="str">
        <f>IF($AB52="","",IF(PDs!$V77="FALTAN REQUISITOS",PDs!$V77,VLOOKUP(AB52,Tabla_AM_Armas,5,FALSE)))</f>
        <v/>
      </c>
      <c r="AI52" s="4114"/>
      <c r="AJ52" s="4114"/>
      <c r="AK52" s="4114"/>
      <c r="AL52" s="4114"/>
      <c r="AM52" s="4114"/>
      <c r="AN52" s="4114"/>
      <c r="AO52" s="4114"/>
      <c r="AP52" s="4114"/>
      <c r="AQ52" s="4114"/>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78" t="s">
        <v>9529</v>
      </c>
      <c r="I53" s="4079"/>
      <c r="J53" s="2099"/>
      <c r="K53" s="4056" t="str">
        <f>IF(F51=0,IF(J53&lt;=0,"","TA defensor: -"&amp;J53/5),IF(Tamaño&lt;VLOOKUP(F51,Tabla_ArmasEnormes,2,FALSE),"Tam. excesivo",IF(J53&lt;=0,"","TA defensor: -"&amp;J53/5)))</f>
        <v/>
      </c>
      <c r="L53" s="4057"/>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78" t="s">
        <v>9529</v>
      </c>
      <c r="T53" s="4079"/>
      <c r="U53" s="2099"/>
      <c r="V53" s="4056" t="str">
        <f>IF(Q51=0,IF(U53&lt;=0,"","TA defensor: -"&amp;U53/5),IF(Tamaño&lt;VLOOKUP(Q51,Tabla_ArmasEnormes,2,FALSE),"Tam. excesivo",IF(U53&lt;=0,"","TA defensor: -"&amp;U53/5)))</f>
        <v/>
      </c>
      <c r="W53" s="4057"/>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58" t="str">
        <f>IF(E49=0,"",IF(E49="Armas naturales",D56,C56))</f>
        <v/>
      </c>
      <c r="F54" s="4059"/>
      <c r="G54" s="4059"/>
      <c r="H54" s="4059"/>
      <c r="I54" s="4059"/>
      <c r="J54" s="4060"/>
      <c r="K54" s="4061" t="s">
        <v>9164</v>
      </c>
      <c r="L54" s="4062"/>
      <c r="M54" s="977"/>
      <c r="N54" s="1939" t="s">
        <v>1856</v>
      </c>
      <c r="O54" s="2563" t="s">
        <v>1857</v>
      </c>
      <c r="P54" s="4058" t="str">
        <f>IF(P49=0,"",IF(P49="Armas naturales",O56,N56))</f>
        <v/>
      </c>
      <c r="Q54" s="4059"/>
      <c r="R54" s="4059"/>
      <c r="S54" s="4059"/>
      <c r="T54" s="4059"/>
      <c r="U54" s="4060"/>
      <c r="V54" s="4061" t="s">
        <v>9164</v>
      </c>
      <c r="W54" s="4062"/>
      <c r="X54" s="1635"/>
      <c r="Y54" s="28"/>
      <c r="Z54" s="28"/>
      <c r="AA54" s="1508"/>
      <c r="AB54" s="3391" t="s">
        <v>1779</v>
      </c>
      <c r="AC54" s="3391"/>
      <c r="AD54" s="3391"/>
      <c r="AE54" s="3391"/>
      <c r="AF54" s="3391"/>
      <c r="AG54" s="3391"/>
      <c r="AH54" s="4116" t="s">
        <v>1824</v>
      </c>
      <c r="AI54" s="4116"/>
      <c r="AJ54" s="4116"/>
      <c r="AK54" s="4116"/>
      <c r="AL54" s="4116"/>
      <c r="AM54" s="4116"/>
      <c r="AN54" s="4116"/>
      <c r="AO54" s="4116"/>
      <c r="AP54" s="4116"/>
      <c r="AQ54" s="4116"/>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73" t="str">
        <f>IF(E50=0,"",VLOOKUP(E50,Tabla_ArmasyEscudos,19,FALSE))</f>
        <v/>
      </c>
      <c r="F55" s="4074"/>
      <c r="G55" s="4074"/>
      <c r="H55" s="4074"/>
      <c r="I55" s="4074"/>
      <c r="J55" s="4075"/>
      <c r="K55" s="4076" t="s">
        <v>1654</v>
      </c>
      <c r="L55" s="4077"/>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73" t="str">
        <f>IF(P50=0,"",VLOOKUP(P50,Tabla_ArmasyEscudos,19,FALSE))</f>
        <v/>
      </c>
      <c r="Q55" s="4074"/>
      <c r="R55" s="4074"/>
      <c r="S55" s="4074"/>
      <c r="T55" s="4074"/>
      <c r="U55" s="4075"/>
      <c r="V55" s="4076" t="s">
        <v>1654</v>
      </c>
      <c r="W55" s="4077"/>
      <c r="X55" s="977"/>
      <c r="Y55" s="28"/>
      <c r="Z55" s="28"/>
      <c r="AA55" s="1508"/>
      <c r="AB55" s="4115" t="str">
        <f>IF(PDs!E78=0,"",PDs!E78)</f>
        <v/>
      </c>
      <c r="AC55" s="4115"/>
      <c r="AD55" s="4115"/>
      <c r="AE55" s="4115"/>
      <c r="AF55" s="4115"/>
      <c r="AG55" s="4115"/>
      <c r="AH55" s="4122" t="str">
        <f>IF(AB55="","",VLOOKUP(AB55,Tabla_ArsMagnus,6,FALSE))</f>
        <v/>
      </c>
      <c r="AI55" s="4122"/>
      <c r="AJ55" s="4122"/>
      <c r="AK55" s="4122"/>
      <c r="AL55" s="4122"/>
      <c r="AM55" s="4122"/>
      <c r="AN55" s="4122"/>
      <c r="AO55" s="4122"/>
      <c r="AP55" s="4122"/>
      <c r="AQ55" s="4122"/>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15"/>
      <c r="AC56" s="4115"/>
      <c r="AD56" s="4115"/>
      <c r="AE56" s="4115"/>
      <c r="AF56" s="4115"/>
      <c r="AG56" s="4115"/>
      <c r="AH56" s="4122"/>
      <c r="AI56" s="4122"/>
      <c r="AJ56" s="4122"/>
      <c r="AK56" s="4122"/>
      <c r="AL56" s="4122"/>
      <c r="AM56" s="4122"/>
      <c r="AN56" s="4122"/>
      <c r="AO56" s="4122"/>
      <c r="AP56" s="4122"/>
      <c r="AQ56" s="4122"/>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82" t="str">
        <f>IF(PDs!E79=0,"",PDs!E79)</f>
        <v/>
      </c>
      <c r="AC57" s="4082"/>
      <c r="AD57" s="4082"/>
      <c r="AE57" s="4082"/>
      <c r="AF57" s="4082"/>
      <c r="AG57" s="4082"/>
      <c r="AH57" s="3540" t="str">
        <f>IF(AB57="","",VLOOKUP(AB57,Tabla_ArsMagnus,6,FALSE))</f>
        <v/>
      </c>
      <c r="AI57" s="3540"/>
      <c r="AJ57" s="3540"/>
      <c r="AK57" s="3540"/>
      <c r="AL57" s="3540"/>
      <c r="AM57" s="3540"/>
      <c r="AN57" s="3540"/>
      <c r="AO57" s="3540"/>
      <c r="AP57" s="3540"/>
      <c r="AQ57" s="3540"/>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87" t="s">
        <v>9512</v>
      </c>
      <c r="D58" s="4088"/>
      <c r="E58" s="4089"/>
      <c r="F58" s="4090"/>
      <c r="G58" s="4091"/>
      <c r="H58" s="2587" t="s">
        <v>1666</v>
      </c>
      <c r="I58" s="2588" t="s">
        <v>1839</v>
      </c>
      <c r="J58" s="4092" t="s">
        <v>1840</v>
      </c>
      <c r="K58" s="4092"/>
      <c r="L58" s="2589" t="s">
        <v>1841</v>
      </c>
      <c r="M58" s="2092" t="str">
        <f>IF(C58=INDEX(Lista_ManosArma,2),Lista_ProyA2manos,Lista_ProyA1Mano)</f>
        <v>Tablas!$AD$635:$AD$648</v>
      </c>
      <c r="N58" s="4087" t="s">
        <v>9512</v>
      </c>
      <c r="O58" s="4088"/>
      <c r="P58" s="4102"/>
      <c r="Q58" s="4102"/>
      <c r="R58" s="4103"/>
      <c r="S58" s="2587" t="s">
        <v>1666</v>
      </c>
      <c r="T58" s="2588" t="s">
        <v>1839</v>
      </c>
      <c r="U58" s="4092" t="s">
        <v>1840</v>
      </c>
      <c r="V58" s="4092"/>
      <c r="W58" s="2589" t="s">
        <v>1841</v>
      </c>
      <c r="X58" s="2092" t="str">
        <f>IF(N58=INDEX(Lista_ManosArma,2),Lista_ProyA2manos,Lista_ProyA1Mano)</f>
        <v>Tablas!$AD$635:$AD$648</v>
      </c>
      <c r="Y58" s="28"/>
      <c r="Z58" s="28"/>
      <c r="AA58" s="1508"/>
      <c r="AB58" s="4082"/>
      <c r="AC58" s="4082"/>
      <c r="AD58" s="4082"/>
      <c r="AE58" s="4082"/>
      <c r="AF58" s="4082"/>
      <c r="AG58" s="4082"/>
      <c r="AH58" s="3540"/>
      <c r="AI58" s="3540"/>
      <c r="AJ58" s="3540"/>
      <c r="AK58" s="3540"/>
      <c r="AL58" s="3540"/>
      <c r="AM58" s="3540"/>
      <c r="AN58" s="3540"/>
      <c r="AO58" s="3540"/>
      <c r="AP58" s="3540"/>
      <c r="AQ58" s="3540"/>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93" t="s">
        <v>1855</v>
      </c>
      <c r="D59" s="4094"/>
      <c r="E59" s="4095"/>
      <c r="F59" s="4095"/>
      <c r="G59" s="4096"/>
      <c r="H59" s="4069">
        <f>IFERROR(INDEX(Tabla_Combate,11,LEFT(C57,LEN(C57)-1)),0)</f>
        <v>0</v>
      </c>
      <c r="I59" s="4070">
        <f>IFERROR(INDEX(Tabla_Combate,12,LEFT(C57,LEN(C57)-1)),0)</f>
        <v>0</v>
      </c>
      <c r="J59" s="4085">
        <f>IF(K59="-",0,IF(K59="Par",INDEX(Tabla_Combate,13,LEFT(C57,LEN(C57)-1)),INDEX(Tabla_Combate,14,LEFT(C57,LEN(C57)-1))))</f>
        <v>0</v>
      </c>
      <c r="K59" s="3629" t="str">
        <f>IFERROR(IF(INDEX(Tabla_Combate,13,LEFT(C57,LEN(C57)-1))&gt;INDEX(Tabla_Combate,14,LEFT(C57,LEN(C57)-1)),"Par","Esq"),"-")</f>
        <v>-</v>
      </c>
      <c r="L59" s="4063">
        <f>IFERROR(INDEX(Tabla_Combate,15,LEFT(C57,LEN(C57)-1)),0)</f>
        <v>0</v>
      </c>
      <c r="M59" s="977"/>
      <c r="N59" s="4093" t="s">
        <v>1855</v>
      </c>
      <c r="O59" s="4094"/>
      <c r="P59" s="4095"/>
      <c r="Q59" s="4095"/>
      <c r="R59" s="4096"/>
      <c r="S59" s="4069">
        <f>IFERROR(INDEX(Tabla_Combate,11,LEFT(N57,LEN(N57)-1)),0)</f>
        <v>0</v>
      </c>
      <c r="T59" s="4070">
        <f>IFERROR(INDEX(Tabla_Combate,12,LEFT(N57,LEN(N57)-1)),0)</f>
        <v>0</v>
      </c>
      <c r="U59" s="4085">
        <f>IF(V59="-",0,IF(V59="Par",INDEX(Tabla_Combate,13,LEFT(N57,LEN(N57)-1)),INDEX(Tabla_Combate,14,LEFT(N57,LEN(N57)-1))))</f>
        <v>0</v>
      </c>
      <c r="V59" s="3629" t="str">
        <f>IFERROR(IF(INDEX(Tabla_Combate,13,LEFT(N57,LEN(N57)-1))&gt;INDEX(Tabla_Combate,14,LEFT(N57,LEN(N57)-1)),"Par","Esq"),"-")</f>
        <v>-</v>
      </c>
      <c r="W59" s="4063">
        <f>IFERROR(INDEX(Tabla_Combate,15,LEFT(N57,LEN(N57)-1)),0)</f>
        <v>0</v>
      </c>
      <c r="X59" s="977"/>
      <c r="Y59" s="28"/>
      <c r="Z59" s="28"/>
      <c r="AA59" s="1508"/>
      <c r="AB59" s="4082" t="str">
        <f>IF(PDs!E80=0,"",PDs!E80)</f>
        <v/>
      </c>
      <c r="AC59" s="4082"/>
      <c r="AD59" s="4082"/>
      <c r="AE59" s="4082"/>
      <c r="AF59" s="4082"/>
      <c r="AG59" s="4082"/>
      <c r="AH59" s="3540" t="str">
        <f>IF(AB59="","",VLOOKUP(AB59,Tabla_ArsMagnus,6,FALSE))</f>
        <v/>
      </c>
      <c r="AI59" s="3540"/>
      <c r="AJ59" s="3540"/>
      <c r="AK59" s="3540"/>
      <c r="AL59" s="3540"/>
      <c r="AM59" s="3540"/>
      <c r="AN59" s="3540"/>
      <c r="AO59" s="3540"/>
      <c r="AP59" s="3540"/>
      <c r="AQ59" s="3540"/>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65" t="str">
        <f>IF(E58=0,"",VLOOKUP(E58,Tabla_ArmasyEscudos,9,FALSE))</f>
        <v/>
      </c>
      <c r="D60" s="4066"/>
      <c r="E60" s="2591" t="s">
        <v>1851</v>
      </c>
      <c r="F60" s="4067" t="s">
        <v>1852</v>
      </c>
      <c r="G60" s="4068"/>
      <c r="H60" s="4069"/>
      <c r="I60" s="4071"/>
      <c r="J60" s="4086"/>
      <c r="K60" s="4072"/>
      <c r="L60" s="4064"/>
      <c r="M60" s="977"/>
      <c r="N60" s="4065" t="str">
        <f>IF(P58=0,"",VLOOKUP(P58,Tabla_ArmasyEscudos,9,FALSE))</f>
        <v/>
      </c>
      <c r="O60" s="4066"/>
      <c r="P60" s="2591" t="s">
        <v>1851</v>
      </c>
      <c r="Q60" s="4067" t="s">
        <v>1852</v>
      </c>
      <c r="R60" s="4068"/>
      <c r="S60" s="4069"/>
      <c r="T60" s="4071"/>
      <c r="U60" s="4086"/>
      <c r="V60" s="4072"/>
      <c r="W60" s="4064"/>
      <c r="X60" s="1301"/>
      <c r="Y60" s="28"/>
      <c r="Z60" s="28"/>
      <c r="AA60" s="1508"/>
      <c r="AB60" s="4082"/>
      <c r="AC60" s="4082"/>
      <c r="AD60" s="4082"/>
      <c r="AE60" s="4082"/>
      <c r="AF60" s="4082"/>
      <c r="AG60" s="4082"/>
      <c r="AH60" s="3540"/>
      <c r="AI60" s="3540"/>
      <c r="AJ60" s="3540"/>
      <c r="AK60" s="3540"/>
      <c r="AL60" s="3540"/>
      <c r="AM60" s="3540"/>
      <c r="AN60" s="3540"/>
      <c r="AO60" s="3540"/>
      <c r="AP60" s="3540"/>
      <c r="AQ60" s="3540"/>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83" t="s">
        <v>9514</v>
      </c>
      <c r="I61" s="4084"/>
      <c r="J61" s="2099"/>
      <c r="K61" s="4054" t="str">
        <f>IF(Tablas!$G$500&gt;0,"-50 a puntería","")</f>
        <v/>
      </c>
      <c r="L61" s="4055"/>
      <c r="M61" s="977"/>
      <c r="N61" s="1939" t="s">
        <v>1843</v>
      </c>
      <c r="O61" s="1940" t="s">
        <v>1844</v>
      </c>
      <c r="P61" s="1940" t="s">
        <v>1832</v>
      </c>
      <c r="Q61" s="1940" t="s">
        <v>1845</v>
      </c>
      <c r="R61" s="367" t="s">
        <v>1833</v>
      </c>
      <c r="S61" s="4083" t="s">
        <v>9514</v>
      </c>
      <c r="T61" s="4084"/>
      <c r="U61" s="2099"/>
      <c r="V61" s="4054" t="str">
        <f>IF(Tablas!$G$500&gt;0,"-50 a puntería","")</f>
        <v/>
      </c>
      <c r="W61" s="4055"/>
      <c r="X61" s="1301"/>
      <c r="Y61" s="28"/>
      <c r="Z61" s="28"/>
      <c r="AA61" s="1508"/>
      <c r="AB61" s="4082" t="str">
        <f>IF(PDs!E81=0,"",PDs!E81)</f>
        <v/>
      </c>
      <c r="AC61" s="4082"/>
      <c r="AD61" s="4082"/>
      <c r="AE61" s="4082"/>
      <c r="AF61" s="4082"/>
      <c r="AG61" s="4082"/>
      <c r="AH61" s="3540" t="str">
        <f>IF(AB61="","",VLOOKUP(AB61,Tabla_ArsMagnus,6,FALSE))</f>
        <v/>
      </c>
      <c r="AI61" s="3540"/>
      <c r="AJ61" s="3540"/>
      <c r="AK61" s="3540"/>
      <c r="AL61" s="3540"/>
      <c r="AM61" s="3540"/>
      <c r="AN61" s="3540"/>
      <c r="AO61" s="3540"/>
      <c r="AP61" s="3540"/>
      <c r="AQ61" s="3540"/>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78" t="s">
        <v>9529</v>
      </c>
      <c r="I62" s="4079"/>
      <c r="J62" s="2099"/>
      <c r="K62" s="4056" t="str">
        <f>IF(F60=0,IF(J62&lt;=0,"","TA defensor: -"&amp;J62/5),IF(Tamaño&lt;VLOOKUP(F60,Tabla_ArmasEnormes,2,FALSE),"Tam. excesivo",IF(J62&lt;=0,"","TA defensor: -"&amp;J62/5)))</f>
        <v/>
      </c>
      <c r="L62" s="4057"/>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78" t="s">
        <v>9529</v>
      </c>
      <c r="T62" s="4079"/>
      <c r="U62" s="2099"/>
      <c r="V62" s="4056" t="str">
        <f>IF(Q60=0,IF(U62&lt;=0,"","TA defensor: -"&amp;U62/5),IF(Tamaño&lt;VLOOKUP(Q60,Tabla_ArmasEnormes,2,FALSE),"Tam. excesivo",IF(U62&lt;=0,"","TA defensor: -"&amp;U62/5)))</f>
        <v/>
      </c>
      <c r="W62" s="4057"/>
      <c r="X62" s="1301"/>
      <c r="Y62" s="28"/>
      <c r="Z62" s="28"/>
      <c r="AA62" s="1508"/>
      <c r="AB62" s="4082"/>
      <c r="AC62" s="4082"/>
      <c r="AD62" s="4082"/>
      <c r="AE62" s="4082"/>
      <c r="AF62" s="4082"/>
      <c r="AG62" s="4082"/>
      <c r="AH62" s="3540"/>
      <c r="AI62" s="3540"/>
      <c r="AJ62" s="3540"/>
      <c r="AK62" s="3540"/>
      <c r="AL62" s="3540"/>
      <c r="AM62" s="3540"/>
      <c r="AN62" s="3540"/>
      <c r="AO62" s="3540"/>
      <c r="AP62" s="3540"/>
      <c r="AQ62" s="3540"/>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58" t="str">
        <f>IF(E58=0,"",IF(E58="Armas naturales",D65,C65))</f>
        <v/>
      </c>
      <c r="F63" s="4059"/>
      <c r="G63" s="4059"/>
      <c r="H63" s="4059"/>
      <c r="I63" s="4059"/>
      <c r="J63" s="4060"/>
      <c r="K63" s="4061" t="s">
        <v>9164</v>
      </c>
      <c r="L63" s="4062"/>
      <c r="M63" s="977"/>
      <c r="N63" s="1939" t="s">
        <v>1856</v>
      </c>
      <c r="O63" s="2563" t="s">
        <v>1857</v>
      </c>
      <c r="P63" s="4058" t="str">
        <f>IF(P58=0,"",IF(P58="Armas naturales",O65,N65))</f>
        <v/>
      </c>
      <c r="Q63" s="4059"/>
      <c r="R63" s="4059"/>
      <c r="S63" s="4059"/>
      <c r="T63" s="4059"/>
      <c r="U63" s="4060"/>
      <c r="V63" s="4061" t="s">
        <v>9164</v>
      </c>
      <c r="W63" s="4062"/>
      <c r="X63" s="1509"/>
      <c r="Y63" s="28"/>
      <c r="Z63" s="28"/>
      <c r="AA63" s="1508"/>
      <c r="AB63" s="4080" t="str">
        <f>IF(PDs!E82=0,"",PDs!E82)</f>
        <v/>
      </c>
      <c r="AC63" s="4080"/>
      <c r="AD63" s="4080"/>
      <c r="AE63" s="4080"/>
      <c r="AF63" s="4080"/>
      <c r="AG63" s="4080"/>
      <c r="AH63" s="4081" t="str">
        <f>IF(AB63="","",VLOOKUP(AB63,Tabla_ArsMagnus,6,FALSE))</f>
        <v/>
      </c>
      <c r="AI63" s="4081"/>
      <c r="AJ63" s="4081"/>
      <c r="AK63" s="4081"/>
      <c r="AL63" s="4081"/>
      <c r="AM63" s="4081"/>
      <c r="AN63" s="4081"/>
      <c r="AO63" s="4081"/>
      <c r="AP63" s="4081"/>
      <c r="AQ63" s="4081"/>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73" t="str">
        <f>IF(E59=0,"",VLOOKUP(E59,Tabla_ArmasyEscudos,19,FALSE))</f>
        <v/>
      </c>
      <c r="F64" s="4074"/>
      <c r="G64" s="4074"/>
      <c r="H64" s="4074"/>
      <c r="I64" s="4074"/>
      <c r="J64" s="4075"/>
      <c r="K64" s="4076" t="s">
        <v>1654</v>
      </c>
      <c r="L64" s="4077"/>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73" t="str">
        <f>IF(P59=0,"",VLOOKUP(P59,Tabla_ArmasyEscudos,19,FALSE))</f>
        <v/>
      </c>
      <c r="Q64" s="4074"/>
      <c r="R64" s="4074"/>
      <c r="S64" s="4074"/>
      <c r="T64" s="4074"/>
      <c r="U64" s="4075"/>
      <c r="V64" s="4076" t="s">
        <v>1654</v>
      </c>
      <c r="W64" s="4077"/>
      <c r="X64" s="1301"/>
      <c r="Y64" s="28"/>
      <c r="Z64" s="28"/>
      <c r="AA64" s="1508"/>
      <c r="AB64" s="4080"/>
      <c r="AC64" s="4080"/>
      <c r="AD64" s="4080"/>
      <c r="AE64" s="4080"/>
      <c r="AF64" s="4080"/>
      <c r="AG64" s="4080"/>
      <c r="AH64" s="4081"/>
      <c r="AI64" s="4081"/>
      <c r="AJ64" s="4081"/>
      <c r="AK64" s="4081"/>
      <c r="AL64" s="4081"/>
      <c r="AM64" s="4081"/>
      <c r="AN64" s="4081"/>
      <c r="AO64" s="4081"/>
      <c r="AP64" s="4081"/>
      <c r="AQ64" s="4081"/>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34" t="s">
        <v>1675</v>
      </c>
      <c r="D66" s="3235"/>
      <c r="E66" s="3235"/>
      <c r="F66" s="3235"/>
      <c r="G66" s="3235"/>
      <c r="H66" s="3235"/>
      <c r="I66" s="3235"/>
      <c r="J66" s="3235"/>
      <c r="K66" s="3235"/>
      <c r="L66" s="3236"/>
      <c r="M66" s="816"/>
      <c r="N66" s="3234" t="s">
        <v>1675</v>
      </c>
      <c r="O66" s="3235"/>
      <c r="P66" s="3235"/>
      <c r="Q66" s="3235"/>
      <c r="R66" s="3235"/>
      <c r="S66" s="3235"/>
      <c r="T66" s="3235"/>
      <c r="U66" s="3235"/>
      <c r="V66" s="3235"/>
      <c r="W66" s="3236"/>
      <c r="X66" s="1301"/>
      <c r="Y66" s="28"/>
      <c r="Z66" s="28"/>
      <c r="AA66" s="750"/>
      <c r="AB66" s="3234" t="s">
        <v>1675</v>
      </c>
      <c r="AC66" s="3235"/>
      <c r="AD66" s="3235"/>
      <c r="AE66" s="3235"/>
      <c r="AF66" s="3235"/>
      <c r="AG66" s="3235"/>
      <c r="AH66" s="3235"/>
      <c r="AI66" s="3235"/>
      <c r="AJ66" s="3235"/>
      <c r="AK66" s="3235"/>
      <c r="AL66" s="3235"/>
      <c r="AM66" s="3235"/>
      <c r="AN66" s="3235"/>
      <c r="AO66" s="3235"/>
      <c r="AP66" s="3235"/>
      <c r="AQ66" s="3236"/>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45"/>
      <c r="D67" s="4046"/>
      <c r="E67" s="4046"/>
      <c r="F67" s="4046"/>
      <c r="G67" s="4046"/>
      <c r="H67" s="4046"/>
      <c r="I67" s="4046"/>
      <c r="J67" s="4046"/>
      <c r="K67" s="4046"/>
      <c r="L67" s="4047"/>
      <c r="M67" s="57"/>
      <c r="N67" s="4045"/>
      <c r="O67" s="4046"/>
      <c r="P67" s="4046"/>
      <c r="Q67" s="4046"/>
      <c r="R67" s="4046"/>
      <c r="S67" s="4046"/>
      <c r="T67" s="4046"/>
      <c r="U67" s="4046"/>
      <c r="V67" s="4046"/>
      <c r="W67" s="4047"/>
      <c r="X67" s="1301"/>
      <c r="Y67" s="28"/>
      <c r="Z67" s="28"/>
      <c r="AA67" s="750"/>
      <c r="AB67" s="4045"/>
      <c r="AC67" s="4046"/>
      <c r="AD67" s="4046"/>
      <c r="AE67" s="4046"/>
      <c r="AF67" s="4046"/>
      <c r="AG67" s="4046"/>
      <c r="AH67" s="4046"/>
      <c r="AI67" s="4046"/>
      <c r="AJ67" s="4046"/>
      <c r="AK67" s="4046"/>
      <c r="AL67" s="4046"/>
      <c r="AM67" s="4046"/>
      <c r="AN67" s="4046"/>
      <c r="AO67" s="4046"/>
      <c r="AP67" s="4046"/>
      <c r="AQ67" s="4047"/>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48"/>
      <c r="D68" s="4049"/>
      <c r="E68" s="4049"/>
      <c r="F68" s="4049"/>
      <c r="G68" s="4049"/>
      <c r="H68" s="4049"/>
      <c r="I68" s="4049"/>
      <c r="J68" s="4049"/>
      <c r="K68" s="4049"/>
      <c r="L68" s="4050"/>
      <c r="M68" s="57"/>
      <c r="N68" s="4048"/>
      <c r="O68" s="4049"/>
      <c r="P68" s="4049"/>
      <c r="Q68" s="4049"/>
      <c r="R68" s="4049"/>
      <c r="S68" s="4049"/>
      <c r="T68" s="4049"/>
      <c r="U68" s="4049"/>
      <c r="V68" s="4049"/>
      <c r="W68" s="4050"/>
      <c r="X68" s="1301"/>
      <c r="Y68" s="28"/>
      <c r="Z68" s="28"/>
      <c r="AA68" s="750"/>
      <c r="AB68" s="4048"/>
      <c r="AC68" s="4049"/>
      <c r="AD68" s="4049"/>
      <c r="AE68" s="4049"/>
      <c r="AF68" s="4049"/>
      <c r="AG68" s="4049"/>
      <c r="AH68" s="4049"/>
      <c r="AI68" s="4049"/>
      <c r="AJ68" s="4049"/>
      <c r="AK68" s="4049"/>
      <c r="AL68" s="4049"/>
      <c r="AM68" s="4049"/>
      <c r="AN68" s="4049"/>
      <c r="AO68" s="4049"/>
      <c r="AP68" s="4049"/>
      <c r="AQ68" s="4050"/>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48"/>
      <c r="D69" s="4049"/>
      <c r="E69" s="4049"/>
      <c r="F69" s="4049"/>
      <c r="G69" s="4049"/>
      <c r="H69" s="4049"/>
      <c r="I69" s="4049"/>
      <c r="J69" s="4049"/>
      <c r="K69" s="4049"/>
      <c r="L69" s="4050"/>
      <c r="M69" s="57"/>
      <c r="N69" s="4048"/>
      <c r="O69" s="4049"/>
      <c r="P69" s="4049"/>
      <c r="Q69" s="4049"/>
      <c r="R69" s="4049"/>
      <c r="S69" s="4049"/>
      <c r="T69" s="4049"/>
      <c r="U69" s="4049"/>
      <c r="V69" s="4049"/>
      <c r="W69" s="4050"/>
      <c r="X69" s="1301"/>
      <c r="Y69" s="28"/>
      <c r="Z69" s="28"/>
      <c r="AA69" s="750"/>
      <c r="AB69" s="4048"/>
      <c r="AC69" s="4049"/>
      <c r="AD69" s="4049"/>
      <c r="AE69" s="4049"/>
      <c r="AF69" s="4049"/>
      <c r="AG69" s="4049"/>
      <c r="AH69" s="4049"/>
      <c r="AI69" s="4049"/>
      <c r="AJ69" s="4049"/>
      <c r="AK69" s="4049"/>
      <c r="AL69" s="4049"/>
      <c r="AM69" s="4049"/>
      <c r="AN69" s="4049"/>
      <c r="AO69" s="4049"/>
      <c r="AP69" s="4049"/>
      <c r="AQ69" s="4050"/>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48"/>
      <c r="D70" s="4049"/>
      <c r="E70" s="4049"/>
      <c r="F70" s="4049"/>
      <c r="G70" s="4049"/>
      <c r="H70" s="4049"/>
      <c r="I70" s="4049"/>
      <c r="J70" s="4049"/>
      <c r="K70" s="4049"/>
      <c r="L70" s="4050"/>
      <c r="M70" s="57"/>
      <c r="N70" s="4048"/>
      <c r="O70" s="4049"/>
      <c r="P70" s="4049"/>
      <c r="Q70" s="4049"/>
      <c r="R70" s="4049"/>
      <c r="S70" s="4049"/>
      <c r="T70" s="4049"/>
      <c r="U70" s="4049"/>
      <c r="V70" s="4049"/>
      <c r="W70" s="4050"/>
      <c r="X70" s="1301"/>
      <c r="Y70" s="28"/>
      <c r="Z70" s="28"/>
      <c r="AA70" s="750"/>
      <c r="AB70" s="4048"/>
      <c r="AC70" s="4049"/>
      <c r="AD70" s="4049"/>
      <c r="AE70" s="4049"/>
      <c r="AF70" s="4049"/>
      <c r="AG70" s="4049"/>
      <c r="AH70" s="4049"/>
      <c r="AI70" s="4049"/>
      <c r="AJ70" s="4049"/>
      <c r="AK70" s="4049"/>
      <c r="AL70" s="4049"/>
      <c r="AM70" s="4049"/>
      <c r="AN70" s="4049"/>
      <c r="AO70" s="4049"/>
      <c r="AP70" s="4049"/>
      <c r="AQ70" s="4050"/>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51"/>
      <c r="D71" s="4052"/>
      <c r="E71" s="4052"/>
      <c r="F71" s="4052"/>
      <c r="G71" s="4052"/>
      <c r="H71" s="4052"/>
      <c r="I71" s="4052"/>
      <c r="J71" s="4052"/>
      <c r="K71" s="4052"/>
      <c r="L71" s="4053"/>
      <c r="M71" s="57"/>
      <c r="N71" s="4051"/>
      <c r="O71" s="4052"/>
      <c r="P71" s="4052"/>
      <c r="Q71" s="4052"/>
      <c r="R71" s="4052"/>
      <c r="S71" s="4052"/>
      <c r="T71" s="4052"/>
      <c r="U71" s="4052"/>
      <c r="V71" s="4052"/>
      <c r="W71" s="4053"/>
      <c r="X71" s="1301"/>
      <c r="Y71" s="28"/>
      <c r="Z71" s="28"/>
      <c r="AA71" s="750"/>
      <c r="AB71" s="4051"/>
      <c r="AC71" s="4052"/>
      <c r="AD71" s="4052"/>
      <c r="AE71" s="4052"/>
      <c r="AF71" s="4052"/>
      <c r="AG71" s="4052"/>
      <c r="AH71" s="4052"/>
      <c r="AI71" s="4052"/>
      <c r="AJ71" s="4052"/>
      <c r="AK71" s="4052"/>
      <c r="AL71" s="4052"/>
      <c r="AM71" s="4052"/>
      <c r="AN71" s="4052"/>
      <c r="AO71" s="4052"/>
      <c r="AP71" s="4052"/>
      <c r="AQ71" s="4053"/>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U6:V7"/>
    <mergeCell ref="M5:O5"/>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AH14:AK14"/>
    <mergeCell ref="AH15:AK15"/>
    <mergeCell ref="AL15:AQ15"/>
    <mergeCell ref="C21:D21"/>
    <mergeCell ref="H21:H22"/>
    <mergeCell ref="M16:M17"/>
    <mergeCell ref="N16:N17"/>
    <mergeCell ref="O16:O17"/>
    <mergeCell ref="P16:R16"/>
    <mergeCell ref="C18:G18"/>
    <mergeCell ref="C3:H8"/>
    <mergeCell ref="C11:E11"/>
    <mergeCell ref="F11:G11"/>
    <mergeCell ref="F15:G15"/>
    <mergeCell ref="C16:D17"/>
    <mergeCell ref="E16:E17"/>
    <mergeCell ref="F16:G16"/>
    <mergeCell ref="I16:I17"/>
    <mergeCell ref="L16:L17"/>
    <mergeCell ref="C13:E13"/>
    <mergeCell ref="F13:G13"/>
    <mergeCell ref="C12:E12"/>
    <mergeCell ref="F12:G12"/>
    <mergeCell ref="K4:L4"/>
    <mergeCell ref="M4:Q4"/>
    <mergeCell ref="K6:Q7"/>
    <mergeCell ref="U14:U15"/>
    <mergeCell ref="V14:V15"/>
    <mergeCell ref="C14:E14"/>
    <mergeCell ref="F14:G14"/>
    <mergeCell ref="U16:U17"/>
    <mergeCell ref="V16:V17"/>
    <mergeCell ref="C15:E15"/>
    <mergeCell ref="C20:D20"/>
    <mergeCell ref="J20:K20"/>
    <mergeCell ref="E20:G20"/>
    <mergeCell ref="P17:R17"/>
    <mergeCell ref="F17:G17"/>
    <mergeCell ref="AH18:AQ18"/>
    <mergeCell ref="J16:J17"/>
    <mergeCell ref="K16:K17"/>
    <mergeCell ref="AH20:AQ20"/>
    <mergeCell ref="I21:I22"/>
    <mergeCell ref="J21:J22"/>
    <mergeCell ref="K21:K22"/>
    <mergeCell ref="L21:L22"/>
    <mergeCell ref="R20:W20"/>
    <mergeCell ref="U22:W22"/>
    <mergeCell ref="R21:T21"/>
    <mergeCell ref="R22:T22"/>
    <mergeCell ref="N21:P22"/>
    <mergeCell ref="H18:S18"/>
    <mergeCell ref="U21:W21"/>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90" priority="44" stopIfTrue="1" operator="equal">
      <formula>0</formula>
    </cfRule>
  </conditionalFormatting>
  <conditionalFormatting sqref="C13:E13">
    <cfRule type="expression" dxfId="989" priority="51" stopIfTrue="1">
      <formula>AND($B$13="Dura",$B$12="Dura")</formula>
    </cfRule>
    <cfRule type="expression" dxfId="988" priority="52" stopIfTrue="1">
      <formula>AND($B$13="Natural",$B$12="Natural")</formula>
    </cfRule>
  </conditionalFormatting>
  <conditionalFormatting sqref="C14:E14">
    <cfRule type="expression" dxfId="987" priority="53" stopIfTrue="1">
      <formula>AND($B$14="Dura",OR($B$13="Dura",$B$12="Dura"))</formula>
    </cfRule>
    <cfRule type="expression" dxfId="986" priority="54" stopIfTrue="1">
      <formula>AND($B$14="Natural",OR($B$13="Natural",$B$12="Natural"))</formula>
    </cfRule>
  </conditionalFormatting>
  <conditionalFormatting sqref="I23:L23">
    <cfRule type="expression" dxfId="985" priority="32" stopIfTrue="1">
      <formula>OR($E$20="Sin equipo",$E$20="")</formula>
    </cfRule>
  </conditionalFormatting>
  <conditionalFormatting sqref="I23">
    <cfRule type="expression" dxfId="984" priority="23">
      <formula>$H$23&lt;&gt;""</formula>
    </cfRule>
  </conditionalFormatting>
  <conditionalFormatting sqref="E28 E49">
    <cfRule type="expression" dxfId="983" priority="5921" stopIfTrue="1">
      <formula>COUNTIF(INDIRECT($C28),$E28)=0</formula>
    </cfRule>
  </conditionalFormatting>
  <conditionalFormatting sqref="C28 C35 C42 C49 C58">
    <cfRule type="expression" dxfId="982" priority="5926" stopIfTrue="1">
      <formula>AND($C28="A dos manos",COUNTIF($R$22:$W$25,$C27&amp;" "&amp;$E28))</formula>
    </cfRule>
  </conditionalFormatting>
  <conditionalFormatting sqref="N28 N35 N42 N49 N58">
    <cfRule type="expression" dxfId="981" priority="5931" stopIfTrue="1">
      <formula>AND($N28="A dos manos",COUNTIF($R$22:$W$25,$N27&amp;" "&amp;$P28))</formula>
    </cfRule>
  </conditionalFormatting>
  <conditionalFormatting sqref="U22:W25">
    <cfRule type="expression" dxfId="980" priority="5936" stopIfTrue="1">
      <formula>COUNTIF($R$22:$T$25,U22)&gt;0</formula>
    </cfRule>
    <cfRule type="expression" dxfId="979" priority="5937" stopIfTrue="1">
      <formula>$R22=$U22</formula>
    </cfRule>
  </conditionalFormatting>
  <conditionalFormatting sqref="R22:T25">
    <cfRule type="expression" dxfId="978" priority="5938" stopIfTrue="1">
      <formula>COUNTIF($R$22:$W$25,$R22)&gt;1</formula>
    </cfRule>
  </conditionalFormatting>
  <conditionalFormatting sqref="C18:G18">
    <cfRule type="notContainsBlanks" dxfId="977" priority="22">
      <formula>LEN(TRIM(C18))&gt;0</formula>
    </cfRule>
  </conditionalFormatting>
  <conditionalFormatting sqref="H18:S18">
    <cfRule type="notContainsBlanks" dxfId="976" priority="21">
      <formula>LEN(TRIM(H18))&gt;0</formula>
    </cfRule>
  </conditionalFormatting>
  <conditionalFormatting sqref="P28">
    <cfRule type="expression" dxfId="975" priority="5975" stopIfTrue="1">
      <formula>COUNTIF(INDIRECT($X28),$P28)=0</formula>
    </cfRule>
  </conditionalFormatting>
  <conditionalFormatting sqref="P35">
    <cfRule type="expression" dxfId="974" priority="20" stopIfTrue="1">
      <formula>COUNTIF(INDIRECT($X35),$P35)=0</formula>
    </cfRule>
  </conditionalFormatting>
  <conditionalFormatting sqref="P42">
    <cfRule type="expression" dxfId="973" priority="19" stopIfTrue="1">
      <formula>COUNTIF(INDIRECT($X42),$P42)=0</formula>
    </cfRule>
  </conditionalFormatting>
  <conditionalFormatting sqref="P49">
    <cfRule type="expression" dxfId="972" priority="18" stopIfTrue="1">
      <formula>COUNTIF(INDIRECT($X49),$P49)=0</formula>
    </cfRule>
  </conditionalFormatting>
  <conditionalFormatting sqref="P58">
    <cfRule type="expression" dxfId="971" priority="17" stopIfTrue="1">
      <formula>COUNTIF(INDIRECT($X58),$P58)=0</formula>
    </cfRule>
  </conditionalFormatting>
  <conditionalFormatting sqref="E35">
    <cfRule type="expression" dxfId="970" priority="16" stopIfTrue="1">
      <formula>COUNTIF(INDIRECT($C35),$E35)=0</formula>
    </cfRule>
  </conditionalFormatting>
  <conditionalFormatting sqref="E42">
    <cfRule type="expression" dxfId="969" priority="15" stopIfTrue="1">
      <formula>COUNTIF(INDIRECT($C42),$E42)=0</formula>
    </cfRule>
  </conditionalFormatting>
  <conditionalFormatting sqref="E58">
    <cfRule type="expression" dxfId="968" priority="14" stopIfTrue="1">
      <formula>COUNTIF(INDIRECT($C58),$E58)=0</formula>
    </cfRule>
  </conditionalFormatting>
  <conditionalFormatting sqref="AD14:AD16 AF14:AF16">
    <cfRule type="cellIs" dxfId="967" priority="1" stopIfTrue="1" operator="lessThan">
      <formula>0</formula>
    </cfRule>
    <cfRule type="cellIs" dxfId="966"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L13" sqref="L13:M14"/>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31"/>
      <c r="D3" s="3231"/>
      <c r="E3" s="3231"/>
      <c r="F3" s="3231"/>
      <c r="G3" s="3231"/>
      <c r="H3" s="3231"/>
      <c r="I3" s="7"/>
      <c r="J3" s="7"/>
      <c r="K3" s="7"/>
      <c r="L3" s="7"/>
      <c r="M3" s="7"/>
      <c r="N3" s="7"/>
      <c r="O3" s="7"/>
      <c r="P3" s="7"/>
      <c r="Q3" s="8"/>
      <c r="R3" s="49"/>
      <c r="S3" s="756"/>
      <c r="T3" s="633"/>
      <c r="U3" s="95"/>
      <c r="V3" s="750"/>
      <c r="W3" s="3231"/>
      <c r="X3" s="3231"/>
      <c r="Y3" s="3231"/>
      <c r="Z3" s="3231"/>
      <c r="AA3" s="3231"/>
      <c r="AB3" s="3231"/>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31"/>
      <c r="D4" s="3231"/>
      <c r="E4" s="3231"/>
      <c r="F4" s="3231"/>
      <c r="G4" s="3231"/>
      <c r="H4" s="3231"/>
      <c r="I4" s="10"/>
      <c r="J4" s="3232" t="s">
        <v>1595</v>
      </c>
      <c r="K4" s="3232"/>
      <c r="L4" s="3233" t="str">
        <f>IF(OR(General!$F$22="",General!$F$22=0),"",General!$F$22)</f>
        <v/>
      </c>
      <c r="M4" s="3233"/>
      <c r="N4" s="3233"/>
      <c r="O4" s="3233"/>
      <c r="P4" s="3233"/>
      <c r="Q4" s="11"/>
      <c r="R4" s="49"/>
      <c r="S4" s="756"/>
      <c r="T4" s="633"/>
      <c r="U4" s="95"/>
      <c r="V4" s="750"/>
      <c r="W4" s="3231"/>
      <c r="X4" s="3231"/>
      <c r="Y4" s="3231"/>
      <c r="Z4" s="3231"/>
      <c r="AA4" s="3231"/>
      <c r="AB4" s="3231"/>
      <c r="AC4" s="10"/>
      <c r="AD4" s="3232" t="s">
        <v>1595</v>
      </c>
      <c r="AE4" s="3232"/>
      <c r="AF4" s="3233" t="str">
        <f>IF(OR(General!$F$22="",General!$F$22=0),"",General!$F$22)</f>
        <v/>
      </c>
      <c r="AG4" s="3233"/>
      <c r="AH4" s="3233"/>
      <c r="AI4" s="3233"/>
      <c r="AJ4" s="3233"/>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31"/>
      <c r="D5" s="3231"/>
      <c r="E5" s="3231"/>
      <c r="F5" s="3231"/>
      <c r="G5" s="3231"/>
      <c r="H5" s="3231"/>
      <c r="I5" s="10"/>
      <c r="J5" s="3223" t="s">
        <v>1596</v>
      </c>
      <c r="K5" s="3223"/>
      <c r="L5" s="3224" t="str">
        <f>Principal!$L$5</f>
        <v/>
      </c>
      <c r="M5" s="3224"/>
      <c r="N5" s="3224"/>
      <c r="O5" s="12" t="s">
        <v>1597</v>
      </c>
      <c r="P5" s="13" t="str">
        <f>Principal!$P$5</f>
        <v>0 + 1</v>
      </c>
      <c r="Q5" s="14"/>
      <c r="R5" s="49"/>
      <c r="S5" s="756"/>
      <c r="T5" s="633"/>
      <c r="U5" s="95"/>
      <c r="V5" s="750"/>
      <c r="W5" s="3231"/>
      <c r="X5" s="3231"/>
      <c r="Y5" s="3231"/>
      <c r="Z5" s="3231"/>
      <c r="AA5" s="3231"/>
      <c r="AB5" s="3231"/>
      <c r="AC5" s="10"/>
      <c r="AD5" s="3223" t="s">
        <v>1596</v>
      </c>
      <c r="AE5" s="3223"/>
      <c r="AF5" s="3224" t="str">
        <f>Principal!$L$5</f>
        <v/>
      </c>
      <c r="AG5" s="3224"/>
      <c r="AH5" s="3224"/>
      <c r="AI5" s="12" t="s">
        <v>1597</v>
      </c>
      <c r="AJ5" s="13" t="str">
        <f>Principal!$P$5</f>
        <v>0 + 1</v>
      </c>
      <c r="AK5" s="14"/>
      <c r="AL5" s="1435"/>
      <c r="AM5" s="95"/>
      <c r="AN5" s="95"/>
      <c r="AO5" s="965"/>
      <c r="AP5" s="940"/>
      <c r="AQ5" s="897"/>
      <c r="AR5" s="682"/>
      <c r="AS5" s="3225" t="s">
        <v>7613</v>
      </c>
      <c r="AT5" s="3225"/>
      <c r="AU5" s="3225"/>
      <c r="AV5" s="3225"/>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31"/>
      <c r="D6" s="3231"/>
      <c r="E6" s="3231"/>
      <c r="F6" s="3231"/>
      <c r="G6" s="3231"/>
      <c r="H6" s="3231"/>
      <c r="I6" s="10"/>
      <c r="J6" s="3225" t="s">
        <v>1959</v>
      </c>
      <c r="K6" s="3225"/>
      <c r="L6" s="3225"/>
      <c r="M6" s="3225"/>
      <c r="N6" s="3225"/>
      <c r="O6" s="3225"/>
      <c r="P6" s="3225"/>
      <c r="Q6" s="14"/>
      <c r="R6" s="49"/>
      <c r="S6" s="756"/>
      <c r="T6" s="633"/>
      <c r="U6" s="95"/>
      <c r="V6" s="750"/>
      <c r="W6" s="3231"/>
      <c r="X6" s="3231"/>
      <c r="Y6" s="3231"/>
      <c r="Z6" s="3231"/>
      <c r="AA6" s="3231"/>
      <c r="AB6" s="3231"/>
      <c r="AC6" s="10"/>
      <c r="AD6" s="3225" t="s">
        <v>1960</v>
      </c>
      <c r="AE6" s="3225"/>
      <c r="AF6" s="3225"/>
      <c r="AG6" s="3225"/>
      <c r="AH6" s="3225"/>
      <c r="AI6" s="3225"/>
      <c r="AJ6" s="3225"/>
      <c r="AK6" s="14"/>
      <c r="AL6" s="1435"/>
      <c r="AM6" s="95"/>
      <c r="AN6" s="95"/>
      <c r="AO6" s="965"/>
      <c r="AP6" s="936"/>
      <c r="AR6" s="928"/>
      <c r="AS6" s="3225"/>
      <c r="AT6" s="3225"/>
      <c r="AU6" s="3225"/>
      <c r="AV6" s="3225"/>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31"/>
      <c r="D7" s="3231"/>
      <c r="E7" s="3231"/>
      <c r="F7" s="3231"/>
      <c r="G7" s="3231"/>
      <c r="H7" s="3231"/>
      <c r="I7" s="10"/>
      <c r="J7" s="3225"/>
      <c r="K7" s="3225"/>
      <c r="L7" s="3225"/>
      <c r="M7" s="3225"/>
      <c r="N7" s="3225"/>
      <c r="O7" s="3225"/>
      <c r="P7" s="3225"/>
      <c r="Q7" s="14"/>
      <c r="R7" s="49"/>
      <c r="S7" s="756"/>
      <c r="T7" s="633"/>
      <c r="U7" s="95"/>
      <c r="V7" s="750"/>
      <c r="W7" s="3231"/>
      <c r="X7" s="3231"/>
      <c r="Y7" s="3231"/>
      <c r="Z7" s="3231"/>
      <c r="AA7" s="3231"/>
      <c r="AB7" s="3231"/>
      <c r="AC7" s="10"/>
      <c r="AD7" s="3225"/>
      <c r="AE7" s="3225"/>
      <c r="AF7" s="3225"/>
      <c r="AG7" s="3225"/>
      <c r="AH7" s="3225"/>
      <c r="AI7" s="3225"/>
      <c r="AJ7" s="3225"/>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31"/>
      <c r="D8" s="3231"/>
      <c r="E8" s="3231"/>
      <c r="F8" s="3231"/>
      <c r="G8" s="3231"/>
      <c r="H8" s="3231"/>
      <c r="I8" s="15"/>
      <c r="J8" s="15"/>
      <c r="K8" s="15"/>
      <c r="L8" s="15"/>
      <c r="M8" s="15"/>
      <c r="N8" s="15"/>
      <c r="O8" s="15"/>
      <c r="P8" s="15"/>
      <c r="Q8" s="16"/>
      <c r="R8" s="49"/>
      <c r="S8" s="756"/>
      <c r="T8" s="633"/>
      <c r="U8" s="95"/>
      <c r="V8" s="750"/>
      <c r="W8" s="3231"/>
      <c r="X8" s="3231"/>
      <c r="Y8" s="3231"/>
      <c r="Z8" s="3231"/>
      <c r="AA8" s="3231"/>
      <c r="AB8" s="3231"/>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34" t="s">
        <v>1787</v>
      </c>
      <c r="D10" s="3235"/>
      <c r="E10" s="3235"/>
      <c r="F10" s="3235"/>
      <c r="G10" s="3235"/>
      <c r="H10" s="3236"/>
      <c r="I10" s="57"/>
      <c r="R10" s="49"/>
      <c r="S10" s="756"/>
      <c r="T10" s="633"/>
      <c r="U10" s="95"/>
      <c r="V10" s="750"/>
      <c r="W10" s="3335" t="s">
        <v>9580</v>
      </c>
      <c r="X10" s="3336"/>
      <c r="Y10" s="3336"/>
      <c r="Z10" s="3336"/>
      <c r="AA10" s="3336"/>
      <c r="AB10" s="3336"/>
      <c r="AC10" s="3337"/>
      <c r="AD10" s="1581"/>
      <c r="AE10" s="4469" t="s">
        <v>1963</v>
      </c>
      <c r="AF10" s="4470"/>
      <c r="AG10" s="4470"/>
      <c r="AH10" s="4470"/>
      <c r="AI10" s="4470"/>
      <c r="AJ10" s="4470"/>
      <c r="AK10" s="1987">
        <f>IF(Tablas!G543&gt;0,0,SUM(I15:I25))-COUNTA(Místicos!AG12:AJ50)</f>
        <v>0</v>
      </c>
      <c r="AL10" s="1435"/>
      <c r="AM10" s="95"/>
      <c r="AN10" s="95"/>
      <c r="AO10" s="965"/>
      <c r="AQ10" s="4332" t="s">
        <v>7618</v>
      </c>
      <c r="AR10" s="4333"/>
      <c r="AS10" s="4334"/>
      <c r="AT10" s="4335" t="s">
        <v>7619</v>
      </c>
      <c r="AU10" s="4336"/>
      <c r="AV10" s="4337"/>
      <c r="AX10" s="977"/>
      <c r="AY10" s="753"/>
      <c r="AZ10" s="2472"/>
      <c r="BA10" s="2472" t="s">
        <v>9193</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31" t="s">
        <v>1964</v>
      </c>
      <c r="D11" s="4432"/>
      <c r="E11" s="4437" t="s">
        <v>1965</v>
      </c>
      <c r="F11" s="4432"/>
      <c r="G11" s="4386" t="s">
        <v>1966</v>
      </c>
      <c r="H11" s="4467"/>
      <c r="I11" s="57"/>
      <c r="J11" s="4388" t="s">
        <v>1961</v>
      </c>
      <c r="K11" s="4388"/>
      <c r="L11" s="4388"/>
      <c r="M11" s="4388"/>
      <c r="N11" s="49"/>
      <c r="O11" s="3391" t="s">
        <v>1786</v>
      </c>
      <c r="P11" s="3391"/>
      <c r="Q11" s="3391"/>
      <c r="R11" s="49"/>
      <c r="S11" s="756"/>
      <c r="T11" s="633"/>
      <c r="U11" s="95"/>
      <c r="V11" s="750"/>
      <c r="W11" s="4422" t="s">
        <v>1970</v>
      </c>
      <c r="X11" s="4423"/>
      <c r="Y11" s="4423" t="s">
        <v>1969</v>
      </c>
      <c r="Z11" s="4423"/>
      <c r="AA11" s="4423"/>
      <c r="AB11" s="4423"/>
      <c r="AC11" s="2230" t="s">
        <v>1676</v>
      </c>
      <c r="AD11" s="816" t="s">
        <v>7847</v>
      </c>
      <c r="AE11" s="3403" t="s">
        <v>1971</v>
      </c>
      <c r="AF11" s="3404"/>
      <c r="AG11" s="3404" t="s">
        <v>1969</v>
      </c>
      <c r="AH11" s="3404"/>
      <c r="AI11" s="3404"/>
      <c r="AJ11" s="3404"/>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43">
        <f>NiveldeMagia_final</f>
        <v>0</v>
      </c>
      <c r="D12" s="4444"/>
      <c r="E12" s="4433">
        <f>SUM(G15:G26)+G12</f>
        <v>0</v>
      </c>
      <c r="F12" s="4434"/>
      <c r="G12" s="4447">
        <f>Metamagia!$T$37</f>
        <v>0</v>
      </c>
      <c r="H12" s="4448"/>
      <c r="I12" s="57"/>
      <c r="J12" s="4468" t="s">
        <v>1967</v>
      </c>
      <c r="K12" s="4468"/>
      <c r="L12" s="4472" t="s">
        <v>1784</v>
      </c>
      <c r="M12" s="4472"/>
      <c r="N12" s="49"/>
      <c r="O12" s="840" t="s">
        <v>1666</v>
      </c>
      <c r="P12" s="122" t="s">
        <v>1839</v>
      </c>
      <c r="Q12" s="841" t="s">
        <v>1968</v>
      </c>
      <c r="R12" s="49"/>
      <c r="S12" s="756"/>
      <c r="T12" s="633" t="str">
        <f>"Conjuros"&amp;IF(W12="","","_"&amp;SUBSTITUTE(W12," ",""))</f>
        <v>Conjuros</v>
      </c>
      <c r="U12" s="95"/>
      <c r="V12" s="884">
        <f>IF(AC12="",0,VLOOKUP(AC12,Tablas!$M$1034:$N$1043,2))</f>
        <v>0</v>
      </c>
      <c r="W12" s="4398"/>
      <c r="X12" s="3909"/>
      <c r="Y12" s="4296"/>
      <c r="Z12" s="4297"/>
      <c r="AA12" s="4297"/>
      <c r="AB12" s="4298"/>
      <c r="AC12" s="1091" t="str">
        <f>IF(Místicos!Y12=0,"",VLOOKUP(Místicos!Y12,Tabla_Conjuros,3,FALSE))</f>
        <v/>
      </c>
      <c r="AD12" s="892" t="str">
        <f t="shared" ref="AD12:AD50" si="0">AE12&amp;AK12</f>
        <v/>
      </c>
      <c r="AE12" s="4398"/>
      <c r="AF12" s="3909"/>
      <c r="AG12" s="4296"/>
      <c r="AH12" s="4297"/>
      <c r="AI12" s="4297"/>
      <c r="AJ12" s="4298"/>
      <c r="AK12" s="2058"/>
      <c r="AL12" s="1582">
        <f>IF(Místicos!AG12=0,0,VLOOKUP(Místicos!AG12,Tabla_Conjuros,3,FALSE)-10)</f>
        <v>0</v>
      </c>
      <c r="AM12" s="1811" t="str">
        <f>IF(AK12=0,"Conjuros_LibreAcceso","Conjuros_LibreAcceso"&amp;(TRUNC(AK12/10)*10+10))</f>
        <v>Conjuros_LibreAcceso</v>
      </c>
      <c r="AN12" s="1811"/>
      <c r="AO12" s="965"/>
      <c r="AP12" s="4329" t="s">
        <v>7659</v>
      </c>
      <c r="AQ12" s="4330"/>
      <c r="AR12" s="4330"/>
      <c r="AS12" s="4330"/>
      <c r="AT12" s="4330"/>
      <c r="AU12" s="4330"/>
      <c r="AV12" s="4330"/>
      <c r="AW12" s="4331"/>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45"/>
      <c r="D13" s="4446"/>
      <c r="E13" s="4435"/>
      <c r="F13" s="4436"/>
      <c r="G13" s="4447"/>
      <c r="H13" s="4448"/>
      <c r="I13" s="57"/>
      <c r="J13" s="444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49"/>
      <c r="L13" s="4450">
        <f>ACT_final+L21</f>
        <v>0</v>
      </c>
      <c r="M13" s="4450"/>
      <c r="N13" s="49"/>
      <c r="O13" s="4451">
        <f>Turno_Nat_final</f>
        <v>40</v>
      </c>
      <c r="P13" s="4452">
        <f>IF(OR(PDs!E99="Proyección Mágica como ataque",PDs!E100="Proyección Mágica como ataque"),PDs!V22+ProyecciónMágica_final-PDs!V93,ProyecciónMágica_final+Q15)</f>
        <v>0</v>
      </c>
      <c r="Q13" s="4424">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399"/>
      <c r="X13" s="3912"/>
      <c r="Y13" s="4270"/>
      <c r="Z13" s="4271"/>
      <c r="AA13" s="4271"/>
      <c r="AB13" s="4272"/>
      <c r="AC13" s="708" t="str">
        <f>IF(Místicos!Y13=0,"",VLOOKUP(Místicos!Y13,Tabla_Conjuros,3,FALSE))</f>
        <v/>
      </c>
      <c r="AD13" s="892" t="str">
        <f t="shared" si="0"/>
        <v/>
      </c>
      <c r="AE13" s="4400"/>
      <c r="AF13" s="4261"/>
      <c r="AG13" s="4270"/>
      <c r="AH13" s="4271"/>
      <c r="AI13" s="4271"/>
      <c r="AJ13" s="4272"/>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56" t="s">
        <v>1970</v>
      </c>
      <c r="D14" s="4457"/>
      <c r="E14" s="4458" t="s">
        <v>1972</v>
      </c>
      <c r="F14" s="4459"/>
      <c r="G14" s="1771" t="s">
        <v>1973</v>
      </c>
      <c r="H14" s="876" t="s">
        <v>1676</v>
      </c>
      <c r="I14" s="1017"/>
      <c r="J14" s="4449"/>
      <c r="K14" s="4449"/>
      <c r="L14" s="4450"/>
      <c r="M14" s="4450"/>
      <c r="N14" s="49"/>
      <c r="O14" s="4451"/>
      <c r="P14" s="4452"/>
      <c r="Q14" s="4424"/>
      <c r="R14" s="49"/>
      <c r="S14" s="756"/>
      <c r="T14" s="633" t="str">
        <f t="shared" si="1"/>
        <v>Conjuros</v>
      </c>
      <c r="U14" s="95"/>
      <c r="V14" s="884">
        <f>IF(AC14="",0,VLOOKUP(AC14,Tablas!$M$1034:$N$1043,2))</f>
        <v>0</v>
      </c>
      <c r="W14" s="4398"/>
      <c r="X14" s="3909"/>
      <c r="Y14" s="4273"/>
      <c r="Z14" s="4274"/>
      <c r="AA14" s="4274"/>
      <c r="AB14" s="4275"/>
      <c r="AC14" s="1091" t="str">
        <f>IF(Místicos!Y14=0,"",VLOOKUP(Místicos!Y14,Tabla_Conjuros,3,FALSE))</f>
        <v/>
      </c>
      <c r="AD14" s="892" t="str">
        <f t="shared" si="0"/>
        <v/>
      </c>
      <c r="AE14" s="4398"/>
      <c r="AF14" s="3909"/>
      <c r="AG14" s="4273"/>
      <c r="AH14" s="4274"/>
      <c r="AI14" s="4274"/>
      <c r="AJ14" s="4275"/>
      <c r="AK14" s="2058"/>
      <c r="AL14" s="1582">
        <f>IF(Místicos!AG14=0,0,VLOOKUP(Místicos!AG14,Tabla_Conjuros,3,FALSE)-10)</f>
        <v>0</v>
      </c>
      <c r="AM14" s="1811" t="str">
        <f t="shared" si="2"/>
        <v>Conjuros_LibreAcceso</v>
      </c>
      <c r="AN14" s="633"/>
      <c r="AO14" s="965"/>
      <c r="AP14" s="4307" t="s">
        <v>7651</v>
      </c>
      <c r="AQ14" s="4308"/>
      <c r="AR14" s="4308"/>
      <c r="AS14" s="4348" t="s">
        <v>7676</v>
      </c>
      <c r="AT14" s="4308"/>
      <c r="AU14" s="4308"/>
      <c r="AV14" s="4308"/>
      <c r="AW14" s="4309"/>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66"/>
      <c r="D15" s="4453"/>
      <c r="E15" s="4454"/>
      <c r="F15" s="4455"/>
      <c r="G15" s="2131"/>
      <c r="H15" s="877">
        <f t="shared" ref="H15:H25" si="3">IF(C15="",0,MIN(100,G15/VLOOKUP(C15,Tabla_VíasOpuestas,7,FALSE)+VLOOKUP(C15,Tabla_VíasOpuestas,5,FALSE)))</f>
        <v>0</v>
      </c>
      <c r="I15" s="892">
        <f>IF(H15&gt;3,VLOOKUP(H15,Tabla_NumeroConjurosLA,IF(VLOOKUP(C15,ViasMayores,2,FALSE)="Mayor",2,3))-IF(Místicos!E15=0,0,TRUNC((H15+6)/10)),0)</f>
        <v>0</v>
      </c>
      <c r="J15" s="447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78"/>
      <c r="L15" s="4478"/>
      <c r="M15" s="4478"/>
      <c r="N15" s="49"/>
      <c r="O15" s="4479" t="s">
        <v>1974</v>
      </c>
      <c r="P15" s="4479"/>
      <c r="Q15" s="2429"/>
      <c r="R15" s="49"/>
      <c r="S15" s="756"/>
      <c r="T15" s="633" t="str">
        <f t="shared" si="1"/>
        <v>Conjuros</v>
      </c>
      <c r="U15" s="95"/>
      <c r="V15" s="884">
        <f>IF(AC15="",0,VLOOKUP(AC15,Tablas!$M$1034:$N$1043,2))</f>
        <v>0</v>
      </c>
      <c r="W15" s="4399"/>
      <c r="X15" s="3912"/>
      <c r="Y15" s="4270"/>
      <c r="Z15" s="4271"/>
      <c r="AA15" s="4271"/>
      <c r="AB15" s="4272"/>
      <c r="AC15" s="708" t="str">
        <f>IF(Místicos!Y15=0,"",VLOOKUP(Místicos!Y15,Tabla_Conjuros,3,FALSE))</f>
        <v/>
      </c>
      <c r="AD15" s="892" t="str">
        <f t="shared" si="0"/>
        <v/>
      </c>
      <c r="AE15" s="4400"/>
      <c r="AF15" s="4261"/>
      <c r="AG15" s="4270"/>
      <c r="AH15" s="4271"/>
      <c r="AI15" s="4271"/>
      <c r="AJ15" s="4272"/>
      <c r="AK15" s="2142"/>
      <c r="AL15" s="1582">
        <f>IF(Místicos!AG15=0,0,VLOOKUP(Místicos!AG15,Tabla_Conjuros,3,FALSE)-10)</f>
        <v>0</v>
      </c>
      <c r="AM15" s="1811" t="str">
        <f t="shared" si="2"/>
        <v>Conjuros_LibreAcceso</v>
      </c>
      <c r="AN15" s="633"/>
      <c r="AO15" s="965"/>
      <c r="AP15" s="946" t="s">
        <v>1676</v>
      </c>
      <c r="AQ15" s="4343" t="s">
        <v>7622</v>
      </c>
      <c r="AR15" s="4343"/>
      <c r="AS15" s="948" t="s">
        <v>1841</v>
      </c>
      <c r="AT15" s="898" t="s">
        <v>134</v>
      </c>
      <c r="AU15" s="898" t="s">
        <v>2482</v>
      </c>
      <c r="AV15" s="898" t="s">
        <v>1738</v>
      </c>
      <c r="AW15" s="945" t="s">
        <v>7649</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25"/>
      <c r="D16" s="4426"/>
      <c r="E16" s="4427"/>
      <c r="F16" s="4428"/>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398"/>
      <c r="X16" s="3909"/>
      <c r="Y16" s="4273"/>
      <c r="Z16" s="4274"/>
      <c r="AA16" s="4274"/>
      <c r="AB16" s="4275"/>
      <c r="AC16" s="1091" t="str">
        <f>IF(Místicos!Y16=0,"",VLOOKUP(Místicos!Y16,Tabla_Conjuros,3,FALSE))</f>
        <v/>
      </c>
      <c r="AD16" s="892" t="str">
        <f t="shared" si="0"/>
        <v/>
      </c>
      <c r="AE16" s="4398"/>
      <c r="AF16" s="3909"/>
      <c r="AG16" s="4273"/>
      <c r="AH16" s="4274"/>
      <c r="AI16" s="4274"/>
      <c r="AJ16" s="4275"/>
      <c r="AK16" s="2058"/>
      <c r="AL16" s="1582">
        <f>IF(Místicos!AG16=0,0,VLOOKUP(Místicos!AG16,Tabla_Conjuros,3,FALSE)-10)</f>
        <v>0</v>
      </c>
      <c r="AM16" s="1811" t="str">
        <f t="shared" si="2"/>
        <v>Conjuros_LibreAcceso</v>
      </c>
      <c r="AN16" s="633"/>
      <c r="AO16" s="965"/>
      <c r="AP16" s="953">
        <v>1</v>
      </c>
      <c r="AQ16" s="4299">
        <f>VLOOKUP(AP16,Tabla_MagiaNatural_DifBase,2,FALSE)+IF(NOT($AT$10="Magia Natural"),4,0)+IF($AS$32="",0,IF(ISNUMBER(SEARCH("(",$AS$32)),-4,-2))</f>
        <v>18</v>
      </c>
      <c r="AR16" s="4299"/>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63"/>
      <c r="D17" s="4460"/>
      <c r="E17" s="4310"/>
      <c r="F17" s="4265"/>
      <c r="G17" s="2132"/>
      <c r="H17" s="877">
        <f t="shared" si="3"/>
        <v>0</v>
      </c>
      <c r="I17" s="892">
        <f>IF(H17&gt;3,VLOOKUP(H17,Tabla_NumeroConjurosLA,IF(VLOOKUP(C17,ViasMayores,2,FALSE)="Mayor",2,3))-IF(Místicos!E17=0,0,TRUNC((H17+6)/10)),0)</f>
        <v>0</v>
      </c>
      <c r="J17" s="4438" t="s">
        <v>1783</v>
      </c>
      <c r="K17" s="4439"/>
      <c r="L17" s="4439"/>
      <c r="M17" s="4440"/>
      <c r="N17" s="4441" t="s">
        <v>1977</v>
      </c>
      <c r="O17" s="4442"/>
      <c r="P17" s="4442"/>
      <c r="Q17" s="2236">
        <f>VLOOKUP($L$13,Tabla_MagiaInnata,2)</f>
        <v>0</v>
      </c>
      <c r="R17" s="49"/>
      <c r="S17" s="756"/>
      <c r="T17" s="633" t="str">
        <f t="shared" si="1"/>
        <v>Conjuros</v>
      </c>
      <c r="U17" s="95"/>
      <c r="V17" s="884">
        <f>IF(AC17="",0,VLOOKUP(AC17,Tablas!$M$1034:$N$1043,2))</f>
        <v>0</v>
      </c>
      <c r="W17" s="4399"/>
      <c r="X17" s="3912"/>
      <c r="Y17" s="4270"/>
      <c r="Z17" s="4271"/>
      <c r="AA17" s="4271"/>
      <c r="AB17" s="4272"/>
      <c r="AC17" s="708" t="str">
        <f>IF(Místicos!Y17=0,"",VLOOKUP(Místicos!Y17,Tabla_Conjuros,3,FALSE))</f>
        <v/>
      </c>
      <c r="AD17" s="892" t="str">
        <f t="shared" si="0"/>
        <v/>
      </c>
      <c r="AE17" s="4400"/>
      <c r="AF17" s="4261"/>
      <c r="AG17" s="4270"/>
      <c r="AH17" s="4271"/>
      <c r="AI17" s="4271"/>
      <c r="AJ17" s="4272"/>
      <c r="AK17" s="2142"/>
      <c r="AL17" s="1582">
        <f>IF(Místicos!AG17=0,0,VLOOKUP(Místicos!AG17,Tabla_Conjuros,3,FALSE)-10)</f>
        <v>0</v>
      </c>
      <c r="AM17" s="1811" t="str">
        <f t="shared" si="2"/>
        <v>Conjuros_LibreAcceso</v>
      </c>
      <c r="AN17" s="633"/>
      <c r="AO17" s="965"/>
      <c r="AP17" s="953">
        <v>2</v>
      </c>
      <c r="AQ17" s="4299">
        <f>VLOOKUP(AP17,Tabla_MagiaNatural_DifBase,2,FALSE)+IF(NOT($AT$10="Magia Natural"),4,0)+IF($AS$32="",0,IF(ISNUMBER(SEARCH("(",$AS$32)),-4,-2))</f>
        <v>22</v>
      </c>
      <c r="AR17" s="4299"/>
      <c r="AS17" s="951">
        <v>50</v>
      </c>
      <c r="AT17" s="952" t="s">
        <v>6224</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490"/>
      <c r="D18" s="4491"/>
      <c r="E18" s="4427"/>
      <c r="F18" s="4428"/>
      <c r="G18" s="2138"/>
      <c r="H18" s="878">
        <f t="shared" si="3"/>
        <v>0</v>
      </c>
      <c r="I18" s="892">
        <f>IF(H18&gt;3,VLOOKUP(H18,Tabla_NumeroConjurosLA,IF(VLOOKUP(C18,ViasMayores,2,FALSE)="Mayor",2,3))-IF(Místicos!E18=0,0,TRUNC((H18+6)/10)),0)</f>
        <v>0</v>
      </c>
      <c r="J18" s="4461" t="s">
        <v>1978</v>
      </c>
      <c r="K18" s="4463">
        <f>Zeón_final+L20-IF(AT10="Onmyodo",SUM($AW$62:$AW$72),0)</f>
        <v>0</v>
      </c>
      <c r="L18" s="4464"/>
      <c r="M18" s="4473"/>
      <c r="N18" s="4474"/>
      <c r="O18" s="4474"/>
      <c r="P18" s="4474"/>
      <c r="Q18" s="4475"/>
      <c r="R18" s="49"/>
      <c r="S18" s="756"/>
      <c r="T18" s="633" t="str">
        <f t="shared" si="1"/>
        <v>Conjuros</v>
      </c>
      <c r="U18" s="95"/>
      <c r="V18" s="884">
        <f>IF(AC18="",0,VLOOKUP(AC18,Tablas!$M$1034:$N$1043,2))</f>
        <v>0</v>
      </c>
      <c r="W18" s="4398"/>
      <c r="X18" s="3909"/>
      <c r="Y18" s="4273"/>
      <c r="Z18" s="4274"/>
      <c r="AA18" s="4274"/>
      <c r="AB18" s="4275"/>
      <c r="AC18" s="1091" t="str">
        <f>IF(Místicos!Y18=0,"",VLOOKUP(Místicos!Y18,Tabla_Conjuros,3,FALSE))</f>
        <v/>
      </c>
      <c r="AD18" s="892" t="str">
        <f t="shared" si="0"/>
        <v/>
      </c>
      <c r="AE18" s="4398"/>
      <c r="AF18" s="3909"/>
      <c r="AG18" s="4273"/>
      <c r="AH18" s="4274"/>
      <c r="AI18" s="4274"/>
      <c r="AJ18" s="4275"/>
      <c r="AK18" s="2058"/>
      <c r="AL18" s="1582">
        <f>IF(Místicos!AG18=0,0,VLOOKUP(Místicos!AG18,Tabla_Conjuros,3,FALSE)-10)</f>
        <v>0</v>
      </c>
      <c r="AM18" s="1811" t="str">
        <f t="shared" si="2"/>
        <v>Conjuros_LibreAcceso</v>
      </c>
      <c r="AN18" s="633"/>
      <c r="AO18" s="965"/>
      <c r="AP18" s="953">
        <v>3</v>
      </c>
      <c r="AQ18" s="4299">
        <f>VLOOKUP(AP18,Tabla_MagiaNatural_DifBase,2,FALSE)+IF(NOT($AT$10="Magia Natural"),4,0)+IF($AS$32="",0,IF(ISNUMBER(SEARCH("(",$AS$32)),-4,-2))</f>
        <v>28</v>
      </c>
      <c r="AR18" s="4299"/>
      <c r="AS18" s="951">
        <v>100</v>
      </c>
      <c r="AT18" s="952" t="s">
        <v>7665</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63"/>
      <c r="D19" s="4460"/>
      <c r="E19" s="4310"/>
      <c r="F19" s="4265"/>
      <c r="G19" s="2132"/>
      <c r="H19" s="877">
        <f t="shared" si="3"/>
        <v>0</v>
      </c>
      <c r="I19" s="892">
        <f>IF(H19&gt;3,VLOOKUP(H19,Tabla_NumeroConjurosLA,IF(VLOOKUP(C19,ViasMayores,2,FALSE)="Mayor",2,3))-IF(Místicos!E19=0,0,TRUNC((H19+6)/10)),0)</f>
        <v>0</v>
      </c>
      <c r="J19" s="4462"/>
      <c r="K19" s="4465"/>
      <c r="L19" s="4466"/>
      <c r="M19" s="4474"/>
      <c r="N19" s="4474"/>
      <c r="O19" s="4474"/>
      <c r="P19" s="4474"/>
      <c r="Q19" s="4475"/>
      <c r="R19" s="49"/>
      <c r="S19" s="756"/>
      <c r="T19" s="633" t="str">
        <f t="shared" si="1"/>
        <v>Conjuros</v>
      </c>
      <c r="U19" s="95"/>
      <c r="V19" s="884">
        <f>IF(AC19="",0,VLOOKUP(AC19,Tablas!$M$1034:$N$1043,2))</f>
        <v>0</v>
      </c>
      <c r="W19" s="4399"/>
      <c r="X19" s="3912"/>
      <c r="Y19" s="4270"/>
      <c r="Z19" s="4271"/>
      <c r="AA19" s="4271"/>
      <c r="AB19" s="4272"/>
      <c r="AC19" s="708" t="str">
        <f>IF(Místicos!Y19=0,"",VLOOKUP(Místicos!Y19,Tabla_Conjuros,3,FALSE))</f>
        <v/>
      </c>
      <c r="AD19" s="892" t="str">
        <f t="shared" si="0"/>
        <v/>
      </c>
      <c r="AE19" s="4400"/>
      <c r="AF19" s="4261"/>
      <c r="AG19" s="4270"/>
      <c r="AH19" s="4271"/>
      <c r="AI19" s="4271"/>
      <c r="AJ19" s="4272"/>
      <c r="AK19" s="2142"/>
      <c r="AL19" s="1582">
        <f>IF(Místicos!AG19=0,0,VLOOKUP(Místicos!AG19,Tabla_Conjuros,3,FALSE)-10)</f>
        <v>0</v>
      </c>
      <c r="AM19" s="1811" t="str">
        <f t="shared" si="2"/>
        <v>Conjuros_LibreAcceso</v>
      </c>
      <c r="AN19" s="633"/>
      <c r="AO19" s="965"/>
      <c r="AP19" s="953">
        <v>4</v>
      </c>
      <c r="AQ19" s="4299">
        <f>VLOOKUP(AP19,Tabla_MagiaNatural_DifBase,2,FALSE)+IF(NOT($AT$10="Magia Natural"),4,0)+IF($AS$32="",0,IF(ISNUMBER(SEARCH("(",$AS$32)),-4,-2))</f>
        <v>34</v>
      </c>
      <c r="AR19" s="4299"/>
      <c r="AS19" s="951">
        <v>150</v>
      </c>
      <c r="AT19" s="952" t="s">
        <v>6227</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25"/>
      <c r="D20" s="4426"/>
      <c r="E20" s="4427"/>
      <c r="F20" s="4428"/>
      <c r="G20" s="2138"/>
      <c r="H20" s="878">
        <f t="shared" si="3"/>
        <v>0</v>
      </c>
      <c r="I20" s="892">
        <f>IF(H20&gt;3,VLOOKUP(H20,Tabla_NumeroConjurosLA,IF(VLOOKUP(C20,ViasMayores,2,FALSE)="Mayor",2,3))-IF(Místicos!E20=0,0,TRUNC((H20+6)/10)),0)</f>
        <v>0</v>
      </c>
      <c r="J20" s="4496" t="s">
        <v>1979</v>
      </c>
      <c r="K20" s="4497"/>
      <c r="L20" s="2231"/>
      <c r="M20" s="4474"/>
      <c r="N20" s="4474"/>
      <c r="O20" s="4474"/>
      <c r="P20" s="4474"/>
      <c r="Q20" s="4475"/>
      <c r="R20" s="49"/>
      <c r="S20" s="756"/>
      <c r="T20" s="633" t="str">
        <f t="shared" si="1"/>
        <v>Conjuros</v>
      </c>
      <c r="U20" s="95"/>
      <c r="V20" s="884">
        <f>IF(AC20="",0,VLOOKUP(AC20,Tablas!$M$1034:$N$1043,2))</f>
        <v>0</v>
      </c>
      <c r="W20" s="4398"/>
      <c r="X20" s="3909"/>
      <c r="Y20" s="4273"/>
      <c r="Z20" s="4274"/>
      <c r="AA20" s="4274"/>
      <c r="AB20" s="4275"/>
      <c r="AC20" s="1091" t="str">
        <f>IF(Místicos!Y20=0,"",VLOOKUP(Místicos!Y20,Tabla_Conjuros,3,FALSE))</f>
        <v/>
      </c>
      <c r="AD20" s="892" t="str">
        <f t="shared" si="0"/>
        <v/>
      </c>
      <c r="AE20" s="4398"/>
      <c r="AF20" s="3909"/>
      <c r="AG20" s="4273"/>
      <c r="AH20" s="4274"/>
      <c r="AI20" s="4274"/>
      <c r="AJ20" s="4275"/>
      <c r="AK20" s="2058"/>
      <c r="AL20" s="1582">
        <f>IF(Místicos!AG20=0,0,VLOOKUP(Místicos!AG20,Tabla_Conjuros,3,FALSE)-10)</f>
        <v>0</v>
      </c>
      <c r="AM20" s="1811" t="str">
        <f t="shared" si="2"/>
        <v>Conjuros_LibreAcceso</v>
      </c>
      <c r="AN20" s="633"/>
      <c r="AO20" s="965"/>
      <c r="AP20" s="955">
        <v>5</v>
      </c>
      <c r="AQ20" s="4300">
        <f>VLOOKUP(AP20,Tabla_MagiaNatural_DifBase,2,FALSE)+IF(NOT($AT$10="Magia Natural"),4,0)+IF($AS$32="",0,IF(ISNUMBER(SEARCH("(",$AS$32)),-4,-2))</f>
        <v>40</v>
      </c>
      <c r="AR20" s="4300"/>
      <c r="AS20" s="956">
        <v>250</v>
      </c>
      <c r="AT20" s="957" t="s">
        <v>7664</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29"/>
      <c r="D21" s="4430"/>
      <c r="E21" s="4310"/>
      <c r="F21" s="4265"/>
      <c r="G21" s="2132"/>
      <c r="H21" s="877">
        <f t="shared" si="3"/>
        <v>0</v>
      </c>
      <c r="I21" s="892">
        <f>IF(H21&gt;3,VLOOKUP(H21,Tabla_NumeroConjurosLA,IF(VLOOKUP(C21,ViasMayores,2,FALSE)="Mayor",2,3))-IF(Místicos!E21=0,0,TRUNC((H21+6)/10)),0)</f>
        <v>0</v>
      </c>
      <c r="J21" s="4498" t="s">
        <v>1981</v>
      </c>
      <c r="K21" s="4499"/>
      <c r="L21" s="2237"/>
      <c r="M21" s="4476"/>
      <c r="N21" s="4476"/>
      <c r="O21" s="4476"/>
      <c r="P21" s="4476"/>
      <c r="Q21" s="4477"/>
      <c r="R21" s="49"/>
      <c r="S21" s="756"/>
      <c r="T21" s="633" t="str">
        <f t="shared" si="1"/>
        <v>Conjuros</v>
      </c>
      <c r="U21" s="95"/>
      <c r="V21" s="884">
        <f>IF(AC21="",0,VLOOKUP(AC21,Tablas!$M$1034:$N$1043,2))</f>
        <v>0</v>
      </c>
      <c r="W21" s="4399"/>
      <c r="X21" s="3912"/>
      <c r="Y21" s="4270"/>
      <c r="Z21" s="4271"/>
      <c r="AA21" s="4271"/>
      <c r="AB21" s="4272"/>
      <c r="AC21" s="708" t="str">
        <f>IF(Místicos!Y21=0,"",VLOOKUP(Místicos!Y21,Tabla_Conjuros,3,FALSE))</f>
        <v/>
      </c>
      <c r="AD21" s="892" t="str">
        <f t="shared" si="0"/>
        <v/>
      </c>
      <c r="AE21" s="4400"/>
      <c r="AF21" s="4261"/>
      <c r="AG21" s="4270"/>
      <c r="AH21" s="4271"/>
      <c r="AI21" s="4271"/>
      <c r="AJ21" s="4272"/>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25"/>
      <c r="D22" s="4426"/>
      <c r="E22" s="4427"/>
      <c r="F22" s="4428"/>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398"/>
      <c r="X22" s="3909"/>
      <c r="Y22" s="4273"/>
      <c r="Z22" s="4274"/>
      <c r="AA22" s="4274"/>
      <c r="AB22" s="4275"/>
      <c r="AC22" s="1091" t="str">
        <f>IF(Místicos!Y22=0,"",VLOOKUP(Místicos!Y22,Tabla_Conjuros,3,FALSE))</f>
        <v/>
      </c>
      <c r="AD22" s="892" t="str">
        <f t="shared" si="0"/>
        <v/>
      </c>
      <c r="AE22" s="4398"/>
      <c r="AF22" s="3909"/>
      <c r="AG22" s="4273"/>
      <c r="AH22" s="4274"/>
      <c r="AI22" s="4274"/>
      <c r="AJ22" s="4275"/>
      <c r="AK22" s="2058"/>
      <c r="AL22" s="1582">
        <f>IF(Místicos!AG22=0,0,VLOOKUP(Místicos!AG22,Tabla_Conjuros,3,FALSE)-10)</f>
        <v>0</v>
      </c>
      <c r="AM22" s="1811" t="str">
        <f t="shared" si="2"/>
        <v>Conjuros_LibreAcceso</v>
      </c>
      <c r="AN22" s="633"/>
      <c r="AO22" s="965"/>
      <c r="AP22" s="4307" t="s">
        <v>7672</v>
      </c>
      <c r="AQ22" s="4308"/>
      <c r="AR22" s="4308"/>
      <c r="AS22" s="4308"/>
      <c r="AT22" s="4308"/>
      <c r="AU22" s="4308"/>
      <c r="AV22" s="4308"/>
      <c r="AW22" s="4309"/>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29"/>
      <c r="D23" s="4430"/>
      <c r="E23" s="4310"/>
      <c r="F23" s="4265"/>
      <c r="G23" s="2132"/>
      <c r="H23" s="877">
        <f t="shared" si="3"/>
        <v>0</v>
      </c>
      <c r="I23" s="892">
        <f>IF(H23&gt;3,VLOOKUP(H23,Tabla_NumeroConjurosLA,IF(VLOOKUP(C23,ViasMayores,2,FALSE)="Mayor",2,3))-IF(Místicos!E23=0,0,TRUNC((H23+6)/10)),0)</f>
        <v>0</v>
      </c>
      <c r="J23" s="3226" t="s">
        <v>1984</v>
      </c>
      <c r="K23" s="3190"/>
      <c r="L23" s="3190"/>
      <c r="M23" s="3189"/>
      <c r="N23" s="3190"/>
      <c r="O23" s="3190"/>
      <c r="P23" s="3190"/>
      <c r="Q23" s="3191"/>
      <c r="R23" s="49"/>
      <c r="S23" s="756"/>
      <c r="T23" s="633" t="str">
        <f t="shared" si="1"/>
        <v>Conjuros</v>
      </c>
      <c r="U23" s="95"/>
      <c r="V23" s="884">
        <f>IF(AC23="",0,VLOOKUP(AC23,Tablas!$M$1034:$N$1043,2))</f>
        <v>0</v>
      </c>
      <c r="W23" s="4399"/>
      <c r="X23" s="3912"/>
      <c r="Y23" s="4270"/>
      <c r="Z23" s="4271"/>
      <c r="AA23" s="4271"/>
      <c r="AB23" s="4272"/>
      <c r="AC23" s="708" t="str">
        <f>IF(Místicos!Y23=0,"",VLOOKUP(Místicos!Y23,Tabla_Conjuros,3,FALSE))</f>
        <v/>
      </c>
      <c r="AD23" s="892" t="str">
        <f t="shared" si="0"/>
        <v/>
      </c>
      <c r="AE23" s="4400"/>
      <c r="AF23" s="4261"/>
      <c r="AG23" s="4270"/>
      <c r="AH23" s="4271"/>
      <c r="AI23" s="4271"/>
      <c r="AJ23" s="4272"/>
      <c r="AK23" s="2142"/>
      <c r="AL23" s="1582">
        <f>IF(Místicos!AG23=0,0,VLOOKUP(Místicos!AG23,Tabla_Conjuros,3,FALSE)-10)</f>
        <v>0</v>
      </c>
      <c r="AM23" s="1811" t="str">
        <f t="shared" si="2"/>
        <v>Conjuros_LibreAcceso</v>
      </c>
      <c r="AN23" s="633"/>
      <c r="AO23" s="965"/>
      <c r="AP23" s="4342" t="s">
        <v>7623</v>
      </c>
      <c r="AQ23" s="4343"/>
      <c r="AR23" s="1997" t="s">
        <v>7673</v>
      </c>
      <c r="AS23" s="4343" t="s">
        <v>7625</v>
      </c>
      <c r="AT23" s="4343"/>
      <c r="AU23" s="1997" t="s">
        <v>7673</v>
      </c>
      <c r="AV23" s="1975" t="s">
        <v>3027</v>
      </c>
      <c r="AW23" s="1978" t="s">
        <v>7673</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25"/>
      <c r="D24" s="4426"/>
      <c r="E24" s="4427"/>
      <c r="F24" s="4428"/>
      <c r="G24" s="2138"/>
      <c r="H24" s="878">
        <f t="shared" si="3"/>
        <v>0</v>
      </c>
      <c r="I24" s="892">
        <f>IF(H24&gt;3,VLOOKUP(H24,Tabla_NumeroConjurosLA,IF(VLOOKUP(C24,ViasMayores,2,FALSE)="Mayor",2,3))-IF(Místicos!E24=0,0,TRUNC((H24+6)/10)),0)</f>
        <v>0</v>
      </c>
      <c r="J24" s="4500" t="s">
        <v>1648</v>
      </c>
      <c r="K24" s="4501"/>
      <c r="L24" s="2233" t="s">
        <v>1691</v>
      </c>
      <c r="M24" s="2232" t="s">
        <v>1622</v>
      </c>
      <c r="N24" s="4502" t="s">
        <v>1986</v>
      </c>
      <c r="O24" s="4503"/>
      <c r="P24" s="4503"/>
      <c r="Q24" s="2234" t="str">
        <f>IF(P25="Invocador","No","Nv. "&amp;PDs!R15+Tablas!G388+2*Tablas!G389+3*Tablas!G390)</f>
        <v>Nv. 0</v>
      </c>
      <c r="R24" s="49"/>
      <c r="S24" s="756"/>
      <c r="T24" s="633" t="str">
        <f t="shared" si="1"/>
        <v>Conjuros</v>
      </c>
      <c r="U24" s="95"/>
      <c r="V24" s="884">
        <f>IF(AC24="",0,VLOOKUP(AC24,Tablas!$M$1034:$N$1043,2))</f>
        <v>0</v>
      </c>
      <c r="W24" s="4398"/>
      <c r="X24" s="3909"/>
      <c r="Y24" s="4273"/>
      <c r="Z24" s="4274"/>
      <c r="AA24" s="4274"/>
      <c r="AB24" s="4275"/>
      <c r="AC24" s="1091" t="str">
        <f>IF(Místicos!Y24=0,"",VLOOKUP(Místicos!Y24,Tabla_Conjuros,3,FALSE))</f>
        <v/>
      </c>
      <c r="AD24" s="892" t="str">
        <f t="shared" si="0"/>
        <v/>
      </c>
      <c r="AE24" s="4398"/>
      <c r="AF24" s="3909"/>
      <c r="AG24" s="4273"/>
      <c r="AH24" s="4274"/>
      <c r="AI24" s="4274"/>
      <c r="AJ24" s="4275"/>
      <c r="AK24" s="2058"/>
      <c r="AL24" s="1582">
        <f>IF(Místicos!AG24=0,0,VLOOKUP(Místicos!AG24,Tabla_Conjuros,3,FALSE)-10)</f>
        <v>0</v>
      </c>
      <c r="AM24" s="1811" t="str">
        <f t="shared" si="2"/>
        <v>Conjuros_LibreAcceso</v>
      </c>
      <c r="AN24" s="633"/>
      <c r="AO24" s="965"/>
      <c r="AP24" s="4344" t="s">
        <v>7624</v>
      </c>
      <c r="AQ24" s="4345"/>
      <c r="AR24" s="1988" t="s">
        <v>7642</v>
      </c>
      <c r="AS24" s="4349" t="s">
        <v>7626</v>
      </c>
      <c r="AT24" s="4345"/>
      <c r="AU24" s="1989" t="s">
        <v>7642</v>
      </c>
      <c r="AV24" s="1990" t="s">
        <v>7631</v>
      </c>
      <c r="AW24" s="1991" t="s">
        <v>7658</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84"/>
      <c r="D25" s="4485"/>
      <c r="E25" s="4486"/>
      <c r="F25" s="4487"/>
      <c r="G25" s="2133"/>
      <c r="H25" s="879">
        <f t="shared" si="3"/>
        <v>0</v>
      </c>
      <c r="I25" s="892">
        <f>IF(H25&gt;3,VLOOKUP(H25,Tabla_NumeroConjurosLA,IF(VLOOKUP(C25,ViasMayores,2,FALSE)="Mayor",2,3))-IF(Místicos!E25=0,0,TRUNC((H25+6)/10)),0)</f>
        <v>0</v>
      </c>
      <c r="J25" s="4403" t="s">
        <v>1789</v>
      </c>
      <c r="K25" s="4404"/>
      <c r="L25" s="2172"/>
      <c r="M25" s="2139">
        <f>Convocar_final+L25</f>
        <v>0</v>
      </c>
      <c r="N25" s="3969" t="s">
        <v>1988</v>
      </c>
      <c r="O25" s="3969"/>
      <c r="P25" s="3310"/>
      <c r="Q25" s="3521"/>
      <c r="R25" s="49"/>
      <c r="S25" s="756"/>
      <c r="T25" s="633" t="str">
        <f t="shared" si="1"/>
        <v>Conjuros</v>
      </c>
      <c r="U25" s="95"/>
      <c r="V25" s="884">
        <f>IF(AC25="",0,VLOOKUP(AC25,Tablas!$M$1034:$N$1043,2))</f>
        <v>0</v>
      </c>
      <c r="W25" s="4399"/>
      <c r="X25" s="3912"/>
      <c r="Y25" s="4270"/>
      <c r="Z25" s="4271"/>
      <c r="AA25" s="4271"/>
      <c r="AB25" s="4272"/>
      <c r="AC25" s="708" t="str">
        <f>IF(Místicos!Y25=0,"",VLOOKUP(Místicos!Y25,Tabla_Conjuros,3,FALSE))</f>
        <v/>
      </c>
      <c r="AD25" s="892" t="str">
        <f t="shared" si="0"/>
        <v/>
      </c>
      <c r="AE25" s="4400"/>
      <c r="AF25" s="4261"/>
      <c r="AG25" s="4270"/>
      <c r="AH25" s="4271"/>
      <c r="AI25" s="4271"/>
      <c r="AJ25" s="4272"/>
      <c r="AK25" s="2142"/>
      <c r="AL25" s="1582">
        <f>IF(Místicos!AG25=0,0,VLOOKUP(Místicos!AG25,Tabla_Conjuros,3,FALSE)-10)</f>
        <v>0</v>
      </c>
      <c r="AM25" s="1811" t="str">
        <f t="shared" si="2"/>
        <v>Conjuros_LibreAcceso</v>
      </c>
      <c r="AN25" s="633"/>
      <c r="AO25" s="965"/>
      <c r="AP25" s="4346" t="s">
        <v>7620</v>
      </c>
      <c r="AQ25" s="4339"/>
      <c r="AR25" s="949" t="s">
        <v>3286</v>
      </c>
      <c r="AS25" s="4338" t="s">
        <v>2013</v>
      </c>
      <c r="AT25" s="4339"/>
      <c r="AU25" s="950" t="s">
        <v>3286</v>
      </c>
      <c r="AV25" s="1976" t="s">
        <v>7632</v>
      </c>
      <c r="AW25" s="1992" t="s">
        <v>3712</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50" t="s">
        <v>1962</v>
      </c>
      <c r="D26" s="4251"/>
      <c r="E26" s="4251"/>
      <c r="F26" s="4251"/>
      <c r="G26" s="4252"/>
      <c r="H26" s="930">
        <f>SUM(V12:V50)</f>
        <v>0</v>
      </c>
      <c r="I26" s="1017"/>
      <c r="J26" s="4403" t="s">
        <v>1790</v>
      </c>
      <c r="K26" s="4404"/>
      <c r="L26" s="2127"/>
      <c r="M26" s="2140">
        <f>Controlar_final+L26</f>
        <v>0</v>
      </c>
      <c r="N26" s="4480" t="str">
        <f>IF(P25=0,"",IF(P25="Invocador","Invocador: No puede convocar criaturas","Elementalismo: +30 sobre seres afines, -30 sobre el resto, -60 sobre opuestos"))</f>
        <v/>
      </c>
      <c r="O26" s="4480"/>
      <c r="P26" s="4480"/>
      <c r="Q26" s="4481"/>
      <c r="R26" s="49"/>
      <c r="S26" s="756"/>
      <c r="T26" s="633" t="str">
        <f t="shared" si="1"/>
        <v>Conjuros</v>
      </c>
      <c r="U26" s="95"/>
      <c r="V26" s="884">
        <f>IF(AC26="",0,VLOOKUP(AC26,Tablas!$M$1034:$N$1043,2))</f>
        <v>0</v>
      </c>
      <c r="W26" s="4398"/>
      <c r="X26" s="3909"/>
      <c r="Y26" s="4273"/>
      <c r="Z26" s="4274"/>
      <c r="AA26" s="4274"/>
      <c r="AB26" s="4275"/>
      <c r="AC26" s="1091" t="str">
        <f>IF(Místicos!Y26=0,"",VLOOKUP(Místicos!Y26,Tabla_Conjuros,3,FALSE))</f>
        <v/>
      </c>
      <c r="AD26" s="892" t="str">
        <f t="shared" si="0"/>
        <v/>
      </c>
      <c r="AE26" s="4398"/>
      <c r="AF26" s="3909"/>
      <c r="AG26" s="4273"/>
      <c r="AH26" s="4274"/>
      <c r="AI26" s="4274"/>
      <c r="AJ26" s="4275"/>
      <c r="AK26" s="2058"/>
      <c r="AL26" s="1582">
        <f>IF(Místicos!AG26=0,0,VLOOKUP(Místicos!AG26,Tabla_Conjuros,3,FALSE)-10)</f>
        <v>0</v>
      </c>
      <c r="AM26" s="1811" t="str">
        <f t="shared" si="2"/>
        <v>Conjuros_LibreAcceso</v>
      </c>
      <c r="AN26" s="633"/>
      <c r="AO26" s="965"/>
      <c r="AP26" s="4346" t="s">
        <v>7628</v>
      </c>
      <c r="AQ26" s="4339"/>
      <c r="AR26" s="949" t="s">
        <v>3286</v>
      </c>
      <c r="AS26" s="4338" t="s">
        <v>2015</v>
      </c>
      <c r="AT26" s="4339"/>
      <c r="AU26" s="950" t="s">
        <v>3230</v>
      </c>
      <c r="AV26" s="1976" t="s">
        <v>7633</v>
      </c>
      <c r="AW26" s="1972" t="s">
        <v>7642</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05" t="s">
        <v>7612</v>
      </c>
      <c r="D27" s="4406"/>
      <c r="E27" s="3361" t="str">
        <f>Tablas!$R$1057</f>
        <v/>
      </c>
      <c r="F27" s="3361"/>
      <c r="G27" s="3361"/>
      <c r="H27" s="4409"/>
      <c r="I27" s="57"/>
      <c r="J27" s="4403" t="s">
        <v>1791</v>
      </c>
      <c r="K27" s="4404"/>
      <c r="L27" s="2127"/>
      <c r="M27" s="2140">
        <f>Atar_final+L27</f>
        <v>0</v>
      </c>
      <c r="N27" s="4480"/>
      <c r="O27" s="4480"/>
      <c r="P27" s="4480"/>
      <c r="Q27" s="4481"/>
      <c r="R27" s="49"/>
      <c r="S27" s="756"/>
      <c r="T27" s="633" t="str">
        <f t="shared" si="1"/>
        <v>Conjuros</v>
      </c>
      <c r="U27" s="95"/>
      <c r="V27" s="884">
        <f>IF(AC27="",0,VLOOKUP(AC27,Tablas!$M$1034:$N$1043,2))</f>
        <v>0</v>
      </c>
      <c r="W27" s="4399"/>
      <c r="X27" s="3912"/>
      <c r="Y27" s="4270"/>
      <c r="Z27" s="4271"/>
      <c r="AA27" s="4271"/>
      <c r="AB27" s="4272"/>
      <c r="AC27" s="708" t="str">
        <f>IF(Místicos!Y27=0,"",VLOOKUP(Místicos!Y27,Tabla_Conjuros,3,FALSE))</f>
        <v/>
      </c>
      <c r="AD27" s="892" t="str">
        <f t="shared" si="0"/>
        <v/>
      </c>
      <c r="AE27" s="4400"/>
      <c r="AF27" s="4261"/>
      <c r="AG27" s="4270"/>
      <c r="AH27" s="4271"/>
      <c r="AI27" s="4271"/>
      <c r="AJ27" s="4272"/>
      <c r="AK27" s="2142"/>
      <c r="AL27" s="1582">
        <f>IF(Místicos!AG27=0,0,VLOOKUP(Místicos!AG27,Tabla_Conjuros,3,FALSE)-10)</f>
        <v>0</v>
      </c>
      <c r="AM27" s="1811" t="str">
        <f t="shared" si="2"/>
        <v>Conjuros_LibreAcceso</v>
      </c>
      <c r="AN27" s="633"/>
      <c r="AO27" s="965"/>
      <c r="AP27" s="4346" t="s">
        <v>7629</v>
      </c>
      <c r="AQ27" s="4339"/>
      <c r="AR27" s="949" t="s">
        <v>3230</v>
      </c>
      <c r="AS27" s="4338" t="s">
        <v>7627</v>
      </c>
      <c r="AT27" s="4339"/>
      <c r="AU27" s="950" t="s">
        <v>3231</v>
      </c>
      <c r="AV27" s="1976" t="s">
        <v>7634</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07"/>
      <c r="D28" s="4408"/>
      <c r="E28" s="3354"/>
      <c r="F28" s="3354"/>
      <c r="G28" s="3354"/>
      <c r="H28" s="4410"/>
      <c r="I28" s="57"/>
      <c r="J28" s="4418" t="s">
        <v>1792</v>
      </c>
      <c r="K28" s="4419"/>
      <c r="L28" s="2193"/>
      <c r="M28" s="2235">
        <f>Desconvocar_final+L28</f>
        <v>0</v>
      </c>
      <c r="N28" s="4482"/>
      <c r="O28" s="4482"/>
      <c r="P28" s="4482"/>
      <c r="Q28" s="4483"/>
      <c r="R28" s="49"/>
      <c r="S28" s="756"/>
      <c r="T28" s="633" t="str">
        <f t="shared" si="1"/>
        <v>Conjuros</v>
      </c>
      <c r="U28" s="95"/>
      <c r="V28" s="884">
        <f>IF(AC28="",0,VLOOKUP(AC28,Tablas!$M$1034:$N$1043,2))</f>
        <v>0</v>
      </c>
      <c r="W28" s="4398"/>
      <c r="X28" s="3909"/>
      <c r="Y28" s="4273"/>
      <c r="Z28" s="4274"/>
      <c r="AA28" s="4274"/>
      <c r="AB28" s="4275"/>
      <c r="AC28" s="1091" t="str">
        <f>IF(Místicos!Y28=0,"",VLOOKUP(Místicos!Y28,Tabla_Conjuros,3,FALSE))</f>
        <v/>
      </c>
      <c r="AD28" s="892" t="str">
        <f t="shared" si="0"/>
        <v/>
      </c>
      <c r="AE28" s="4398"/>
      <c r="AF28" s="3909"/>
      <c r="AG28" s="4273"/>
      <c r="AH28" s="4274"/>
      <c r="AI28" s="4274"/>
      <c r="AJ28" s="4275"/>
      <c r="AK28" s="2058"/>
      <c r="AL28" s="1582">
        <f>IF(Místicos!AG28=0,0,VLOOKUP(Místicos!AG28,Tabla_Conjuros,3,FALSE)-10)</f>
        <v>0</v>
      </c>
      <c r="AM28" s="1811" t="str">
        <f t="shared" si="2"/>
        <v>Conjuros_LibreAcceso</v>
      </c>
      <c r="AN28" s="633"/>
      <c r="AO28" s="965"/>
      <c r="AP28" s="4346" t="s">
        <v>7630</v>
      </c>
      <c r="AQ28" s="4339"/>
      <c r="AR28" s="949" t="s">
        <v>3231</v>
      </c>
      <c r="AS28" s="4338" t="s">
        <v>2018</v>
      </c>
      <c r="AT28" s="4339"/>
      <c r="AU28" s="950" t="s">
        <v>3712</v>
      </c>
      <c r="AV28" s="1976" t="s">
        <v>7635</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1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5"/>
      <c r="E29" s="4415"/>
      <c r="F29" s="4415"/>
      <c r="G29" s="4415"/>
      <c r="H29" s="4416"/>
      <c r="I29" s="57"/>
      <c r="R29" s="49"/>
      <c r="S29" s="756"/>
      <c r="T29" s="633" t="str">
        <f t="shared" si="1"/>
        <v>Conjuros</v>
      </c>
      <c r="U29" s="95"/>
      <c r="V29" s="884">
        <f>IF(AC29="",0,VLOOKUP(AC29,Tablas!$M$1034:$N$1043,2))</f>
        <v>0</v>
      </c>
      <c r="W29" s="4399"/>
      <c r="X29" s="3912"/>
      <c r="Y29" s="4270"/>
      <c r="Z29" s="4271"/>
      <c r="AA29" s="4271"/>
      <c r="AB29" s="4272"/>
      <c r="AC29" s="708" t="str">
        <f>IF(Místicos!Y29=0,"",VLOOKUP(Místicos!Y29,Tabla_Conjuros,3,FALSE))</f>
        <v/>
      </c>
      <c r="AD29" s="892" t="str">
        <f t="shared" si="0"/>
        <v/>
      </c>
      <c r="AE29" s="4400"/>
      <c r="AF29" s="4261"/>
      <c r="AG29" s="4270"/>
      <c r="AH29" s="4271"/>
      <c r="AI29" s="4271"/>
      <c r="AJ29" s="4272"/>
      <c r="AK29" s="2142"/>
      <c r="AL29" s="1582">
        <f>IF(Místicos!AG29=0,0,VLOOKUP(Místicos!AG29,Tabla_Conjuros,3,FALSE)-10)</f>
        <v>0</v>
      </c>
      <c r="AM29" s="1811" t="str">
        <f t="shared" si="2"/>
        <v>Conjuros_LibreAcceso</v>
      </c>
      <c r="AN29" s="633"/>
      <c r="AO29" s="965"/>
      <c r="AP29" s="4347" t="s">
        <v>7666</v>
      </c>
      <c r="AQ29" s="4341"/>
      <c r="AR29" s="1993" t="s">
        <v>3712</v>
      </c>
      <c r="AS29" s="4340" t="s">
        <v>2023</v>
      </c>
      <c r="AT29" s="4341"/>
      <c r="AU29" s="1994" t="s">
        <v>7643</v>
      </c>
      <c r="AV29" s="1976" t="s">
        <v>7636</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398"/>
      <c r="X30" s="3909"/>
      <c r="Y30" s="4273"/>
      <c r="Z30" s="4274"/>
      <c r="AA30" s="4274"/>
      <c r="AB30" s="4275"/>
      <c r="AC30" s="1091" t="str">
        <f>IF(Místicos!Y30=0,"",VLOOKUP(Místicos!Y30,Tabla_Conjuros,3,FALSE))</f>
        <v/>
      </c>
      <c r="AD30" s="892" t="str">
        <f t="shared" si="0"/>
        <v/>
      </c>
      <c r="AE30" s="4398"/>
      <c r="AF30" s="3909"/>
      <c r="AG30" s="4273"/>
      <c r="AH30" s="4274"/>
      <c r="AI30" s="4274"/>
      <c r="AJ30" s="4275"/>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20" t="s">
        <v>1990</v>
      </c>
      <c r="D31" s="4420"/>
      <c r="E31" s="4420"/>
      <c r="F31" s="4420"/>
      <c r="G31" s="4420"/>
      <c r="H31" s="4154" t="s">
        <v>1991</v>
      </c>
      <c r="I31" s="57"/>
      <c r="J31" s="3188" t="s">
        <v>1992</v>
      </c>
      <c r="K31" s="3189"/>
      <c r="L31" s="3189"/>
      <c r="M31" s="3189"/>
      <c r="N31" s="3189"/>
      <c r="O31" s="3189"/>
      <c r="P31" s="3189"/>
      <c r="Q31" s="3563"/>
      <c r="R31" s="49"/>
      <c r="S31" s="756"/>
      <c r="T31" s="633" t="str">
        <f t="shared" si="1"/>
        <v>Conjuros</v>
      </c>
      <c r="U31" s="95"/>
      <c r="V31" s="884">
        <f>IF(AC31="",0,VLOOKUP(AC31,Tablas!$M$1034:$N$1043,2))</f>
        <v>0</v>
      </c>
      <c r="W31" s="4399"/>
      <c r="X31" s="3912"/>
      <c r="Y31" s="4270"/>
      <c r="Z31" s="4271"/>
      <c r="AA31" s="4271"/>
      <c r="AB31" s="4272"/>
      <c r="AC31" s="708" t="str">
        <f>IF(Místicos!Y31=0,"",VLOOKUP(Místicos!Y31,Tabla_Conjuros,3,FALSE))</f>
        <v/>
      </c>
      <c r="AD31" s="892" t="str">
        <f t="shared" si="0"/>
        <v/>
      </c>
      <c r="AE31" s="4400"/>
      <c r="AF31" s="4261"/>
      <c r="AG31" s="4270"/>
      <c r="AH31" s="4271"/>
      <c r="AI31" s="4271"/>
      <c r="AJ31" s="4272"/>
      <c r="AK31" s="2142"/>
      <c r="AL31" s="1582">
        <f>IF(Místicos!AG31=0,0,VLOOKUP(Místicos!AG31,Tabla_Conjuros,3,FALSE)-10)</f>
        <v>0</v>
      </c>
      <c r="AM31" s="1811" t="str">
        <f t="shared" si="2"/>
        <v>Conjuros_LibreAcceso</v>
      </c>
      <c r="AN31" s="633"/>
      <c r="AO31" s="965"/>
      <c r="AP31" s="947"/>
      <c r="AQ31" s="4305" t="s">
        <v>3028</v>
      </c>
      <c r="AR31" s="4306"/>
      <c r="AS31" s="4318" t="s">
        <v>6953</v>
      </c>
      <c r="AT31" s="4319"/>
      <c r="AU31" s="808"/>
      <c r="AV31" s="1995" t="s">
        <v>7638</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17" t="s">
        <v>1993</v>
      </c>
      <c r="D32" s="4417"/>
      <c r="E32" s="4417"/>
      <c r="F32" s="4417"/>
      <c r="G32" s="4417"/>
      <c r="H32" s="4154"/>
      <c r="I32" s="57"/>
      <c r="J32" s="4421" t="s">
        <v>1714</v>
      </c>
      <c r="K32" s="3196"/>
      <c r="L32" s="3196"/>
      <c r="M32" s="3196"/>
      <c r="N32" s="3196"/>
      <c r="O32" s="3196"/>
      <c r="P32" s="893" t="s">
        <v>1994</v>
      </c>
      <c r="Q32" s="873" t="s">
        <v>1783</v>
      </c>
      <c r="R32" s="49"/>
      <c r="S32" s="756"/>
      <c r="T32" s="633" t="str">
        <f t="shared" si="1"/>
        <v>Conjuros</v>
      </c>
      <c r="U32" s="95"/>
      <c r="V32" s="884">
        <f>IF(AC32="",0,VLOOKUP(AC32,Tablas!$M$1034:$N$1043,2))</f>
        <v>0</v>
      </c>
      <c r="W32" s="4398"/>
      <c r="X32" s="3909"/>
      <c r="Y32" s="4273"/>
      <c r="Z32" s="4274"/>
      <c r="AA32" s="4274"/>
      <c r="AB32" s="4275"/>
      <c r="AC32" s="1091" t="str">
        <f>IF(Místicos!Y32=0,"",VLOOKUP(Místicos!Y32,Tabla_Conjuros,3,FALSE))</f>
        <v/>
      </c>
      <c r="AD32" s="892" t="str">
        <f t="shared" si="0"/>
        <v/>
      </c>
      <c r="AE32" s="4398"/>
      <c r="AF32" s="3909"/>
      <c r="AG32" s="4273"/>
      <c r="AH32" s="4274"/>
      <c r="AI32" s="4274"/>
      <c r="AJ32" s="4275"/>
      <c r="AK32" s="2058"/>
      <c r="AL32" s="1582">
        <f>IF(Místicos!AG32=0,0,VLOOKUP(Místicos!AG32,Tabla_Conjuros,3,FALSE)-10)</f>
        <v>0</v>
      </c>
      <c r="AM32" s="1811" t="str">
        <f t="shared" si="2"/>
        <v>Conjuros_LibreAcceso</v>
      </c>
      <c r="AN32" s="633"/>
      <c r="AO32" s="965"/>
      <c r="AP32" s="947"/>
      <c r="AQ32" s="4314">
        <f>Presencia_final*2+Bono_Des</f>
        <v>40</v>
      </c>
      <c r="AR32" s="4315"/>
      <c r="AS32" s="4310"/>
      <c r="AT32" s="4311"/>
      <c r="AU32" s="808"/>
      <c r="AV32" s="1995" t="s">
        <v>7639</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11"/>
      <c r="D33" s="4412"/>
      <c r="E33" s="4412"/>
      <c r="F33" s="4412"/>
      <c r="G33" s="4413"/>
      <c r="H33" s="2088"/>
      <c r="I33" s="49"/>
      <c r="J33" s="4354"/>
      <c r="K33" s="4355"/>
      <c r="L33" s="4355"/>
      <c r="M33" s="4355"/>
      <c r="N33" s="4355"/>
      <c r="O33" s="4355"/>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399"/>
      <c r="X33" s="3912"/>
      <c r="Y33" s="4270"/>
      <c r="Z33" s="4271"/>
      <c r="AA33" s="4271"/>
      <c r="AB33" s="4272"/>
      <c r="AC33" s="708" t="str">
        <f>IF(Místicos!Y33=0,"",VLOOKUP(Místicos!Y33,Tabla_Conjuros,3,FALSE))</f>
        <v/>
      </c>
      <c r="AD33" s="892" t="str">
        <f t="shared" si="0"/>
        <v/>
      </c>
      <c r="AE33" s="4400"/>
      <c r="AF33" s="4261"/>
      <c r="AG33" s="4270"/>
      <c r="AH33" s="4271"/>
      <c r="AI33" s="4271"/>
      <c r="AJ33" s="4272"/>
      <c r="AK33" s="2142"/>
      <c r="AL33" s="1582">
        <f>IF(Místicos!AG33=0,0,VLOOKUP(Místicos!AG33,Tabla_Conjuros,3,FALSE)-10)</f>
        <v>0</v>
      </c>
      <c r="AM33" s="1811" t="str">
        <f t="shared" si="2"/>
        <v>Conjuros_LibreAcceso</v>
      </c>
      <c r="AN33" s="633"/>
      <c r="AO33" s="965"/>
      <c r="AP33" s="947"/>
      <c r="AQ33" s="4316"/>
      <c r="AR33" s="4317"/>
      <c r="AS33" s="4312"/>
      <c r="AT33" s="4313"/>
      <c r="AU33" s="808"/>
      <c r="AV33" s="1995" t="s">
        <v>7640</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64"/>
      <c r="D34" s="4364"/>
      <c r="E34" s="4364"/>
      <c r="F34" s="4364"/>
      <c r="G34" s="4364"/>
      <c r="H34" s="2141"/>
      <c r="I34" s="49"/>
      <c r="J34" s="4356"/>
      <c r="K34" s="4357"/>
      <c r="L34" s="4357"/>
      <c r="M34" s="4357"/>
      <c r="N34" s="4357"/>
      <c r="O34" s="4357"/>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398"/>
      <c r="X34" s="3909"/>
      <c r="Y34" s="4273"/>
      <c r="Z34" s="4274"/>
      <c r="AA34" s="4274"/>
      <c r="AB34" s="4275"/>
      <c r="AC34" s="1091" t="str">
        <f>IF(Místicos!Y34=0,"",VLOOKUP(Místicos!Y34,Tabla_Conjuros,3,FALSE))</f>
        <v/>
      </c>
      <c r="AD34" s="892" t="str">
        <f t="shared" si="0"/>
        <v/>
      </c>
      <c r="AE34" s="4398"/>
      <c r="AF34" s="3909"/>
      <c r="AG34" s="4273"/>
      <c r="AH34" s="4274"/>
      <c r="AI34" s="4274"/>
      <c r="AJ34" s="4275"/>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65"/>
      <c r="D35" s="4365"/>
      <c r="E35" s="4365"/>
      <c r="F35" s="4365"/>
      <c r="G35" s="4365"/>
      <c r="H35" s="2088"/>
      <c r="I35" s="49"/>
      <c r="J35" s="4358"/>
      <c r="K35" s="4359"/>
      <c r="L35" s="4359"/>
      <c r="M35" s="4359"/>
      <c r="N35" s="4359"/>
      <c r="O35" s="4359"/>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399"/>
      <c r="X35" s="3912"/>
      <c r="Y35" s="4270"/>
      <c r="Z35" s="4271"/>
      <c r="AA35" s="4271"/>
      <c r="AB35" s="4272"/>
      <c r="AC35" s="708" t="str">
        <f>IF(Místicos!Y35=0,"",VLOOKUP(Místicos!Y35,Tabla_Conjuros,3,FALSE))</f>
        <v/>
      </c>
      <c r="AD35" s="892" t="str">
        <f t="shared" si="0"/>
        <v/>
      </c>
      <c r="AE35" s="4400"/>
      <c r="AF35" s="4261"/>
      <c r="AG35" s="4270"/>
      <c r="AH35" s="4271"/>
      <c r="AI35" s="4271"/>
      <c r="AJ35" s="4272"/>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64"/>
      <c r="D36" s="4364"/>
      <c r="E36" s="4364"/>
      <c r="F36" s="4364"/>
      <c r="G36" s="4364"/>
      <c r="H36" s="2141"/>
      <c r="I36" s="49"/>
      <c r="J36" s="4356"/>
      <c r="K36" s="4357"/>
      <c r="L36" s="4357"/>
      <c r="M36" s="4357"/>
      <c r="N36" s="4357"/>
      <c r="O36" s="4357"/>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398"/>
      <c r="X36" s="3909"/>
      <c r="Y36" s="4273"/>
      <c r="Z36" s="4274"/>
      <c r="AA36" s="4274"/>
      <c r="AB36" s="4275"/>
      <c r="AC36" s="1091" t="str">
        <f>IF(Místicos!Y36=0,"",VLOOKUP(Místicos!Y36,Tabla_Conjuros,3,FALSE))</f>
        <v/>
      </c>
      <c r="AD36" s="892" t="str">
        <f t="shared" si="0"/>
        <v/>
      </c>
      <c r="AE36" s="4398"/>
      <c r="AF36" s="3909"/>
      <c r="AG36" s="4273"/>
      <c r="AH36" s="4274"/>
      <c r="AI36" s="4274"/>
      <c r="AJ36" s="4275"/>
      <c r="AK36" s="2058"/>
      <c r="AL36" s="1582">
        <f>IF(Místicos!AG36=0,0,VLOOKUP(Místicos!AG36,Tabla_Conjuros,3,FALSE)-10)</f>
        <v>0</v>
      </c>
      <c r="AM36" s="1811" t="str">
        <f t="shared" si="2"/>
        <v>Conjuros_LibreAcceso</v>
      </c>
      <c r="AN36" s="633"/>
      <c r="AO36" s="965"/>
      <c r="AP36" s="4307" t="s">
        <v>7650</v>
      </c>
      <c r="AQ36" s="4308"/>
      <c r="AR36" s="4308"/>
      <c r="AS36" s="4308"/>
      <c r="AT36" s="4308"/>
      <c r="AU36" s="4308"/>
      <c r="AV36" s="4308"/>
      <c r="AW36" s="4309"/>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65"/>
      <c r="D37" s="4365"/>
      <c r="E37" s="4365"/>
      <c r="F37" s="4365"/>
      <c r="G37" s="4365"/>
      <c r="H37" s="2088"/>
      <c r="I37" s="49"/>
      <c r="J37" s="4358"/>
      <c r="K37" s="4359"/>
      <c r="L37" s="4359"/>
      <c r="M37" s="4359"/>
      <c r="N37" s="4359"/>
      <c r="O37" s="4359"/>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399"/>
      <c r="X37" s="3912"/>
      <c r="Y37" s="4270"/>
      <c r="Z37" s="4271"/>
      <c r="AA37" s="4271"/>
      <c r="AB37" s="4272"/>
      <c r="AC37" s="708" t="str">
        <f>IF(Místicos!Y37=0,"",VLOOKUP(Místicos!Y37,Tabla_Conjuros,3,FALSE))</f>
        <v/>
      </c>
      <c r="AD37" s="892" t="str">
        <f t="shared" si="0"/>
        <v/>
      </c>
      <c r="AE37" s="4400"/>
      <c r="AF37" s="4261"/>
      <c r="AG37" s="4270"/>
      <c r="AH37" s="4271"/>
      <c r="AI37" s="4271"/>
      <c r="AJ37" s="4272"/>
      <c r="AK37" s="2142"/>
      <c r="AL37" s="1582">
        <f>IF(Místicos!AG37=0,0,VLOOKUP(Místicos!AG37,Tabla_Conjuros,3,FALSE)-10)</f>
        <v>0</v>
      </c>
      <c r="AM37" s="1811" t="str">
        <f t="shared" si="2"/>
        <v>Conjuros_LibreAcceso</v>
      </c>
      <c r="AN37" s="633"/>
      <c r="AO37" s="966"/>
      <c r="AP37" s="970" t="s">
        <v>7644</v>
      </c>
      <c r="AQ37" s="4401" t="s">
        <v>7671</v>
      </c>
      <c r="AR37" s="4402"/>
      <c r="AS37" s="4402"/>
      <c r="AT37" s="4402"/>
      <c r="AU37" s="4402"/>
      <c r="AV37" s="4402"/>
      <c r="AW37" s="4286"/>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64"/>
      <c r="D38" s="4364"/>
      <c r="E38" s="4364"/>
      <c r="F38" s="4364"/>
      <c r="G38" s="4364"/>
      <c r="H38" s="2141"/>
      <c r="I38" s="49"/>
      <c r="J38" s="4356"/>
      <c r="K38" s="4357"/>
      <c r="L38" s="4357"/>
      <c r="M38" s="4357"/>
      <c r="N38" s="4357"/>
      <c r="O38" s="4357"/>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398"/>
      <c r="X38" s="3909"/>
      <c r="Y38" s="4273"/>
      <c r="Z38" s="4274"/>
      <c r="AA38" s="4274"/>
      <c r="AB38" s="4275"/>
      <c r="AC38" s="1091" t="str">
        <f>IF(Místicos!Y38=0,"",VLOOKUP(Místicos!Y38,Tabla_Conjuros,3,FALSE))</f>
        <v/>
      </c>
      <c r="AD38" s="892" t="str">
        <f t="shared" si="0"/>
        <v/>
      </c>
      <c r="AE38" s="4398"/>
      <c r="AF38" s="3909"/>
      <c r="AG38" s="4273"/>
      <c r="AH38" s="4274"/>
      <c r="AI38" s="4274"/>
      <c r="AJ38" s="4275"/>
      <c r="AK38" s="2058"/>
      <c r="AL38" s="1582">
        <f>IF(Místicos!AG38=0,0,VLOOKUP(Místicos!AG38,Tabla_Conjuros,3,FALSE)-10)</f>
        <v>0</v>
      </c>
      <c r="AM38" s="1811" t="str">
        <f t="shared" si="2"/>
        <v>Conjuros_LibreAcceso</v>
      </c>
      <c r="AN38" s="633"/>
      <c r="AO38" s="966"/>
      <c r="AP38" s="970" t="s">
        <v>7645</v>
      </c>
      <c r="AQ38" s="4285" t="s">
        <v>7670</v>
      </c>
      <c r="AR38" s="4286"/>
      <c r="AS38" s="4286"/>
      <c r="AT38" s="4286"/>
      <c r="AU38" s="4286"/>
      <c r="AV38" s="4286"/>
      <c r="AW38" s="4286"/>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65"/>
      <c r="D39" s="4365"/>
      <c r="E39" s="4365"/>
      <c r="F39" s="4365"/>
      <c r="G39" s="4365"/>
      <c r="H39" s="2088"/>
      <c r="I39" s="49"/>
      <c r="J39" s="4358"/>
      <c r="K39" s="4359"/>
      <c r="L39" s="4359"/>
      <c r="M39" s="4359"/>
      <c r="N39" s="4359"/>
      <c r="O39" s="4359"/>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399"/>
      <c r="X39" s="3912"/>
      <c r="Y39" s="4270"/>
      <c r="Z39" s="4271"/>
      <c r="AA39" s="4271"/>
      <c r="AB39" s="4272"/>
      <c r="AC39" s="708" t="str">
        <f>IF(Místicos!Y39=0,"",VLOOKUP(Místicos!Y39,Tabla_Conjuros,3,FALSE))</f>
        <v/>
      </c>
      <c r="AD39" s="892" t="str">
        <f t="shared" si="0"/>
        <v/>
      </c>
      <c r="AE39" s="4400"/>
      <c r="AF39" s="4261"/>
      <c r="AG39" s="4270"/>
      <c r="AH39" s="4271"/>
      <c r="AI39" s="4271"/>
      <c r="AJ39" s="4272"/>
      <c r="AK39" s="2142"/>
      <c r="AL39" s="1582">
        <f>IF(Místicos!AG39=0,0,VLOOKUP(Místicos!AG39,Tabla_Conjuros,3,FALSE)-10)</f>
        <v>0</v>
      </c>
      <c r="AM39" s="1811" t="str">
        <f t="shared" si="2"/>
        <v>Conjuros_LibreAcceso</v>
      </c>
      <c r="AN39" s="633"/>
      <c r="AO39" s="966"/>
      <c r="AP39" s="970" t="s">
        <v>7646</v>
      </c>
      <c r="AQ39" s="4285" t="s">
        <v>7669</v>
      </c>
      <c r="AR39" s="4286"/>
      <c r="AS39" s="4286"/>
      <c r="AT39" s="4286"/>
      <c r="AU39" s="4286"/>
      <c r="AV39" s="4286"/>
      <c r="AW39" s="4286"/>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64"/>
      <c r="D40" s="4364"/>
      <c r="E40" s="4364"/>
      <c r="F40" s="4364"/>
      <c r="G40" s="4364"/>
      <c r="H40" s="2141"/>
      <c r="I40" s="49"/>
      <c r="J40" s="4356"/>
      <c r="K40" s="4357"/>
      <c r="L40" s="4357"/>
      <c r="M40" s="4357"/>
      <c r="N40" s="4357"/>
      <c r="O40" s="4357"/>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398"/>
      <c r="X40" s="3909"/>
      <c r="Y40" s="4273"/>
      <c r="Z40" s="4274"/>
      <c r="AA40" s="4274"/>
      <c r="AB40" s="4275"/>
      <c r="AC40" s="1091" t="str">
        <f>IF(Místicos!Y40=0,"",VLOOKUP(Místicos!Y40,Tabla_Conjuros,3,FALSE))</f>
        <v/>
      </c>
      <c r="AD40" s="892" t="str">
        <f t="shared" si="0"/>
        <v/>
      </c>
      <c r="AE40" s="4398"/>
      <c r="AF40" s="3909"/>
      <c r="AG40" s="4273"/>
      <c r="AH40" s="4274"/>
      <c r="AI40" s="4274"/>
      <c r="AJ40" s="4275"/>
      <c r="AK40" s="2058"/>
      <c r="AL40" s="1582">
        <f>IF(Místicos!AG40=0,0,VLOOKUP(Místicos!AG40,Tabla_Conjuros,3,FALSE)-10)</f>
        <v>0</v>
      </c>
      <c r="AM40" s="1811" t="str">
        <f t="shared" si="2"/>
        <v>Conjuros_LibreAcceso</v>
      </c>
      <c r="AN40" s="633"/>
      <c r="AO40" s="966"/>
      <c r="AP40" s="970" t="s">
        <v>7647</v>
      </c>
      <c r="AQ40" s="4285" t="s">
        <v>7678</v>
      </c>
      <c r="AR40" s="4286"/>
      <c r="AS40" s="4286"/>
      <c r="AT40" s="4286"/>
      <c r="AU40" s="4286"/>
      <c r="AV40" s="4286"/>
      <c r="AW40" s="4286"/>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65"/>
      <c r="D41" s="4365"/>
      <c r="E41" s="4365"/>
      <c r="F41" s="4365"/>
      <c r="G41" s="4365"/>
      <c r="H41" s="2088"/>
      <c r="I41" s="49"/>
      <c r="J41" s="4358"/>
      <c r="K41" s="4359"/>
      <c r="L41" s="4359"/>
      <c r="M41" s="4359"/>
      <c r="N41" s="4359"/>
      <c r="O41" s="4359"/>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399"/>
      <c r="X41" s="3912"/>
      <c r="Y41" s="4270"/>
      <c r="Z41" s="4271"/>
      <c r="AA41" s="4271"/>
      <c r="AB41" s="4272"/>
      <c r="AC41" s="708" t="str">
        <f>IF(Místicos!Y41=0,"",VLOOKUP(Místicos!Y41,Tabla_Conjuros,3,FALSE))</f>
        <v/>
      </c>
      <c r="AD41" s="892" t="str">
        <f t="shared" si="0"/>
        <v/>
      </c>
      <c r="AE41" s="4400"/>
      <c r="AF41" s="4261"/>
      <c r="AG41" s="4270"/>
      <c r="AH41" s="4271"/>
      <c r="AI41" s="4271"/>
      <c r="AJ41" s="4272"/>
      <c r="AK41" s="2142"/>
      <c r="AL41" s="1582">
        <f>IF(Místicos!AG41=0,0,VLOOKUP(Místicos!AG41,Tabla_Conjuros,3,FALSE)-10)</f>
        <v>0</v>
      </c>
      <c r="AM41" s="1811" t="str">
        <f t="shared" si="2"/>
        <v>Conjuros_LibreAcceso</v>
      </c>
      <c r="AN41" s="633"/>
      <c r="AO41" s="966"/>
      <c r="AP41" s="970" t="s">
        <v>7648</v>
      </c>
      <c r="AQ41" s="4285" t="s">
        <v>7668</v>
      </c>
      <c r="AR41" s="4286"/>
      <c r="AS41" s="4286"/>
      <c r="AT41" s="4286"/>
      <c r="AU41" s="4286"/>
      <c r="AV41" s="4286"/>
      <c r="AW41" s="4286"/>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64"/>
      <c r="D42" s="4364"/>
      <c r="E42" s="4364"/>
      <c r="F42" s="4364"/>
      <c r="G42" s="4364"/>
      <c r="H42" s="2141"/>
      <c r="I42" s="49"/>
      <c r="J42" s="4356"/>
      <c r="K42" s="4357"/>
      <c r="L42" s="4357"/>
      <c r="M42" s="4357"/>
      <c r="N42" s="4357"/>
      <c r="O42" s="4357"/>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398"/>
      <c r="X42" s="3909"/>
      <c r="Y42" s="4273"/>
      <c r="Z42" s="4274"/>
      <c r="AA42" s="4274"/>
      <c r="AB42" s="4275"/>
      <c r="AC42" s="1091" t="str">
        <f>IF(Místicos!Y42=0,"",VLOOKUP(Místicos!Y42,Tabla_Conjuros,3,FALSE))</f>
        <v/>
      </c>
      <c r="AD42" s="892" t="str">
        <f t="shared" si="0"/>
        <v/>
      </c>
      <c r="AE42" s="4398"/>
      <c r="AF42" s="3909"/>
      <c r="AG42" s="4273"/>
      <c r="AH42" s="4274"/>
      <c r="AI42" s="4274"/>
      <c r="AJ42" s="4275"/>
      <c r="AK42" s="2058"/>
      <c r="AL42" s="1582">
        <f>IF(Místicos!AG42=0,0,VLOOKUP(Místicos!AG42,Tabla_Conjuros,3,FALSE)-10)</f>
        <v>0</v>
      </c>
      <c r="AM42" s="1811" t="str">
        <f t="shared" si="2"/>
        <v>Conjuros_LibreAcceso</v>
      </c>
      <c r="AN42" s="633"/>
      <c r="AO42" s="966"/>
      <c r="AP42" s="971">
        <v>-9</v>
      </c>
      <c r="AQ42" s="4287" t="s">
        <v>7667</v>
      </c>
      <c r="AR42" s="4288"/>
      <c r="AS42" s="4288"/>
      <c r="AT42" s="4288"/>
      <c r="AU42" s="4288"/>
      <c r="AV42" s="4288"/>
      <c r="AW42" s="4288"/>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65"/>
      <c r="D43" s="4365"/>
      <c r="E43" s="4365"/>
      <c r="F43" s="4365"/>
      <c r="G43" s="4365"/>
      <c r="H43" s="2088"/>
      <c r="I43" s="49"/>
      <c r="J43" s="4358"/>
      <c r="K43" s="4359"/>
      <c r="L43" s="4359"/>
      <c r="M43" s="4359"/>
      <c r="N43" s="4359"/>
      <c r="O43" s="4359"/>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399"/>
      <c r="X43" s="3912"/>
      <c r="Y43" s="4270"/>
      <c r="Z43" s="4271"/>
      <c r="AA43" s="4271"/>
      <c r="AB43" s="4272"/>
      <c r="AC43" s="708" t="str">
        <f>IF(Místicos!Y43=0,"",VLOOKUP(Místicos!Y43,Tabla_Conjuros,3,FALSE))</f>
        <v/>
      </c>
      <c r="AD43" s="892" t="str">
        <f t="shared" si="0"/>
        <v/>
      </c>
      <c r="AE43" s="4400"/>
      <c r="AF43" s="4261"/>
      <c r="AG43" s="4270"/>
      <c r="AH43" s="4271"/>
      <c r="AI43" s="4271"/>
      <c r="AJ43" s="4272"/>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64"/>
      <c r="D44" s="4364"/>
      <c r="E44" s="4364"/>
      <c r="F44" s="4364"/>
      <c r="G44" s="4364"/>
      <c r="H44" s="2141"/>
      <c r="I44" s="49"/>
      <c r="J44" s="4356"/>
      <c r="K44" s="4357"/>
      <c r="L44" s="4357"/>
      <c r="M44" s="4357"/>
      <c r="N44" s="4357"/>
      <c r="O44" s="4357"/>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398"/>
      <c r="X44" s="3909"/>
      <c r="Y44" s="4273"/>
      <c r="Z44" s="4274"/>
      <c r="AA44" s="4274"/>
      <c r="AB44" s="4275"/>
      <c r="AC44" s="1091" t="str">
        <f>IF(Místicos!Y44=0,"",VLOOKUP(Místicos!Y44,Tabla_Conjuros,3,FALSE))</f>
        <v/>
      </c>
      <c r="AD44" s="892" t="str">
        <f t="shared" si="0"/>
        <v/>
      </c>
      <c r="AE44" s="4398"/>
      <c r="AF44" s="3909"/>
      <c r="AG44" s="4273"/>
      <c r="AH44" s="4274"/>
      <c r="AI44" s="4274"/>
      <c r="AJ44" s="4275"/>
      <c r="AK44" s="2058"/>
      <c r="AL44" s="1582">
        <f>IF(Místicos!AG44=0,0,VLOOKUP(Místicos!AG44,Tabla_Conjuros,3,FALSE)-10)</f>
        <v>0</v>
      </c>
      <c r="AM44" s="1811" t="str">
        <f t="shared" si="2"/>
        <v>Conjuros_LibreAcceso</v>
      </c>
      <c r="AN44" s="633"/>
      <c r="AO44" s="966"/>
      <c r="AP44" s="4279" t="str">
        <f>IF(OR(AT10="General",AT10="Magia Natural"),"",AT10)</f>
        <v/>
      </c>
      <c r="AQ44" s="4280"/>
      <c r="AR44" s="4280"/>
      <c r="AS44" s="4280"/>
      <c r="AT44" s="4280"/>
      <c r="AU44" s="4280"/>
      <c r="AV44" s="4280"/>
      <c r="AW44" s="4281"/>
      <c r="AX44" s="978"/>
      <c r="AY44" s="753"/>
      <c r="AZ44" s="2515"/>
      <c r="BA44" s="2633" t="s">
        <v>7692</v>
      </c>
      <c r="BB44" s="2633" t="s">
        <v>7693</v>
      </c>
      <c r="BC44" s="2633" t="s">
        <v>7694</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65"/>
      <c r="D45" s="4365"/>
      <c r="E45" s="4365"/>
      <c r="F45" s="4365"/>
      <c r="G45" s="4365"/>
      <c r="H45" s="2088"/>
      <c r="I45" s="49"/>
      <c r="J45" s="4358"/>
      <c r="K45" s="4359"/>
      <c r="L45" s="4359"/>
      <c r="M45" s="4359"/>
      <c r="N45" s="4359"/>
      <c r="O45" s="4359"/>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399"/>
      <c r="X45" s="3912"/>
      <c r="Y45" s="4270"/>
      <c r="Z45" s="4271"/>
      <c r="AA45" s="4271"/>
      <c r="AB45" s="4272"/>
      <c r="AC45" s="708" t="str">
        <f>IF(Místicos!Y45=0,"",VLOOKUP(Místicos!Y45,Tabla_Conjuros,3,FALSE))</f>
        <v/>
      </c>
      <c r="AD45" s="892" t="str">
        <f t="shared" si="0"/>
        <v/>
      </c>
      <c r="AE45" s="4400"/>
      <c r="AF45" s="4261"/>
      <c r="AG45" s="4270"/>
      <c r="AH45" s="4271"/>
      <c r="AI45" s="4271"/>
      <c r="AJ45" s="4272"/>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64"/>
      <c r="D46" s="4364"/>
      <c r="E46" s="4364"/>
      <c r="F46" s="4364"/>
      <c r="G46" s="4364"/>
      <c r="H46" s="2141"/>
      <c r="I46" s="49"/>
      <c r="J46" s="4356"/>
      <c r="K46" s="4357"/>
      <c r="L46" s="4357"/>
      <c r="M46" s="4357"/>
      <c r="N46" s="4357"/>
      <c r="O46" s="4357"/>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398"/>
      <c r="X46" s="3909"/>
      <c r="Y46" s="4273"/>
      <c r="Z46" s="4274"/>
      <c r="AA46" s="4274"/>
      <c r="AB46" s="4275"/>
      <c r="AC46" s="1091" t="str">
        <f>IF(Místicos!Y46=0,"",VLOOKUP(Místicos!Y46,Tabla_Conjuros,3,FALSE))</f>
        <v/>
      </c>
      <c r="AD46" s="892" t="str">
        <f t="shared" si="0"/>
        <v/>
      </c>
      <c r="AE46" s="4398"/>
      <c r="AF46" s="3909"/>
      <c r="AG46" s="4273"/>
      <c r="AH46" s="4274"/>
      <c r="AI46" s="4274"/>
      <c r="AJ46" s="4275"/>
      <c r="AK46" s="2058"/>
      <c r="AL46" s="1582">
        <f>IF(Místicos!AG46=0,0,VLOOKUP(Místicos!AG46,Tabla_Conjuros,3,FALSE)-10)</f>
        <v>0</v>
      </c>
      <c r="AM46" s="1811" t="str">
        <f t="shared" si="2"/>
        <v>Conjuros_LibreAcceso</v>
      </c>
      <c r="AN46" s="633"/>
      <c r="AO46" s="966"/>
      <c r="AP46" s="4305"/>
      <c r="AQ46" s="4318"/>
      <c r="AR46" s="4308" t="str">
        <f>IF($BA$45,"Caligrafía ritual",IF($BB$45,"Vínculos Físicos",IF($BC$45,"Zonas Espirituales","""")))</f>
        <v>"</v>
      </c>
      <c r="AS46" s="4308"/>
      <c r="AT46" s="4308"/>
      <c r="AU46" s="4308"/>
      <c r="AV46" s="4322"/>
      <c r="AW46" s="4323"/>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65"/>
      <c r="D47" s="4365"/>
      <c r="E47" s="4365"/>
      <c r="F47" s="4365"/>
      <c r="G47" s="4365"/>
      <c r="H47" s="2088"/>
      <c r="I47" s="49"/>
      <c r="J47" s="4358"/>
      <c r="K47" s="4359"/>
      <c r="L47" s="4359"/>
      <c r="M47" s="4359"/>
      <c r="N47" s="4359"/>
      <c r="O47" s="4359"/>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399"/>
      <c r="X47" s="3912"/>
      <c r="Y47" s="4270"/>
      <c r="Z47" s="4271"/>
      <c r="AA47" s="4271"/>
      <c r="AB47" s="4272"/>
      <c r="AC47" s="708" t="str">
        <f>IF(Místicos!Y47=0,"",VLOOKUP(Místicos!Y47,Tabla_Conjuros,3,FALSE))</f>
        <v/>
      </c>
      <c r="AD47" s="892" t="str">
        <f t="shared" si="0"/>
        <v/>
      </c>
      <c r="AE47" s="4400"/>
      <c r="AF47" s="4261"/>
      <c r="AG47" s="4270"/>
      <c r="AH47" s="4271"/>
      <c r="AI47" s="4271"/>
      <c r="AJ47" s="4272"/>
      <c r="AK47" s="2142"/>
      <c r="AL47" s="1582">
        <f>IF(Místicos!AG47=0,0,VLOOKUP(Místicos!AG47,Tabla_Conjuros,3,FALSE)-10)</f>
        <v>0</v>
      </c>
      <c r="AM47" s="1811" t="str">
        <f t="shared" si="2"/>
        <v>Conjuros_LibreAcceso</v>
      </c>
      <c r="AN47" s="633"/>
      <c r="AO47" s="966"/>
      <c r="AP47" s="4342" t="str">
        <f>IF($BA$45,"Nv. Conjuro  Dif.",IF($BB$45,"",IF($BC$45,"Tipo de zona","""")))</f>
        <v>"</v>
      </c>
      <c r="AQ47" s="4343"/>
      <c r="AR47" s="4301" t="str">
        <f>IF($BA$45,"Tiempo empleado en la preparación",IF($BB$45,"Objeto a consumir - Bono a RM",IF($BC$45,"Descripción","")))</f>
        <v/>
      </c>
      <c r="AS47" s="4301"/>
      <c r="AT47" s="4301"/>
      <c r="AU47" s="4301"/>
      <c r="AV47" s="4301" t="str">
        <f>IF($BA$45,"Bono",IF($BB$45,"",IF($BC$45,"Llamar espíritus","")))</f>
        <v/>
      </c>
      <c r="AW47" s="4302"/>
      <c r="AX47" s="978"/>
      <c r="AY47" s="753"/>
      <c r="AZ47" s="2515"/>
      <c r="BA47" s="4471" t="s">
        <v>7691</v>
      </c>
      <c r="BB47" s="4471"/>
      <c r="BC47" s="4471"/>
      <c r="BD47" s="4471" t="s">
        <v>7703</v>
      </c>
      <c r="BE47" s="4471"/>
      <c r="BF47" s="4471"/>
      <c r="BG47" s="4471" t="s">
        <v>7704</v>
      </c>
      <c r="BH47" s="4471"/>
      <c r="BI47" s="4471"/>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64"/>
      <c r="D48" s="4364"/>
      <c r="E48" s="4364"/>
      <c r="F48" s="4364"/>
      <c r="G48" s="4364"/>
      <c r="H48" s="2141"/>
      <c r="I48" s="49"/>
      <c r="J48" s="4356"/>
      <c r="K48" s="4357"/>
      <c r="L48" s="4357"/>
      <c r="M48" s="4357"/>
      <c r="N48" s="4357"/>
      <c r="O48" s="4357"/>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398"/>
      <c r="X48" s="3909"/>
      <c r="Y48" s="4273"/>
      <c r="Z48" s="4274"/>
      <c r="AA48" s="4274"/>
      <c r="AB48" s="4275"/>
      <c r="AC48" s="1091" t="str">
        <f>IF(Místicos!Y48=0,"",VLOOKUP(Místicos!Y48,Tabla_Conjuros,3,FALSE))</f>
        <v/>
      </c>
      <c r="AD48" s="892" t="str">
        <f t="shared" si="0"/>
        <v/>
      </c>
      <c r="AE48" s="4398"/>
      <c r="AF48" s="3909"/>
      <c r="AG48" s="4273"/>
      <c r="AH48" s="4274"/>
      <c r="AI48" s="4274"/>
      <c r="AJ48" s="4275"/>
      <c r="AK48" s="2058"/>
      <c r="AL48" s="1582">
        <f>IF(Místicos!AG48=0,0,VLOOKUP(Místicos!AG48,Tabla_Conjuros,3,FALSE)-10)</f>
        <v>0</v>
      </c>
      <c r="AM48" s="1811" t="str">
        <f t="shared" si="2"/>
        <v>Conjuros_LibreAcceso</v>
      </c>
      <c r="AN48" s="633"/>
      <c r="AO48" s="966"/>
      <c r="AP48" s="4488" t="str">
        <f>IF($BA$45,BA48,IF($BB$45,BB48,IF($BC$45,BC48,"")))</f>
        <v/>
      </c>
      <c r="AQ48" s="4489"/>
      <c r="AR48" s="4303" t="str">
        <f>IF($BA$45,BD48,IF($BB$45,BE48,IF($BC$45,BF48,"")))</f>
        <v/>
      </c>
      <c r="AS48" s="4303"/>
      <c r="AT48" s="4303"/>
      <c r="AU48" s="4303"/>
      <c r="AV48" s="4303" t="str">
        <f t="shared" ref="AV48:AV55" si="4">IF($BA$45,BG48,IF($BB$45,BH48,IF($BC$45,BI48,"")))</f>
        <v/>
      </c>
      <c r="AW48" s="4304"/>
      <c r="AX48" s="978"/>
      <c r="AY48" s="753"/>
      <c r="AZ48" s="2515"/>
      <c r="BA48" s="2634" t="s">
        <v>7942</v>
      </c>
      <c r="BB48" s="2634" t="s">
        <v>7690</v>
      </c>
      <c r="BC48" s="2634" t="s">
        <v>7686</v>
      </c>
      <c r="BD48" s="2634" t="s">
        <v>7695</v>
      </c>
      <c r="BE48" s="2634" t="s">
        <v>7718</v>
      </c>
      <c r="BF48" s="2634" t="s">
        <v>7698</v>
      </c>
      <c r="BG48" s="2634">
        <v>-40</v>
      </c>
      <c r="BH48" s="2634" t="s">
        <v>7690</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65"/>
      <c r="D49" s="4365"/>
      <c r="E49" s="4365"/>
      <c r="F49" s="4365"/>
      <c r="G49" s="4365"/>
      <c r="H49" s="2088"/>
      <c r="I49" s="49"/>
      <c r="J49" s="4358"/>
      <c r="K49" s="4359"/>
      <c r="L49" s="4359"/>
      <c r="M49" s="4359"/>
      <c r="N49" s="4359"/>
      <c r="O49" s="4359"/>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399"/>
      <c r="X49" s="3912"/>
      <c r="Y49" s="4270"/>
      <c r="Z49" s="4271"/>
      <c r="AA49" s="4271"/>
      <c r="AB49" s="4272"/>
      <c r="AC49" s="708" t="str">
        <f>IF(Místicos!Y49=0,"",VLOOKUP(Místicos!Y49,Tabla_Conjuros,3,FALSE))</f>
        <v/>
      </c>
      <c r="AD49" s="892" t="str">
        <f t="shared" si="0"/>
        <v/>
      </c>
      <c r="AE49" s="4400"/>
      <c r="AF49" s="4261"/>
      <c r="AG49" s="4270"/>
      <c r="AH49" s="4271"/>
      <c r="AI49" s="4271"/>
      <c r="AJ49" s="4272"/>
      <c r="AK49" s="2142"/>
      <c r="AL49" s="1582">
        <f>IF(Místicos!AG49=0,0,VLOOKUP(Místicos!AG49,Tabla_Conjuros,3,FALSE)-10)</f>
        <v>0</v>
      </c>
      <c r="AM49" s="1811" t="str">
        <f t="shared" si="2"/>
        <v>Conjuros_LibreAcceso</v>
      </c>
      <c r="AN49" s="633"/>
      <c r="AO49" s="966"/>
      <c r="AP49" s="4488" t="str">
        <f t="shared" ref="AP49:AP52" si="5">IF($BA$45,BA49,IF($BB$45,BB49,IF($BC$45,BC49,"")))</f>
        <v/>
      </c>
      <c r="AQ49" s="4489"/>
      <c r="AR49" s="4303" t="str">
        <f t="shared" ref="AR49:AR52" si="6">IF($BA$45,BD49,IF($BB$45,BE49,IF($BC$45,BF49,"")))</f>
        <v/>
      </c>
      <c r="AS49" s="4303"/>
      <c r="AT49" s="4303"/>
      <c r="AU49" s="4303"/>
      <c r="AV49" s="4303" t="str">
        <f t="shared" si="4"/>
        <v/>
      </c>
      <c r="AW49" s="4304"/>
      <c r="AX49" s="978"/>
      <c r="AY49" s="753"/>
      <c r="AZ49" s="2515"/>
      <c r="BA49" s="2634" t="s">
        <v>7943</v>
      </c>
      <c r="BB49" s="2634" t="s">
        <v>7690</v>
      </c>
      <c r="BC49" s="2634" t="s">
        <v>7687</v>
      </c>
      <c r="BD49" s="2634" t="s">
        <v>7696</v>
      </c>
      <c r="BE49" s="2634" t="s">
        <v>7719</v>
      </c>
      <c r="BF49" s="2634" t="s">
        <v>7699</v>
      </c>
      <c r="BG49" s="2634">
        <v>-20</v>
      </c>
      <c r="BH49" s="2634" t="s">
        <v>7690</v>
      </c>
      <c r="BI49" s="2634" t="s">
        <v>7705</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64"/>
      <c r="D50" s="4364"/>
      <c r="E50" s="4364"/>
      <c r="F50" s="4364"/>
      <c r="G50" s="4364"/>
      <c r="H50" s="2141"/>
      <c r="I50" s="49"/>
      <c r="J50" s="4356"/>
      <c r="K50" s="4357"/>
      <c r="L50" s="4357"/>
      <c r="M50" s="4357"/>
      <c r="N50" s="4357"/>
      <c r="O50" s="4357"/>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90"/>
      <c r="X50" s="4255"/>
      <c r="Y50" s="4276"/>
      <c r="Z50" s="4277"/>
      <c r="AA50" s="4277"/>
      <c r="AB50" s="4278"/>
      <c r="AC50" s="1092" t="str">
        <f>IF(Místicos!Y50=0,"",VLOOKUP(Místicos!Y50,Tabla_Conjuros,3,FALSE))</f>
        <v/>
      </c>
      <c r="AD50" s="892" t="str">
        <f t="shared" si="0"/>
        <v/>
      </c>
      <c r="AE50" s="4390"/>
      <c r="AF50" s="4255"/>
      <c r="AG50" s="4276"/>
      <c r="AH50" s="4277"/>
      <c r="AI50" s="4277"/>
      <c r="AJ50" s="4278"/>
      <c r="AK50" s="2134"/>
      <c r="AL50" s="1582">
        <f>IF(Místicos!AG50=0,0,VLOOKUP(Místicos!AG50,Tabla_Conjuros,3,FALSE)-10)</f>
        <v>0</v>
      </c>
      <c r="AM50" s="1811" t="str">
        <f t="shared" si="2"/>
        <v>Conjuros_LibreAcceso</v>
      </c>
      <c r="AN50" s="633"/>
      <c r="AO50" s="966"/>
      <c r="AP50" s="4488" t="str">
        <f t="shared" si="5"/>
        <v/>
      </c>
      <c r="AQ50" s="4489"/>
      <c r="AR50" s="4303" t="str">
        <f t="shared" si="6"/>
        <v/>
      </c>
      <c r="AS50" s="4303"/>
      <c r="AT50" s="4303"/>
      <c r="AU50" s="4303"/>
      <c r="AV50" s="4303" t="str">
        <f t="shared" si="4"/>
        <v/>
      </c>
      <c r="AW50" s="4304"/>
      <c r="AX50" s="978"/>
      <c r="AY50" s="753"/>
      <c r="AZ50" s="2515"/>
      <c r="BA50" s="2634" t="s">
        <v>7944</v>
      </c>
      <c r="BB50" s="2634" t="s">
        <v>7690</v>
      </c>
      <c r="BC50" s="2634" t="s">
        <v>1852</v>
      </c>
      <c r="BD50" s="2634" t="s">
        <v>7697</v>
      </c>
      <c r="BE50" s="2634" t="s">
        <v>7720</v>
      </c>
      <c r="BF50" s="2634" t="s">
        <v>7700</v>
      </c>
      <c r="BG50" s="2634">
        <v>0</v>
      </c>
      <c r="BH50" s="2634" t="s">
        <v>7690</v>
      </c>
      <c r="BI50" s="2634" t="s">
        <v>7706</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65"/>
      <c r="D51" s="4365"/>
      <c r="E51" s="4365"/>
      <c r="F51" s="4365"/>
      <c r="G51" s="4365"/>
      <c r="H51" s="2088"/>
      <c r="I51" s="49"/>
      <c r="J51" s="4358"/>
      <c r="K51" s="4359"/>
      <c r="L51" s="4359"/>
      <c r="M51" s="4359"/>
      <c r="N51" s="4359"/>
      <c r="O51" s="4359"/>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88" t="str">
        <f t="shared" si="5"/>
        <v/>
      </c>
      <c r="AQ51" s="4489"/>
      <c r="AR51" s="4303" t="str">
        <f t="shared" si="6"/>
        <v/>
      </c>
      <c r="AS51" s="4303"/>
      <c r="AT51" s="4303"/>
      <c r="AU51" s="4303"/>
      <c r="AV51" s="4303" t="str">
        <f t="shared" si="4"/>
        <v/>
      </c>
      <c r="AW51" s="4304"/>
      <c r="AX51" s="978"/>
      <c r="AY51" s="753"/>
      <c r="AZ51" s="2515"/>
      <c r="BA51" s="2634" t="s">
        <v>7945</v>
      </c>
      <c r="BB51" s="2634" t="s">
        <v>7690</v>
      </c>
      <c r="BC51" s="2634" t="s">
        <v>7688</v>
      </c>
      <c r="BD51" s="2634" t="s">
        <v>6711</v>
      </c>
      <c r="BE51" s="2634" t="s">
        <v>7721</v>
      </c>
      <c r="BF51" s="2634" t="s">
        <v>7701</v>
      </c>
      <c r="BG51" s="2634">
        <v>20</v>
      </c>
      <c r="BH51" s="2634" t="s">
        <v>7690</v>
      </c>
      <c r="BI51" s="2634" t="s">
        <v>7706</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64"/>
      <c r="D52" s="4364"/>
      <c r="E52" s="4364"/>
      <c r="F52" s="4364"/>
      <c r="G52" s="4364"/>
      <c r="H52" s="2141"/>
      <c r="I52" s="49"/>
      <c r="J52" s="4356"/>
      <c r="K52" s="4357"/>
      <c r="L52" s="4357"/>
      <c r="M52" s="4357"/>
      <c r="N52" s="4357"/>
      <c r="O52" s="4357"/>
      <c r="P52" s="839" t="str">
        <f>IF(J52=0,"",VLOOKUP(J52,Tablas!$AB$1023:$AD$1192,2,FALSE))</f>
        <v/>
      </c>
      <c r="Q52" s="875" t="str">
        <f>IF(J52=0,"",VLOOKUP(J52,Tablas!$AB$1023:$AD$1192,3,FALSE)*IF($P$25="Invocador",0.5,1))</f>
        <v/>
      </c>
      <c r="R52" s="49"/>
      <c r="S52" s="756"/>
      <c r="T52" s="633"/>
      <c r="U52" s="95"/>
      <c r="V52" s="885"/>
      <c r="W52" s="3188" t="s">
        <v>1998</v>
      </c>
      <c r="X52" s="3189"/>
      <c r="Y52" s="3189"/>
      <c r="Z52" s="3189"/>
      <c r="AA52" s="3189"/>
      <c r="AB52" s="4392" t="s">
        <v>1824</v>
      </c>
      <c r="AC52" s="4392"/>
      <c r="AD52" s="4392"/>
      <c r="AE52" s="4392"/>
      <c r="AF52" s="4392"/>
      <c r="AG52" s="4392"/>
      <c r="AH52" s="4392"/>
      <c r="AI52" s="4392"/>
      <c r="AJ52" s="4392"/>
      <c r="AK52" s="4393"/>
      <c r="AL52" s="1582"/>
      <c r="AM52" s="95"/>
      <c r="AN52" s="95"/>
      <c r="AO52" s="966"/>
      <c r="AP52" s="4488" t="str">
        <f t="shared" si="5"/>
        <v/>
      </c>
      <c r="AQ52" s="4489"/>
      <c r="AR52" s="4303" t="str">
        <f t="shared" si="6"/>
        <v/>
      </c>
      <c r="AS52" s="4303"/>
      <c r="AT52" s="4303"/>
      <c r="AU52" s="4303"/>
      <c r="AV52" s="4303" t="str">
        <f t="shared" si="4"/>
        <v/>
      </c>
      <c r="AW52" s="4304"/>
      <c r="AX52" s="978"/>
      <c r="AY52" s="753"/>
      <c r="AZ52" s="2515"/>
      <c r="BA52" s="2634" t="s">
        <v>7946</v>
      </c>
      <c r="BB52" s="2634" t="s">
        <v>7690</v>
      </c>
      <c r="BC52" s="2634" t="s">
        <v>7689</v>
      </c>
      <c r="BD52" s="2634" t="s">
        <v>3960</v>
      </c>
      <c r="BE52" s="2634" t="s">
        <v>7722</v>
      </c>
      <c r="BF52" s="2634" t="s">
        <v>7702</v>
      </c>
      <c r="BG52" s="2634">
        <v>40</v>
      </c>
      <c r="BH52" s="2634" t="s">
        <v>7690</v>
      </c>
      <c r="BI52" s="2634" t="s">
        <v>7707</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65"/>
      <c r="D53" s="4365"/>
      <c r="E53" s="4365"/>
      <c r="F53" s="4365"/>
      <c r="G53" s="4365"/>
      <c r="H53" s="2088"/>
      <c r="I53" s="49"/>
      <c r="J53" s="4358"/>
      <c r="K53" s="4359"/>
      <c r="L53" s="4359"/>
      <c r="M53" s="4359"/>
      <c r="N53" s="4359"/>
      <c r="O53" s="4359"/>
      <c r="P53" s="838" t="str">
        <f>IF(J53=0,"",VLOOKUP(J53,Tablas!$AB$1023:$AD$1192,2,FALSE))</f>
        <v/>
      </c>
      <c r="Q53" s="874" t="str">
        <f>IF(J53=0,"",VLOOKUP(J53,Tablas!$AB$1023:$AD$1192,3,FALSE)*IF($P$25="Invocador",0.5,1))</f>
        <v/>
      </c>
      <c r="R53" s="49"/>
      <c r="S53" s="756"/>
      <c r="T53" s="633"/>
      <c r="U53" s="95"/>
      <c r="V53" s="885"/>
      <c r="W53" s="4394" t="str">
        <f>IF(SUM(Tablas!P1121:S1162)=0,"",IF(Tablas!A1&gt;MAX(Tablas!$P$1121:$P$1162),"",VLOOKUP(Tablas!A1,Tablas!$P$1121:$T$1162,2,FALSE)))</f>
        <v/>
      </c>
      <c r="X53" s="4115"/>
      <c r="Y53" s="4115"/>
      <c r="Z53" s="4115"/>
      <c r="AA53" s="4115"/>
      <c r="AB53" s="4395" t="str">
        <f>IF(SUM(Tablas!$P$1121:$P$1162)=0,"",IF(Tablas!A1&gt;MAX(Tablas!$P$1121:$P$1162),"",VLOOKUP(Tablas!A1,Tablas!$P$1121:$T$1162,4,FALSE)))</f>
        <v/>
      </c>
      <c r="AC53" s="4396"/>
      <c r="AD53" s="4396"/>
      <c r="AE53" s="4396"/>
      <c r="AF53" s="4396"/>
      <c r="AG53" s="4396"/>
      <c r="AH53" s="4396"/>
      <c r="AI53" s="4396"/>
      <c r="AJ53" s="4396"/>
      <c r="AK53" s="4397"/>
      <c r="AL53" s="1582"/>
      <c r="AM53" s="95"/>
      <c r="AN53" s="95"/>
      <c r="AO53" s="966"/>
      <c r="AP53" s="4488" t="str">
        <f>IF($BA$45,BA53,IF($BB$45,BB53,IF($BC$45,BC53,"")))</f>
        <v/>
      </c>
      <c r="AQ53" s="4489"/>
      <c r="AR53" s="4303" t="str">
        <f>IF($BA$45,BD53,IF($BB$45,BE53,IF($BC$45,BF53,"")))</f>
        <v/>
      </c>
      <c r="AS53" s="4303"/>
      <c r="AT53" s="4303"/>
      <c r="AU53" s="4303"/>
      <c r="AV53" s="4303" t="str">
        <f t="shared" si="4"/>
        <v/>
      </c>
      <c r="AW53" s="4304"/>
      <c r="AX53" s="978"/>
      <c r="AY53" s="753"/>
      <c r="AZ53" s="2515"/>
      <c r="BA53" s="2634" t="s">
        <v>7947</v>
      </c>
      <c r="BB53" s="2634" t="s">
        <v>7690</v>
      </c>
      <c r="BC53" s="2634" t="s">
        <v>7690</v>
      </c>
      <c r="BD53" s="2634" t="s">
        <v>3961</v>
      </c>
      <c r="BE53" s="2634" t="s">
        <v>7723</v>
      </c>
      <c r="BF53" s="2634" t="s">
        <v>7690</v>
      </c>
      <c r="BG53" s="2634">
        <v>80</v>
      </c>
      <c r="BH53" s="2634" t="s">
        <v>7690</v>
      </c>
      <c r="BI53" s="2634" t="s">
        <v>7690</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64"/>
      <c r="D54" s="4364"/>
      <c r="E54" s="4364"/>
      <c r="F54" s="4364"/>
      <c r="G54" s="4364"/>
      <c r="H54" s="2141"/>
      <c r="I54" s="49"/>
      <c r="J54" s="4356"/>
      <c r="K54" s="4357"/>
      <c r="L54" s="4357"/>
      <c r="M54" s="4357"/>
      <c r="N54" s="4357"/>
      <c r="O54" s="4357"/>
      <c r="P54" s="839" t="str">
        <f>IF(J54=0,"",VLOOKUP(J54,Tablas!$AB$1023:$AD$1192,2,FALSE))</f>
        <v/>
      </c>
      <c r="Q54" s="875" t="str">
        <f>IF(J54=0,"",VLOOKUP(J54,Tablas!$AB$1023:$AD$1192,3,FALSE)*IF($P$25="Invocador",0.5,1))</f>
        <v/>
      </c>
      <c r="R54" s="49"/>
      <c r="S54" s="756"/>
      <c r="T54" s="633"/>
      <c r="U54" s="95"/>
      <c r="V54" s="885"/>
      <c r="W54" s="4391" t="str">
        <f>IF(SUM(Tablas!$P$1121:$P$1162)=0,"",IF(Tablas!A2&gt;MAX(Tablas!$P$1121:$P$1162),"",VLOOKUP(Tablas!A2,Tablas!$P$1121:$T$1162,2,FALSE)))</f>
        <v/>
      </c>
      <c r="X54" s="4082"/>
      <c r="Y54" s="4082"/>
      <c r="Z54" s="4082"/>
      <c r="AA54" s="4082"/>
      <c r="AB54" s="3539" t="str">
        <f>IF(SUM(Tablas!$P$1121:$P$1162)=0,"",IF(Tablas!A2&gt;MAX(Tablas!$P$1121:$P$1162),"",VLOOKUP(Tablas!A2,Tablas!$P$1121:$T$1162,4,FALSE)))</f>
        <v/>
      </c>
      <c r="AC54" s="3379"/>
      <c r="AD54" s="3379"/>
      <c r="AE54" s="3379"/>
      <c r="AF54" s="3379"/>
      <c r="AG54" s="3379"/>
      <c r="AH54" s="3379"/>
      <c r="AI54" s="3379"/>
      <c r="AJ54" s="3379"/>
      <c r="AK54" s="4383"/>
      <c r="AL54" s="1582"/>
      <c r="AM54" s="95"/>
      <c r="AN54" s="95"/>
      <c r="AO54" s="966"/>
      <c r="AP54" s="4494" t="str">
        <f>IF($BA$45,BA54,IF($BB$45,BB54,IF($BC$45,BC54,"")))</f>
        <v/>
      </c>
      <c r="AQ54" s="4495"/>
      <c r="AR54" s="4320" t="str">
        <f>IF($BA$45,BD54,IF($BB$45,BE54,IF($BC$45,BF54,"")))</f>
        <v/>
      </c>
      <c r="AS54" s="4320"/>
      <c r="AT54" s="4320"/>
      <c r="AU54" s="4320"/>
      <c r="AV54" s="4320" t="str">
        <f t="shared" si="4"/>
        <v/>
      </c>
      <c r="AW54" s="4321"/>
      <c r="AX54" s="978"/>
      <c r="AY54" s="753"/>
      <c r="AZ54" s="2515"/>
      <c r="BA54" s="2634" t="s">
        <v>7948</v>
      </c>
      <c r="BB54" s="2634" t="s">
        <v>7690</v>
      </c>
      <c r="BC54" s="2634" t="s">
        <v>7690</v>
      </c>
      <c r="BD54" s="2634" t="s">
        <v>3962</v>
      </c>
      <c r="BE54" s="2634" t="s">
        <v>7724</v>
      </c>
      <c r="BF54" s="2634"/>
      <c r="BG54" s="2634">
        <v>120</v>
      </c>
      <c r="BH54" s="2634" t="s">
        <v>7690</v>
      </c>
      <c r="BI54" s="2634" t="s">
        <v>7690</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65"/>
      <c r="D55" s="4365"/>
      <c r="E55" s="4365"/>
      <c r="F55" s="4365"/>
      <c r="G55" s="4365"/>
      <c r="H55" s="2088"/>
      <c r="J55" s="4358"/>
      <c r="K55" s="4359"/>
      <c r="L55" s="4359"/>
      <c r="M55" s="4359"/>
      <c r="N55" s="4359"/>
      <c r="O55" s="4359"/>
      <c r="P55" s="838" t="str">
        <f>IF(J55=0,"",VLOOKUP(J55,Tablas!$AB$1023:$AD$1192,2,FALSE))</f>
        <v/>
      </c>
      <c r="Q55" s="874" t="str">
        <f>IF(J55=0,"",VLOOKUP(J55,Tablas!$AB$1023:$AD$1192,3,FALSE)*IF($P$25="Invocador",0.5,1))</f>
        <v/>
      </c>
      <c r="R55" s="49"/>
      <c r="S55" s="756"/>
      <c r="T55" s="633"/>
      <c r="U55" s="95"/>
      <c r="V55" s="885"/>
      <c r="W55" s="4370" t="str">
        <f>IF(SUM(Tablas!$P$1121:$P$1162)=0,"",IF(Tablas!A3&gt;MAX(Tablas!$P$1121:$P$1162),"",VLOOKUP(Tablas!A3,Tablas!$P$1121:$T$1162,2,FALSE)))</f>
        <v/>
      </c>
      <c r="X55" s="4138"/>
      <c r="Y55" s="4138"/>
      <c r="Z55" s="4138"/>
      <c r="AA55" s="4139"/>
      <c r="AB55" s="3539" t="str">
        <f>IF(SUM(Tablas!$P$1121:$P$1162)=0,"",IF(Tablas!A3&gt;MAX(Tablas!$P$1121:$P$1162),"",VLOOKUP(Tablas!A3,Tablas!$P$1121:$T$1162,4,FALSE)))</f>
        <v/>
      </c>
      <c r="AC55" s="3379"/>
      <c r="AD55" s="3379"/>
      <c r="AE55" s="3379"/>
      <c r="AF55" s="3379"/>
      <c r="AG55" s="3379"/>
      <c r="AH55" s="3379"/>
      <c r="AI55" s="3379"/>
      <c r="AJ55" s="3379"/>
      <c r="AK55" s="4383"/>
      <c r="AL55" s="1582"/>
      <c r="AM55" s="95"/>
      <c r="AN55" s="95"/>
      <c r="AO55" s="966"/>
      <c r="AP55" s="4327" t="str">
        <f>IF($BA$45,BA55,IF($BB$45,BB55,IF($BC$45,BC55,"")))</f>
        <v/>
      </c>
      <c r="AQ55" s="4328"/>
      <c r="AR55" s="3235" t="str">
        <f>IF($BA$45,BD55,IF($BB$45,BE55,IF($BC$45,BF55,"")))</f>
        <v/>
      </c>
      <c r="AS55" s="3235"/>
      <c r="AT55" s="3235"/>
      <c r="AU55" s="3235"/>
      <c r="AV55" s="3235" t="str">
        <f t="shared" si="4"/>
        <v/>
      </c>
      <c r="AW55" s="3236"/>
      <c r="AX55" s="978"/>
      <c r="AY55" s="753"/>
      <c r="AZ55" s="2515"/>
      <c r="BA55" s="2634" t="s">
        <v>3154</v>
      </c>
      <c r="BB55" s="2634" t="s">
        <v>7690</v>
      </c>
      <c r="BC55" s="2634" t="s">
        <v>7690</v>
      </c>
      <c r="BD55" s="2634" t="s">
        <v>7690</v>
      </c>
      <c r="BE55" s="2634" t="s">
        <v>7690</v>
      </c>
      <c r="BF55" s="2634" t="s">
        <v>7708</v>
      </c>
      <c r="BG55" s="2634" t="s">
        <v>7690</v>
      </c>
      <c r="BH55" s="2634" t="s">
        <v>7690</v>
      </c>
      <c r="BI55" s="2634" t="s">
        <v>7690</v>
      </c>
      <c r="BJ55" s="2634" t="s">
        <v>7690</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64"/>
      <c r="D56" s="4364"/>
      <c r="E56" s="4364"/>
      <c r="F56" s="4364"/>
      <c r="G56" s="4364"/>
      <c r="H56" s="2141"/>
      <c r="J56" s="4356"/>
      <c r="K56" s="4357"/>
      <c r="L56" s="4357"/>
      <c r="M56" s="4357"/>
      <c r="N56" s="4357"/>
      <c r="O56" s="4357"/>
      <c r="P56" s="895" t="str">
        <f>IF(J56=0,"",VLOOKUP(J56,Tablas!$AB$1023:$AD$1192,2,FALSE))</f>
        <v/>
      </c>
      <c r="Q56" s="875" t="str">
        <f>IF(J56=0,"",VLOOKUP(J56,Tablas!$AB$1023:$AD$1192,3,FALSE)*IF($P$25="Invocador",0.5,1))</f>
        <v/>
      </c>
      <c r="R56" s="49"/>
      <c r="S56" s="756"/>
      <c r="T56" s="633"/>
      <c r="U56" s="95"/>
      <c r="V56" s="885"/>
      <c r="W56" s="4370" t="str">
        <f>IF(SUM(Tablas!$P$1121:$P$1162)=0,"",IF(Tablas!A4&gt;MAX(Tablas!$P$1121:$P$1162),"",VLOOKUP(Tablas!A4,Tablas!$P$1121:$T$1162,2,FALSE)))</f>
        <v/>
      </c>
      <c r="X56" s="4138"/>
      <c r="Y56" s="4138"/>
      <c r="Z56" s="4138"/>
      <c r="AA56" s="4139"/>
      <c r="AB56" s="3539" t="str">
        <f>IF(SUM(Tablas!$P$1121:$P$1162)=0,"",IF(Tablas!A4&gt;MAX(Tablas!$P$1121:$P$1162),"",VLOOKUP(Tablas!A4,Tablas!$P$1121:$T$1162,4,FALSE)))</f>
        <v/>
      </c>
      <c r="AC56" s="3379"/>
      <c r="AD56" s="3379"/>
      <c r="AE56" s="3379"/>
      <c r="AF56" s="3379"/>
      <c r="AG56" s="3379"/>
      <c r="AH56" s="3379"/>
      <c r="AI56" s="3379"/>
      <c r="AJ56" s="3379"/>
      <c r="AK56" s="4383"/>
      <c r="AL56" s="1582"/>
      <c r="AM56" s="95"/>
      <c r="AN56" s="95"/>
      <c r="AO56" s="966"/>
      <c r="AP56" s="4492" t="str">
        <f>IF($BA$45,BA56,IF($BB$45,BB56,IF($BC$45,BC56,"")))</f>
        <v/>
      </c>
      <c r="AQ56" s="4493"/>
      <c r="AR56" s="4293" t="str">
        <f>IF($BA$45,BD56,IF($BB$45,BE56,IF($BC$45,BF56,"")))</f>
        <v/>
      </c>
      <c r="AS56" s="4294"/>
      <c r="AT56" s="4294"/>
      <c r="AU56" s="4294"/>
      <c r="AV56" s="4294"/>
      <c r="AW56" s="4295"/>
      <c r="AX56" s="978"/>
      <c r="AY56" s="753"/>
      <c r="AZ56" s="2472"/>
      <c r="BA56" s="2634" t="s">
        <v>7690</v>
      </c>
      <c r="BB56" s="2634" t="s">
        <v>7690</v>
      </c>
      <c r="BC56" s="2634" t="s">
        <v>7709</v>
      </c>
      <c r="BD56" s="2634" t="s">
        <v>7690</v>
      </c>
      <c r="BE56" s="2634" t="s">
        <v>7716</v>
      </c>
      <c r="BF56" s="2634" t="s">
        <v>7712</v>
      </c>
      <c r="BG56" s="2634" t="s">
        <v>7690</v>
      </c>
      <c r="BH56" s="2634" t="s">
        <v>7690</v>
      </c>
      <c r="BI56" s="2634" t="s">
        <v>7690</v>
      </c>
      <c r="BJ56" s="2634" t="s">
        <v>7690</v>
      </c>
      <c r="BK56" s="2634" t="s">
        <v>7690</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65"/>
      <c r="D57" s="4365"/>
      <c r="E57" s="4365"/>
      <c r="F57" s="4365"/>
      <c r="G57" s="4365"/>
      <c r="H57" s="2088"/>
      <c r="J57" s="4358"/>
      <c r="K57" s="4359"/>
      <c r="L57" s="4359"/>
      <c r="M57" s="4359"/>
      <c r="N57" s="4359"/>
      <c r="O57" s="4359"/>
      <c r="P57" s="838" t="str">
        <f>IF(J57=0,"",VLOOKUP(J57,Tablas!$AB$1023:$AD$1192,2,FALSE))</f>
        <v/>
      </c>
      <c r="Q57" s="874" t="str">
        <f>IF(J57=0,"",VLOOKUP(J57,Tablas!$AB$1023:$AD$1192,3,FALSE)*IF($P$25="Invocador",0.5,1))</f>
        <v/>
      </c>
      <c r="R57" s="49"/>
      <c r="S57" s="756"/>
      <c r="T57" s="633"/>
      <c r="U57" s="95"/>
      <c r="V57" s="885"/>
      <c r="W57" s="4370" t="str">
        <f>IF(SUM(Tablas!$P$1121:$P$1162)=0,"",IF(Tablas!A5&gt;MAX(Tablas!$P$1121:$P$1162),"",VLOOKUP(Tablas!A5,Tablas!$P$1121:$T$1162,2,FALSE)))</f>
        <v/>
      </c>
      <c r="X57" s="4138"/>
      <c r="Y57" s="4138"/>
      <c r="Z57" s="4138"/>
      <c r="AA57" s="4139"/>
      <c r="AB57" s="3539" t="str">
        <f>IF(SUM(Tablas!$P$1121:$P$1162)=0,"",IF(Tablas!A5&gt;MAX(Tablas!$P$1121:$P$1162),"",VLOOKUP(Tablas!A5,Tablas!$P$1121:$T$1162,4,FALSE)))</f>
        <v/>
      </c>
      <c r="AC57" s="3379"/>
      <c r="AD57" s="3379"/>
      <c r="AE57" s="3379"/>
      <c r="AF57" s="3379"/>
      <c r="AG57" s="3379"/>
      <c r="AH57" s="3379"/>
      <c r="AI57" s="3379"/>
      <c r="AJ57" s="3379"/>
      <c r="AK57" s="4383"/>
      <c r="AL57" s="1582"/>
      <c r="AM57" s="95"/>
      <c r="AN57" s="95"/>
      <c r="AO57" s="966"/>
      <c r="AP57" s="4289" t="str">
        <f>IF($BA$45,BA57,IF($BB$45,BB57,IF($BC$45,BC57,"")))</f>
        <v/>
      </c>
      <c r="AQ57" s="4290"/>
      <c r="AR57" s="4293" t="str">
        <f t="shared" ref="AR57:AR58" si="7">IF($BA$45,BD57,IF($BB$45,BE57,IF($BC$45,BF57,"")))</f>
        <v/>
      </c>
      <c r="AS57" s="4294"/>
      <c r="AT57" s="4294"/>
      <c r="AU57" s="4294"/>
      <c r="AV57" s="4294"/>
      <c r="AW57" s="4295"/>
      <c r="AX57" s="978"/>
      <c r="AY57" s="753"/>
      <c r="AZ57" s="2472"/>
      <c r="BA57" s="2634" t="s">
        <v>7690</v>
      </c>
      <c r="BB57" s="2634" t="s">
        <v>7690</v>
      </c>
      <c r="BC57" s="2472" t="s">
        <v>7710</v>
      </c>
      <c r="BD57" s="2634" t="s">
        <v>7690</v>
      </c>
      <c r="BE57" s="2634" t="s">
        <v>7714</v>
      </c>
      <c r="BF57" s="2472" t="s">
        <v>1729</v>
      </c>
      <c r="BG57" s="2634" t="s">
        <v>7690</v>
      </c>
      <c r="BH57" s="2634" t="s">
        <v>7690</v>
      </c>
      <c r="BI57" s="2472"/>
      <c r="BJ57" s="2634" t="s">
        <v>7690</v>
      </c>
      <c r="BK57" s="2634" t="s">
        <v>7690</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64"/>
      <c r="D58" s="4364"/>
      <c r="E58" s="4364"/>
      <c r="F58" s="4364"/>
      <c r="G58" s="4364"/>
      <c r="H58" s="2141"/>
      <c r="J58" s="4356"/>
      <c r="K58" s="4357"/>
      <c r="L58" s="4357"/>
      <c r="M58" s="4357"/>
      <c r="N58" s="4357"/>
      <c r="O58" s="4357"/>
      <c r="P58" s="839" t="str">
        <f>IF(J58=0,"",VLOOKUP(J58,Tablas!$AB$1023:$AD$1192,2,FALSE))</f>
        <v/>
      </c>
      <c r="Q58" s="875" t="str">
        <f>IF(J58=0,"",VLOOKUP(J58,Tablas!$AB$1023:$AD$1192,3,FALSE)*IF($P$25="Invocador",0.5,1))</f>
        <v/>
      </c>
      <c r="R58" s="49"/>
      <c r="S58" s="756"/>
      <c r="T58" s="633"/>
      <c r="U58" s="95"/>
      <c r="V58" s="885"/>
      <c r="W58" s="4370" t="str">
        <f>IF(SUM(Tablas!$P$1121:$P$1162)=0,"",IF(Tablas!A6&gt;MAX(Tablas!$P$1121:$P$1162),"",VLOOKUP(Tablas!A6,Tablas!$P$1121:$T$1162,2,FALSE)))</f>
        <v/>
      </c>
      <c r="X58" s="4138"/>
      <c r="Y58" s="4138"/>
      <c r="Z58" s="4138"/>
      <c r="AA58" s="4139"/>
      <c r="AB58" s="3539" t="str">
        <f>IF(SUM(Tablas!$P$1121:$P$1162)=0,"",IF(Tablas!A6&gt;MAX(Tablas!$P$1121:$P$1162),"",VLOOKUP(Tablas!A6,Tablas!$P$1121:$T$1162,4,FALSE)))</f>
        <v/>
      </c>
      <c r="AC58" s="3379"/>
      <c r="AD58" s="3379"/>
      <c r="AE58" s="3379"/>
      <c r="AF58" s="3379"/>
      <c r="AG58" s="3379"/>
      <c r="AH58" s="3379"/>
      <c r="AI58" s="3379"/>
      <c r="AJ58" s="3379"/>
      <c r="AK58" s="4383"/>
      <c r="AL58" s="1582"/>
      <c r="AM58" s="95"/>
      <c r="AN58" s="95"/>
      <c r="AO58" s="966"/>
      <c r="AP58" s="4291" t="str">
        <f t="shared" ref="AP58" si="8">IF($BA$45,BA58,IF($BB$45,BB58,IF($BC$45,BC58,"")))</f>
        <v/>
      </c>
      <c r="AQ58" s="4292"/>
      <c r="AR58" s="4324" t="str">
        <f t="shared" si="7"/>
        <v/>
      </c>
      <c r="AS58" s="4325"/>
      <c r="AT58" s="4325"/>
      <c r="AU58" s="4325"/>
      <c r="AV58" s="4325"/>
      <c r="AW58" s="4326"/>
      <c r="AX58" s="978"/>
      <c r="AY58" s="753"/>
      <c r="AZ58" s="2472"/>
      <c r="BA58" s="2472"/>
      <c r="BB58" s="2472"/>
      <c r="BC58" s="2472" t="s">
        <v>7711</v>
      </c>
      <c r="BD58" s="2634" t="s">
        <v>7690</v>
      </c>
      <c r="BE58" s="2634" t="s">
        <v>7715</v>
      </c>
      <c r="BF58" s="2472" t="s">
        <v>7713</v>
      </c>
      <c r="BG58" s="2634" t="s">
        <v>7690</v>
      </c>
      <c r="BH58" s="2634" t="s">
        <v>7690</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50" t="s">
        <v>1995</v>
      </c>
      <c r="D59" s="4350"/>
      <c r="E59" s="4350"/>
      <c r="F59" s="4350"/>
      <c r="G59" s="4350"/>
      <c r="H59" s="125">
        <f>SUM(H33:H58)+IF(Sheele!$F$5="No",0,Sheele!$U$5)</f>
        <v>0</v>
      </c>
      <c r="J59" s="4361" t="str">
        <f>IF(Tablas!X21,IF(AND(22-COUNTBLANK(P33:P58)&gt;VLOOKUP(Nivel_Sobrenatural,Tablas!$S$9:$X$12,6,FALSE)),"Número inicial de invocaciones excesivo. ","")&amp;IF(P25="Invocador","Costes de las invocaciones ya reducidos",""),"")</f>
        <v/>
      </c>
      <c r="K59" s="4362"/>
      <c r="L59" s="4362"/>
      <c r="M59" s="4362"/>
      <c r="N59" s="4362"/>
      <c r="O59" s="4362"/>
      <c r="P59" s="4362"/>
      <c r="Q59" s="4363"/>
      <c r="R59" s="49"/>
      <c r="S59" s="756"/>
      <c r="T59" s="633"/>
      <c r="U59" s="95"/>
      <c r="V59" s="885"/>
      <c r="W59" s="4370" t="str">
        <f>IF(SUM(Tablas!$P$1121:$P$1162)=0,"",IF(Tablas!A7&gt;MAX(Tablas!$P$1121:$P$1162),"",VLOOKUP(Tablas!A7,Tablas!$P$1121:$T$1162,2,FALSE)))</f>
        <v/>
      </c>
      <c r="X59" s="4138"/>
      <c r="Y59" s="4138"/>
      <c r="Z59" s="4138"/>
      <c r="AA59" s="4139"/>
      <c r="AB59" s="3539" t="str">
        <f>IF(SUM(Tablas!$P$1121:$P$1162)=0,"",IF(Tablas!A7&gt;MAX(Tablas!$P$1121:$P$1162),"",VLOOKUP(Tablas!A7,Tablas!$P$1121:$T$1162,4,FALSE)))</f>
        <v/>
      </c>
      <c r="AC59" s="3379"/>
      <c r="AD59" s="3379"/>
      <c r="AE59" s="3379"/>
      <c r="AF59" s="3379"/>
      <c r="AG59" s="3379"/>
      <c r="AH59" s="3379"/>
      <c r="AI59" s="3379"/>
      <c r="AJ59" s="3379"/>
      <c r="AK59" s="4383"/>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70" t="str">
        <f>IF(SUM(Tablas!$P$1121:$P$1162)=0,"",IF(Tablas!A8&gt;MAX(Tablas!$P$1121:$P$1162),"",VLOOKUP(Tablas!A8,Tablas!$P$1121:$T$1162,2,FALSE)))</f>
        <v/>
      </c>
      <c r="X60" s="4138"/>
      <c r="Y60" s="4138"/>
      <c r="Z60" s="4138"/>
      <c r="AA60" s="4139"/>
      <c r="AB60" s="3539" t="str">
        <f>IF(SUM(Tablas!$P$1121:$P$1162)=0,"",IF(Tablas!A8&gt;MAX(Tablas!$P$1121:$P$1162),"",VLOOKUP(Tablas!A8,Tablas!$P$1121:$T$1162,4,FALSE)))</f>
        <v/>
      </c>
      <c r="AC60" s="3379"/>
      <c r="AD60" s="3379"/>
      <c r="AE60" s="3379"/>
      <c r="AF60" s="3379"/>
      <c r="AG60" s="3379"/>
      <c r="AH60" s="3379"/>
      <c r="AI60" s="3379"/>
      <c r="AJ60" s="3379"/>
      <c r="AK60" s="4383"/>
      <c r="AL60" s="1582"/>
      <c r="AM60" s="95"/>
      <c r="AN60" s="95"/>
      <c r="AO60" s="966"/>
      <c r="AP60" s="4282" t="s">
        <v>7674</v>
      </c>
      <c r="AQ60" s="4283"/>
      <c r="AR60" s="4283"/>
      <c r="AS60" s="4283"/>
      <c r="AT60" s="4283"/>
      <c r="AU60" s="4283"/>
      <c r="AV60" s="4283"/>
      <c r="AW60" s="4284"/>
      <c r="AX60" s="978"/>
      <c r="AY60" s="753"/>
      <c r="AZ60" s="2472"/>
      <c r="BA60" s="2472" t="s">
        <v>7717</v>
      </c>
      <c r="BB60" s="2472" t="s">
        <v>7717</v>
      </c>
      <c r="BC60" s="2472" t="s">
        <v>7717</v>
      </c>
      <c r="BD60" s="2472" t="s">
        <v>7717</v>
      </c>
      <c r="BE60" s="2472" t="s">
        <v>7717</v>
      </c>
      <c r="BF60" s="2472" t="s">
        <v>7717</v>
      </c>
      <c r="BG60" s="2472" t="s">
        <v>7717</v>
      </c>
      <c r="BH60" s="2472" t="s">
        <v>7717</v>
      </c>
      <c r="BI60" s="2472" t="s">
        <v>7717</v>
      </c>
      <c r="BJ60" s="2472" t="s">
        <v>7717</v>
      </c>
      <c r="BK60" s="2472" t="s">
        <v>7717</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91" t="s">
        <v>1996</v>
      </c>
      <c r="D61" s="3391"/>
      <c r="E61" s="3391"/>
      <c r="F61" s="3391"/>
      <c r="G61" s="3391"/>
      <c r="H61" s="3391"/>
      <c r="I61" s="49"/>
      <c r="J61" s="4388" t="s">
        <v>1997</v>
      </c>
      <c r="K61" s="4388"/>
      <c r="L61" s="4388"/>
      <c r="M61" s="4389" t="s">
        <v>1786</v>
      </c>
      <c r="N61" s="4389"/>
      <c r="O61" s="4389"/>
      <c r="P61" s="4389"/>
      <c r="Q61" s="4389"/>
      <c r="R61" s="49"/>
      <c r="S61" s="756"/>
      <c r="T61" s="633"/>
      <c r="U61" s="95"/>
      <c r="V61" s="885"/>
      <c r="W61" s="4370" t="str">
        <f>IF(SUM(Tablas!$P$1121:$P$1162)=0,"",IF(Tablas!A9&gt;MAX(Tablas!$P$1121:$P$1162),"",VLOOKUP(Tablas!A9,Tablas!$P$1121:$T$1162,2,FALSE)))</f>
        <v/>
      </c>
      <c r="X61" s="4138"/>
      <c r="Y61" s="4138"/>
      <c r="Z61" s="4138"/>
      <c r="AA61" s="4139"/>
      <c r="AB61" s="4371" t="str">
        <f>IF(SUM(Tablas!$P$1121:$P$1162)=0,"",IF(Tablas!A9&gt;MAX(Tablas!$P$1121:$P$1162),"",VLOOKUP(Tablas!A9,Tablas!$P$1121:$T$1162,4,FALSE)))</f>
        <v/>
      </c>
      <c r="AC61" s="4109"/>
      <c r="AD61" s="4109"/>
      <c r="AE61" s="4109"/>
      <c r="AF61" s="4109"/>
      <c r="AG61" s="4109"/>
      <c r="AH61" s="4109"/>
      <c r="AI61" s="4109"/>
      <c r="AJ61" s="4109"/>
      <c r="AK61" s="4372"/>
      <c r="AL61" s="1582"/>
      <c r="AM61" s="95"/>
      <c r="AN61" s="95"/>
      <c r="AO61" s="966"/>
      <c r="AP61" s="4257" t="s">
        <v>1970</v>
      </c>
      <c r="AQ61" s="4258"/>
      <c r="AR61" s="4258" t="s">
        <v>1969</v>
      </c>
      <c r="AS61" s="4258"/>
      <c r="AT61" s="4258"/>
      <c r="AU61" s="1137"/>
      <c r="AV61" s="960" t="s">
        <v>7675</v>
      </c>
      <c r="AW61" s="959" t="s">
        <v>3027</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85" t="s">
        <v>1999</v>
      </c>
      <c r="D62" s="4385"/>
      <c r="E62" s="127" t="s">
        <v>1640</v>
      </c>
      <c r="F62" s="4386" t="s">
        <v>2000</v>
      </c>
      <c r="G62" s="4386"/>
      <c r="H62" s="4386"/>
      <c r="I62" s="49"/>
      <c r="J62" s="128">
        <v>20</v>
      </c>
      <c r="K62" s="4360" t="s">
        <v>2001</v>
      </c>
      <c r="L62" s="4360"/>
      <c r="M62" s="4387" t="s">
        <v>2002</v>
      </c>
      <c r="N62" s="4387"/>
      <c r="O62" s="4387"/>
      <c r="P62" s="4387"/>
      <c r="Q62" s="4387"/>
      <c r="R62" s="49"/>
      <c r="S62" s="756"/>
      <c r="T62" s="633"/>
      <c r="U62" s="95"/>
      <c r="V62" s="885"/>
      <c r="W62" s="4370" t="str">
        <f>IF(SUM(Tablas!$P$1121:$P$1162)=0,"",IF(Tablas!A10&gt;MAX(Tablas!$P$1121:$P$1162),"",VLOOKUP(Tablas!A10,Tablas!$P$1121:$T$1162,2,FALSE)))</f>
        <v/>
      </c>
      <c r="X62" s="4138"/>
      <c r="Y62" s="4138"/>
      <c r="Z62" s="4138"/>
      <c r="AA62" s="4139"/>
      <c r="AB62" s="4371" t="str">
        <f>IF(SUM(Tablas!$P$1121:$P$1162)=0,"",IF(Tablas!A10&gt;MAX(Tablas!$P$1121:$P$1162),"",VLOOKUP(Tablas!A10,Tablas!$P$1121:$T$1162,4,FALSE)))</f>
        <v/>
      </c>
      <c r="AC62" s="4109"/>
      <c r="AD62" s="4109"/>
      <c r="AE62" s="4109"/>
      <c r="AF62" s="4109"/>
      <c r="AG62" s="4109"/>
      <c r="AH62" s="4109"/>
      <c r="AI62" s="4109"/>
      <c r="AJ62" s="4109"/>
      <c r="AK62" s="4372"/>
      <c r="AL62" s="1582"/>
      <c r="AM62" s="95"/>
      <c r="AN62" s="95"/>
      <c r="AO62" s="1136" t="str">
        <f>"Conjuros"&amp;IF(AP62="","","_"&amp;AP62)</f>
        <v>Conjuros</v>
      </c>
      <c r="AP62" s="4266"/>
      <c r="AQ62" s="4267"/>
      <c r="AR62" s="4268"/>
      <c r="AS62" s="4268"/>
      <c r="AT62" s="4268"/>
      <c r="AU62" s="4269"/>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84" t="s">
        <v>2003</v>
      </c>
      <c r="D63" s="4384"/>
      <c r="E63" s="129">
        <v>-100</v>
      </c>
      <c r="F63" s="4352" t="s">
        <v>2004</v>
      </c>
      <c r="G63" s="4352"/>
      <c r="H63" s="4353">
        <v>20</v>
      </c>
      <c r="I63" s="49"/>
      <c r="J63" s="128">
        <v>40</v>
      </c>
      <c r="K63" s="4360" t="s">
        <v>2005</v>
      </c>
      <c r="L63" s="4360"/>
      <c r="M63" s="4374" t="s">
        <v>2006</v>
      </c>
      <c r="N63" s="4374"/>
      <c r="O63" s="4374"/>
      <c r="P63" s="4374"/>
      <c r="Q63" s="4374"/>
      <c r="R63" s="49"/>
      <c r="S63" s="756"/>
      <c r="T63" s="633"/>
      <c r="U63" s="95"/>
      <c r="V63" s="885"/>
      <c r="W63" s="4370" t="str">
        <f>IF(SUM(Tablas!$P$1121:$P$1162)=0,"",IF(Tablas!A11&gt;MAX(Tablas!$P$1121:$P$1162),"",VLOOKUP(Tablas!A11,Tablas!$P$1121:$T$1162,2,FALSE)))</f>
        <v/>
      </c>
      <c r="X63" s="4138"/>
      <c r="Y63" s="4138"/>
      <c r="Z63" s="4138"/>
      <c r="AA63" s="4139"/>
      <c r="AB63" s="4371" t="str">
        <f>IF(SUM(Tablas!$P$1121:$P$1162)=0,"",IF(Tablas!A11&gt;MAX(Tablas!$P$1121:$P$1162),"",VLOOKUP(Tablas!A11,Tablas!$P$1121:$T$1162,4,FALSE)))</f>
        <v/>
      </c>
      <c r="AC63" s="4109"/>
      <c r="AD63" s="4109"/>
      <c r="AE63" s="4109"/>
      <c r="AF63" s="4109"/>
      <c r="AG63" s="4109"/>
      <c r="AH63" s="4109"/>
      <c r="AI63" s="4109"/>
      <c r="AJ63" s="4109"/>
      <c r="AK63" s="4372"/>
      <c r="AL63" s="1582"/>
      <c r="AM63" s="95"/>
      <c r="AN63" s="95"/>
      <c r="AO63" s="1136" t="str">
        <f t="shared" ref="AO63:AO72" si="9">"Conjuros"&amp;IF(AP63="","","_"&amp;AP63)</f>
        <v>Conjuros</v>
      </c>
      <c r="AP63" s="4259"/>
      <c r="AQ63" s="4260"/>
      <c r="AR63" s="4261"/>
      <c r="AS63" s="4261"/>
      <c r="AT63" s="4261"/>
      <c r="AU63" s="4262"/>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51" t="s">
        <v>2007</v>
      </c>
      <c r="D64" s="4351"/>
      <c r="E64" s="129">
        <v>-50</v>
      </c>
      <c r="F64" s="4352"/>
      <c r="G64" s="4352"/>
      <c r="H64" s="4353"/>
      <c r="I64" s="49"/>
      <c r="J64" s="128">
        <v>80</v>
      </c>
      <c r="K64" s="4360" t="s">
        <v>2008</v>
      </c>
      <c r="L64" s="4360"/>
      <c r="M64" s="4374" t="s">
        <v>2009</v>
      </c>
      <c r="N64" s="4374"/>
      <c r="O64" s="4374"/>
      <c r="P64" s="4374"/>
      <c r="Q64" s="4374"/>
      <c r="R64" s="49"/>
      <c r="S64" s="756"/>
      <c r="T64" s="633"/>
      <c r="U64" s="95"/>
      <c r="V64" s="885"/>
      <c r="W64" s="4370" t="str">
        <f>IF(SUM(Tablas!$P$1121:$P$1162)=0,"",IF(Tablas!A12&gt;MAX(Tablas!$P$1121:$P$1162),"",VLOOKUP(Tablas!A12,Tablas!$P$1121:$T$1162,2,FALSE)))</f>
        <v/>
      </c>
      <c r="X64" s="4138"/>
      <c r="Y64" s="4138"/>
      <c r="Z64" s="4138"/>
      <c r="AA64" s="4139"/>
      <c r="AB64" s="4371" t="str">
        <f>IF(SUM(Tablas!$P$1121:$P$1162)=0,"",IF(Tablas!A12&gt;MAX(Tablas!$P$1121:$P$1162),"",VLOOKUP(Tablas!A12,Tablas!$P$1121:$T$1162,4,FALSE)))</f>
        <v/>
      </c>
      <c r="AC64" s="4109"/>
      <c r="AD64" s="4109"/>
      <c r="AE64" s="4109"/>
      <c r="AF64" s="4109"/>
      <c r="AG64" s="4109"/>
      <c r="AH64" s="4109"/>
      <c r="AI64" s="4109"/>
      <c r="AJ64" s="4109"/>
      <c r="AK64" s="4372"/>
      <c r="AL64" s="1582"/>
      <c r="AM64" s="95"/>
      <c r="AN64" s="95"/>
      <c r="AO64" s="1136" t="str">
        <f t="shared" si="9"/>
        <v>Conjuros</v>
      </c>
      <c r="AP64" s="4263"/>
      <c r="AQ64" s="4264"/>
      <c r="AR64" s="3909"/>
      <c r="AS64" s="3909"/>
      <c r="AT64" s="3909"/>
      <c r="AU64" s="4265"/>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51" t="s">
        <v>2010</v>
      </c>
      <c r="D65" s="4351"/>
      <c r="E65" s="129">
        <v>-20</v>
      </c>
      <c r="F65" s="4352" t="s">
        <v>2011</v>
      </c>
      <c r="G65" s="4352"/>
      <c r="H65" s="4353">
        <v>10</v>
      </c>
      <c r="I65" s="49"/>
      <c r="J65" s="128">
        <v>120</v>
      </c>
      <c r="K65" s="4360" t="s">
        <v>2012</v>
      </c>
      <c r="L65" s="4360"/>
      <c r="M65" s="4374" t="str">
        <f>IF(Metamagia!$R$54+Metamagia!$U$54+Metamagia!$AA$54+Metamagia!$AA$59+Metamagia!$AA$64+Metamagia!$AD$48+Metamagia!$AG$46&gt;0,"Blancos hasta 100m. Zeón 10","Blancos hasta 100m")</f>
        <v>Blancos hasta 100m</v>
      </c>
      <c r="N65" s="4374"/>
      <c r="O65" s="4374"/>
      <c r="P65" s="4374"/>
      <c r="Q65" s="4374"/>
      <c r="R65" s="49"/>
      <c r="S65" s="756"/>
      <c r="T65" s="633"/>
      <c r="U65" s="95"/>
      <c r="V65" s="885"/>
      <c r="W65" s="4370" t="str">
        <f>IF(SUM(Tablas!$P$1121:$P$1162)=0,"",IF(Tablas!A13&gt;MAX(Tablas!$P$1121:$P$1162),"",VLOOKUP(Tablas!A13,Tablas!$P$1121:$T$1162,2,FALSE)))</f>
        <v/>
      </c>
      <c r="X65" s="4138"/>
      <c r="Y65" s="4138"/>
      <c r="Z65" s="4138"/>
      <c r="AA65" s="4139"/>
      <c r="AB65" s="4371" t="str">
        <f>IF(SUM(Tablas!$P$1121:$P$1162)=0,"",IF(Tablas!A13&gt;MAX(Tablas!$P$1121:$P$1162),"",VLOOKUP(Tablas!A13,Tablas!$P$1121:$T$1162,4,FALSE)))</f>
        <v/>
      </c>
      <c r="AC65" s="4109"/>
      <c r="AD65" s="4109"/>
      <c r="AE65" s="4109"/>
      <c r="AF65" s="4109"/>
      <c r="AG65" s="4109"/>
      <c r="AH65" s="4109"/>
      <c r="AI65" s="4109"/>
      <c r="AJ65" s="4109"/>
      <c r="AK65" s="4372"/>
      <c r="AL65" s="1435"/>
      <c r="AM65" s="95"/>
      <c r="AN65" s="95"/>
      <c r="AO65" s="1136" t="str">
        <f t="shared" si="9"/>
        <v>Conjuros</v>
      </c>
      <c r="AP65" s="4259"/>
      <c r="AQ65" s="4260"/>
      <c r="AR65" s="4261"/>
      <c r="AS65" s="4261"/>
      <c r="AT65" s="4261"/>
      <c r="AU65" s="4262"/>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51" t="s">
        <v>2013</v>
      </c>
      <c r="D66" s="4351"/>
      <c r="E66" s="129">
        <v>0</v>
      </c>
      <c r="F66" s="4352"/>
      <c r="G66" s="4352"/>
      <c r="H66" s="4353"/>
      <c r="I66" s="49"/>
      <c r="J66" s="128">
        <v>140</v>
      </c>
      <c r="K66" s="4360" t="s">
        <v>2014</v>
      </c>
      <c r="L66" s="4360"/>
      <c r="M66" s="4374" t="str">
        <f>IF(Metamagia!$R$54+Metamagia!$U$54+Metamagia!$AA$54+Metamagia!$AA$59+Metamagia!$AA$64+Metamagia!$AD$48+Metamagia!$AG$46&gt;1,"Blancos hasta 250m. Zeón 20","Blancos hasta 250m")</f>
        <v>Blancos hasta 250m</v>
      </c>
      <c r="N66" s="4374"/>
      <c r="O66" s="4374"/>
      <c r="P66" s="4374"/>
      <c r="Q66" s="4374"/>
      <c r="R66" s="49"/>
      <c r="S66" s="756"/>
      <c r="T66" s="633"/>
      <c r="U66" s="95"/>
      <c r="V66" s="885"/>
      <c r="W66" s="4370" t="str">
        <f>IF(SUM(Tablas!$P$1121:$P$1162)=0,"",IF(Tablas!A14&gt;MAX(Tablas!$P$1121:$P$1162),"",VLOOKUP(Tablas!A14,Tablas!$P$1121:$T$1162,2,FALSE)))</f>
        <v/>
      </c>
      <c r="X66" s="4138"/>
      <c r="Y66" s="4138"/>
      <c r="Z66" s="4138"/>
      <c r="AA66" s="4139"/>
      <c r="AB66" s="4371" t="str">
        <f>IF(SUM(Tablas!$P$1121:$P$1162)=0,"",IF(Tablas!A14&gt;MAX(Tablas!$P$1121:$P$1162),"",VLOOKUP(Tablas!A14,Tablas!$P$1121:$T$1162,4,FALSE)))</f>
        <v/>
      </c>
      <c r="AC66" s="4109"/>
      <c r="AD66" s="4109"/>
      <c r="AE66" s="4109"/>
      <c r="AF66" s="4109"/>
      <c r="AG66" s="4109"/>
      <c r="AH66" s="4109"/>
      <c r="AI66" s="4109"/>
      <c r="AJ66" s="4109"/>
      <c r="AK66" s="4372"/>
      <c r="AL66" s="1435"/>
      <c r="AM66" s="95"/>
      <c r="AN66" s="95"/>
      <c r="AO66" s="1136" t="str">
        <f t="shared" si="9"/>
        <v>Conjuros</v>
      </c>
      <c r="AP66" s="4263"/>
      <c r="AQ66" s="4264"/>
      <c r="AR66" s="3909"/>
      <c r="AS66" s="3909"/>
      <c r="AT66" s="3909"/>
      <c r="AU66" s="4265"/>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51" t="s">
        <v>2015</v>
      </c>
      <c r="D67" s="4351"/>
      <c r="E67" s="129">
        <v>10</v>
      </c>
      <c r="F67" s="4352" t="s">
        <v>2016</v>
      </c>
      <c r="G67" s="4352"/>
      <c r="H67" s="4353">
        <v>20</v>
      </c>
      <c r="I67" s="49"/>
      <c r="J67" s="128">
        <v>180</v>
      </c>
      <c r="K67" s="4360" t="s">
        <v>2017</v>
      </c>
      <c r="L67" s="4360"/>
      <c r="M67" s="4374" t="str">
        <f>IF(Metamagia!$R$54+Metamagia!$U$54+Metamagia!$AA$54+Metamagia!$AA$59+Metamagia!$AA$64+Metamagia!$AD$48+Metamagia!$AG$46&gt;2,"Blancos hasta 500m. Zeón 40","Blancos hasta 500m")</f>
        <v>Blancos hasta 500m</v>
      </c>
      <c r="N67" s="4374"/>
      <c r="O67" s="4374"/>
      <c r="P67" s="4374"/>
      <c r="Q67" s="4374"/>
      <c r="R67" s="49"/>
      <c r="S67" s="756"/>
      <c r="T67" s="633"/>
      <c r="U67" s="95"/>
      <c r="V67" s="885"/>
      <c r="W67" s="4370" t="str">
        <f>IF(SUM(Tablas!$P$1121:$P$1162)=0,"",IF(Tablas!A15&gt;MAX(Tablas!$P$1121:$P$1162),"",VLOOKUP(Tablas!A15,Tablas!$P$1121:$T$1162,2,FALSE)))</f>
        <v/>
      </c>
      <c r="X67" s="4138"/>
      <c r="Y67" s="4138"/>
      <c r="Z67" s="4138"/>
      <c r="AA67" s="4139"/>
      <c r="AB67" s="4371" t="str">
        <f>IF(SUM(Tablas!$P$1121:$P$1162)=0,"",IF(Tablas!A15&gt;MAX(Tablas!$P$1121:$P$1162),"",VLOOKUP(Tablas!A15,Tablas!$P$1121:$T$1162,4,FALSE)))</f>
        <v/>
      </c>
      <c r="AC67" s="4109"/>
      <c r="AD67" s="4109"/>
      <c r="AE67" s="4109"/>
      <c r="AF67" s="4109"/>
      <c r="AG67" s="4109"/>
      <c r="AH67" s="4109"/>
      <c r="AI67" s="4109"/>
      <c r="AJ67" s="4109"/>
      <c r="AK67" s="4372"/>
      <c r="AL67" s="1435"/>
      <c r="AM67" s="95"/>
      <c r="AN67" s="95"/>
      <c r="AO67" s="1136" t="str">
        <f t="shared" si="9"/>
        <v>Conjuros</v>
      </c>
      <c r="AP67" s="4259"/>
      <c r="AQ67" s="4260"/>
      <c r="AR67" s="4261"/>
      <c r="AS67" s="4261"/>
      <c r="AT67" s="4261"/>
      <c r="AU67" s="4262"/>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51" t="s">
        <v>2018</v>
      </c>
      <c r="D68" s="4351"/>
      <c r="E68" s="129">
        <v>20</v>
      </c>
      <c r="F68" s="4352"/>
      <c r="G68" s="4352"/>
      <c r="H68" s="4353"/>
      <c r="I68" s="49"/>
      <c r="J68" s="128">
        <v>240</v>
      </c>
      <c r="K68" s="4360" t="s">
        <v>2019</v>
      </c>
      <c r="L68" s="4360"/>
      <c r="M68" s="4374" t="str">
        <f>IF(Metamagia!$R$54+Metamagia!$U$54+Metamagia!$AA$54+Metamagia!$AA$59+Metamagia!$AA$64+Metamagia!$AD$48+Metamagia!$AG$46&gt;3,"Hasta 1 km. Blanco localizado. Zeón 60","Hasta 1 km. Blanco localizado")</f>
        <v>Hasta 1 km. Blanco localizado</v>
      </c>
      <c r="N68" s="4374"/>
      <c r="O68" s="4374"/>
      <c r="P68" s="4374"/>
      <c r="Q68" s="4374"/>
      <c r="R68" s="49"/>
      <c r="S68" s="756"/>
      <c r="T68" s="633"/>
      <c r="U68" s="95"/>
      <c r="V68" s="885"/>
      <c r="W68" s="4370" t="str">
        <f>IF(SUM(Tablas!$P$1121:$P$1162)=0,"",IF(Tablas!A16&gt;MAX(Tablas!$P$1121:$P$1162),"",VLOOKUP(Tablas!A16,Tablas!$P$1121:$T$1162,2,FALSE)))</f>
        <v/>
      </c>
      <c r="X68" s="4138"/>
      <c r="Y68" s="4138"/>
      <c r="Z68" s="4138"/>
      <c r="AA68" s="4139"/>
      <c r="AB68" s="4371" t="str">
        <f>IF(SUM(Tablas!$P$1121:$P$1162)=0,"",IF(Tablas!A16&gt;MAX(Tablas!$P$1121:$P$1162),"",VLOOKUP(Tablas!A16,Tablas!$P$1121:$T$1162,4,FALSE)))</f>
        <v/>
      </c>
      <c r="AC68" s="4109"/>
      <c r="AD68" s="4109"/>
      <c r="AE68" s="4109"/>
      <c r="AF68" s="4109"/>
      <c r="AG68" s="4109"/>
      <c r="AH68" s="4109"/>
      <c r="AI68" s="4109"/>
      <c r="AJ68" s="4109"/>
      <c r="AK68" s="4372"/>
      <c r="AL68" s="1435"/>
      <c r="AM68" s="95"/>
      <c r="AN68" s="95"/>
      <c r="AO68" s="1136" t="str">
        <f t="shared" si="9"/>
        <v>Conjuros</v>
      </c>
      <c r="AP68" s="4263"/>
      <c r="AQ68" s="4264"/>
      <c r="AR68" s="3909"/>
      <c r="AS68" s="3909"/>
      <c r="AT68" s="3909"/>
      <c r="AU68" s="4265"/>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51" t="s">
        <v>2020</v>
      </c>
      <c r="D69" s="4351"/>
      <c r="E69" s="129">
        <v>30</v>
      </c>
      <c r="F69" s="4381" t="s">
        <v>2021</v>
      </c>
      <c r="G69" s="4381"/>
      <c r="H69" s="4382">
        <v>-50</v>
      </c>
      <c r="I69" s="49"/>
      <c r="J69" s="128">
        <v>280</v>
      </c>
      <c r="K69" s="4360" t="s">
        <v>2022</v>
      </c>
      <c r="L69" s="4360"/>
      <c r="M69" s="4374" t="str">
        <f>IF(Metamagia!$R$54+Metamagia!$U$54+Metamagia!$AA$54+Metamagia!$AA$59+Metamagia!$AA$64+Metamagia!$AD$48+Metamagia!$AG$46&gt;4,"Hasta 10 km. Blanco aprox. Zeón 80","Hasta 10 km. Blanco aproximado")</f>
        <v>Hasta 10 km. Blanco aproximado</v>
      </c>
      <c r="N69" s="4374"/>
      <c r="O69" s="4374"/>
      <c r="P69" s="4374"/>
      <c r="Q69" s="4374"/>
      <c r="R69" s="49"/>
      <c r="S69" s="756"/>
      <c r="T69" s="633"/>
      <c r="U69" s="95"/>
      <c r="V69" s="885"/>
      <c r="W69" s="4370" t="str">
        <f>IF(SUM(Tablas!$P$1121:$P$1162)=0,"",IF(Tablas!A17&gt;MAX(Tablas!$P$1121:$P$1162),"",VLOOKUP(Tablas!A17,Tablas!$P$1121:$T$1162,2,FALSE)))</f>
        <v/>
      </c>
      <c r="X69" s="4138"/>
      <c r="Y69" s="4138"/>
      <c r="Z69" s="4138"/>
      <c r="AA69" s="4139"/>
      <c r="AB69" s="4371" t="str">
        <f>IF(SUM(Tablas!$P$1121:$P$1162)=0,"",IF(Tablas!A17&gt;MAX(Tablas!$P$1121:$P$1162),"",VLOOKUP(Tablas!A17,Tablas!$P$1121:$T$1162,4,FALSE)))</f>
        <v/>
      </c>
      <c r="AC69" s="4109"/>
      <c r="AD69" s="4109"/>
      <c r="AE69" s="4109"/>
      <c r="AF69" s="4109"/>
      <c r="AG69" s="4109"/>
      <c r="AH69" s="4109"/>
      <c r="AI69" s="4109"/>
      <c r="AJ69" s="4109"/>
      <c r="AK69" s="4372"/>
      <c r="AL69" s="1435"/>
      <c r="AM69" s="95"/>
      <c r="AN69" s="95"/>
      <c r="AO69" s="1136" t="str">
        <f t="shared" si="9"/>
        <v>Conjuros</v>
      </c>
      <c r="AP69" s="4259"/>
      <c r="AQ69" s="4260"/>
      <c r="AR69" s="4261"/>
      <c r="AS69" s="4261"/>
      <c r="AT69" s="4261"/>
      <c r="AU69" s="4262"/>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51" t="s">
        <v>2023</v>
      </c>
      <c r="D70" s="4351"/>
      <c r="E70" s="129">
        <v>40</v>
      </c>
      <c r="F70" s="4381"/>
      <c r="G70" s="4381"/>
      <c r="H70" s="4382"/>
      <c r="I70" s="49"/>
      <c r="J70" s="128">
        <v>320</v>
      </c>
      <c r="K70" s="4360" t="s">
        <v>2024</v>
      </c>
      <c r="L70" s="4360"/>
      <c r="M70" s="4374" t="str">
        <f>IF(Metamagia!$R$54+Metamagia!$U$54+Metamagia!$AA$54+Metamagia!$AA$59+Metamagia!$AA$64+Metamagia!$AD$48+Metamagia!$AG$46&gt;5,"Zeón 100","-")</f>
        <v>-</v>
      </c>
      <c r="N70" s="4374"/>
      <c r="O70" s="4374"/>
      <c r="P70" s="4374"/>
      <c r="Q70" s="4374"/>
      <c r="R70" s="49"/>
      <c r="S70" s="756"/>
      <c r="T70" s="633"/>
      <c r="U70" s="95"/>
      <c r="V70" s="885"/>
      <c r="W70" s="4370" t="str">
        <f>IF(SUM(Tablas!$P$1121:$P$1162)=0,"",IF(Tablas!A18&gt;MAX(Tablas!$P$1121:$P$1162),"",VLOOKUP(Tablas!A18,Tablas!$P$1121:$T$1162,2,FALSE)))</f>
        <v/>
      </c>
      <c r="X70" s="4138"/>
      <c r="Y70" s="4138"/>
      <c r="Z70" s="4138"/>
      <c r="AA70" s="4139"/>
      <c r="AB70" s="4371" t="str">
        <f>IF(SUM(Tablas!$P$1121:$P$1162)=0,"",IF(Tablas!A18&gt;MAX(Tablas!$P$1121:$P$1162),"",VLOOKUP(Tablas!A18,Tablas!$P$1121:$T$1162,4,FALSE)))</f>
        <v/>
      </c>
      <c r="AC70" s="4109"/>
      <c r="AD70" s="4109"/>
      <c r="AE70" s="4109"/>
      <c r="AF70" s="4109"/>
      <c r="AG70" s="4109"/>
      <c r="AH70" s="4109"/>
      <c r="AI70" s="4109"/>
      <c r="AJ70" s="4109"/>
      <c r="AK70" s="4372"/>
      <c r="AL70" s="1435"/>
      <c r="AM70" s="95"/>
      <c r="AN70" s="95"/>
      <c r="AO70" s="1136" t="str">
        <f t="shared" si="9"/>
        <v>Conjuros</v>
      </c>
      <c r="AP70" s="4263"/>
      <c r="AQ70" s="4264"/>
      <c r="AR70" s="3909"/>
      <c r="AS70" s="3909"/>
      <c r="AT70" s="3909"/>
      <c r="AU70" s="4265"/>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51" t="s">
        <v>2025</v>
      </c>
      <c r="D71" s="4351"/>
      <c r="E71" s="129">
        <v>50</v>
      </c>
      <c r="F71" s="4367"/>
      <c r="G71" s="4367"/>
      <c r="H71" s="4367"/>
      <c r="I71" s="49"/>
      <c r="J71" s="130">
        <v>440</v>
      </c>
      <c r="K71" s="4368" t="s">
        <v>1958</v>
      </c>
      <c r="L71" s="4368"/>
      <c r="M71" s="4369" t="str">
        <f>IF(Metamagia!$R$54+Metamagia!$U$54+Metamagia!$AA$54+Metamagia!$AA$59+Metamagia!$AA$64+Metamagia!$AD$48+Metamagia!$AG$46&gt;6,"Zeón 200","-")</f>
        <v>-</v>
      </c>
      <c r="N71" s="4369"/>
      <c r="O71" s="4369"/>
      <c r="P71" s="4369"/>
      <c r="Q71" s="4369"/>
      <c r="R71" s="49"/>
      <c r="S71" s="756"/>
      <c r="T71" s="633"/>
      <c r="U71" s="95"/>
      <c r="V71" s="885"/>
      <c r="W71" s="4370" t="str">
        <f>IF(SUM(Tablas!$P$1121:$P$1162)=0,"",IF(Tablas!A19&gt;MAX(Tablas!$P$1121:$P$1162),"",VLOOKUP(Tablas!A19,Tablas!$P$1121:$T$1162,2,FALSE)))</f>
        <v/>
      </c>
      <c r="X71" s="4138"/>
      <c r="Y71" s="4138"/>
      <c r="Z71" s="4138"/>
      <c r="AA71" s="4139"/>
      <c r="AB71" s="4371" t="str">
        <f>IF(SUM(Tablas!$P$1121:$P$1162)=0,"",IF(Tablas!A19&gt;MAX(Tablas!$P$1121:$P$1162),"",VLOOKUP(Tablas!A19,Tablas!$P$1121:$T$1162,4,FALSE)))</f>
        <v/>
      </c>
      <c r="AC71" s="4109"/>
      <c r="AD71" s="4109"/>
      <c r="AE71" s="4109"/>
      <c r="AF71" s="4109"/>
      <c r="AG71" s="4109"/>
      <c r="AH71" s="4109"/>
      <c r="AI71" s="4109"/>
      <c r="AJ71" s="4109"/>
      <c r="AK71" s="4372"/>
      <c r="AL71" s="1435"/>
      <c r="AM71" s="95"/>
      <c r="AN71" s="95"/>
      <c r="AO71" s="1136" t="str">
        <f t="shared" si="9"/>
        <v>Conjuros</v>
      </c>
      <c r="AP71" s="4259"/>
      <c r="AQ71" s="4260"/>
      <c r="AR71" s="4261"/>
      <c r="AS71" s="4261"/>
      <c r="AT71" s="4261"/>
      <c r="AU71" s="4262"/>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51" t="s">
        <v>2026</v>
      </c>
      <c r="D72" s="4351"/>
      <c r="E72" s="129">
        <v>60</v>
      </c>
      <c r="F72" s="4367"/>
      <c r="G72" s="4367"/>
      <c r="H72" s="4367"/>
      <c r="I72" s="49"/>
      <c r="J72" s="4373"/>
      <c r="K72" s="4373"/>
      <c r="L72" s="4373"/>
      <c r="M72" s="4373"/>
      <c r="N72" s="4373"/>
      <c r="O72" s="4373"/>
      <c r="P72" s="4373"/>
      <c r="Q72" s="4373"/>
      <c r="R72" s="49"/>
      <c r="S72" s="756"/>
      <c r="T72" s="633"/>
      <c r="U72" s="95"/>
      <c r="V72" s="885"/>
      <c r="W72" s="4370" t="str">
        <f>IF(SUM(Tablas!$P$1121:$P$1162)=0,"",IF(Tablas!A20&gt;MAX(Tablas!$P$1121:$P$1162),"",VLOOKUP(Tablas!A20,Tablas!$P$1121:$T$1162,2,FALSE)))</f>
        <v/>
      </c>
      <c r="X72" s="4138"/>
      <c r="Y72" s="4138"/>
      <c r="Z72" s="4138"/>
      <c r="AA72" s="4139"/>
      <c r="AB72" s="4371" t="str">
        <f>IF(SUM(Tablas!$P$1121:$P$1162)=0,"",IF(Tablas!A20&gt;MAX(Tablas!$P$1121:$P$1162),"",VLOOKUP(Tablas!A20,Tablas!$P$1121:$T$1162,4,FALSE)))</f>
        <v/>
      </c>
      <c r="AC72" s="4109"/>
      <c r="AD72" s="4109"/>
      <c r="AE72" s="4109"/>
      <c r="AF72" s="4109"/>
      <c r="AG72" s="4109"/>
      <c r="AH72" s="4109"/>
      <c r="AI72" s="4109"/>
      <c r="AJ72" s="4109"/>
      <c r="AK72" s="4372"/>
      <c r="AL72" s="1435"/>
      <c r="AM72" s="95"/>
      <c r="AN72" s="95"/>
      <c r="AO72" s="1136" t="str">
        <f t="shared" si="9"/>
        <v>Conjuros</v>
      </c>
      <c r="AP72" s="4253"/>
      <c r="AQ72" s="4254"/>
      <c r="AR72" s="4255"/>
      <c r="AS72" s="4255"/>
      <c r="AT72" s="4255"/>
      <c r="AU72" s="4256"/>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66" t="s">
        <v>2027</v>
      </c>
      <c r="D73" s="4366"/>
      <c r="E73" s="131">
        <v>70</v>
      </c>
      <c r="F73" s="4367"/>
      <c r="G73" s="4367"/>
      <c r="H73" s="4367"/>
      <c r="I73" s="49"/>
      <c r="J73" s="4373"/>
      <c r="K73" s="4373"/>
      <c r="L73" s="4373"/>
      <c r="M73" s="4373"/>
      <c r="N73" s="4373"/>
      <c r="O73" s="4373"/>
      <c r="P73" s="4373"/>
      <c r="Q73" s="4373"/>
      <c r="R73" s="49"/>
      <c r="S73" s="756"/>
      <c r="T73" s="633"/>
      <c r="U73" s="95"/>
      <c r="V73" s="885"/>
      <c r="W73" s="4375" t="str">
        <f>IF(SUM(Tablas!$P$1121:$P$1162)=0,"",IF(Tablas!A21&gt;MAX(Tablas!$P$1121:$P$1162),"",VLOOKUP(Tablas!A21,Tablas!$P$1121:$T$1162,2,FALSE)))</f>
        <v/>
      </c>
      <c r="X73" s="4376"/>
      <c r="Y73" s="4376"/>
      <c r="Z73" s="4376"/>
      <c r="AA73" s="4377"/>
      <c r="AB73" s="4378" t="str">
        <f>IF(SUM(Tablas!$P$1121:$P$1162)=0,"",IF(Tablas!A21&gt;MAX(Tablas!$P$1121:$P$1162),"",VLOOKUP(Tablas!A21,Tablas!$P$1121:$T$1162,4,FALSE)))</f>
        <v/>
      </c>
      <c r="AC73" s="4379"/>
      <c r="AD73" s="4379"/>
      <c r="AE73" s="4379"/>
      <c r="AF73" s="4379"/>
      <c r="AG73" s="4379"/>
      <c r="AH73" s="4379"/>
      <c r="AI73" s="4379"/>
      <c r="AJ73" s="4379"/>
      <c r="AK73" s="4380"/>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64" priority="64" stopIfTrue="1" operator="greaterThan">
      <formula>$C$12</formula>
    </cfRule>
  </conditionalFormatting>
  <conditionalFormatting sqref="AK10">
    <cfRule type="cellIs" dxfId="963" priority="65" stopIfTrue="1" operator="equal">
      <formula>0</formula>
    </cfRule>
  </conditionalFormatting>
  <conditionalFormatting sqref="J59:Q59">
    <cfRule type="expression" dxfId="962" priority="1769">
      <formula>$P$25="Invocador"</formula>
    </cfRule>
  </conditionalFormatting>
  <conditionalFormatting sqref="K18:L19">
    <cfRule type="cellIs" dxfId="961" priority="52" operator="lessThan">
      <formula>0</formula>
    </cfRule>
  </conditionalFormatting>
  <conditionalFormatting sqref="AP44:AW44">
    <cfRule type="expression" dxfId="960" priority="33">
      <formula>$AP$44=""</formula>
    </cfRule>
  </conditionalFormatting>
  <conditionalFormatting sqref="AP55:AW55">
    <cfRule type="expression" dxfId="959" priority="15">
      <formula>$BB$45</formula>
    </cfRule>
  </conditionalFormatting>
  <conditionalFormatting sqref="AP56:AQ58">
    <cfRule type="expression" dxfId="958" priority="14">
      <formula>$BB$45</formula>
    </cfRule>
  </conditionalFormatting>
  <conditionalFormatting sqref="AP53:AW54">
    <cfRule type="expression" dxfId="957" priority="13">
      <formula>$BC$45</formula>
    </cfRule>
  </conditionalFormatting>
  <conditionalFormatting sqref="AP60:AW72">
    <cfRule type="expression" dxfId="956" priority="11" stopIfTrue="1">
      <formula>NOT($BA$45)</formula>
    </cfRule>
  </conditionalFormatting>
  <conditionalFormatting sqref="AP52:AW52">
    <cfRule type="expression" dxfId="955" priority="10">
      <formula>$BC$45</formula>
    </cfRule>
  </conditionalFormatting>
  <conditionalFormatting sqref="AP56:AW58">
    <cfRule type="expression" dxfId="954" priority="8">
      <formula>$BA$45</formula>
    </cfRule>
  </conditionalFormatting>
  <conditionalFormatting sqref="AP55:AU55">
    <cfRule type="expression" dxfId="953" priority="6">
      <formula>$BA$45</formula>
    </cfRule>
  </conditionalFormatting>
  <conditionalFormatting sqref="AV55:AW55">
    <cfRule type="expression" dxfId="952" priority="5">
      <formula>$BA$45</formula>
    </cfRule>
  </conditionalFormatting>
  <conditionalFormatting sqref="AP46:AW58">
    <cfRule type="expression" dxfId="951" priority="4">
      <formula>AND(NOT($BA$45),NOT($BB$45),NOT($BC$45))</formula>
    </cfRule>
  </conditionalFormatting>
  <conditionalFormatting sqref="AK12:AK50">
    <cfRule type="expression" dxfId="950" priority="1916" stopIfTrue="1">
      <formula>VLOOKUP(AE12,$C$15:$H$25,6,FALSE)&lt;AK12</formula>
    </cfRule>
  </conditionalFormatting>
  <conditionalFormatting sqref="AG12:AI50">
    <cfRule type="expression" dxfId="949" priority="3" stopIfTrue="1">
      <formula>AK12&lt;VLOOKUP($AG12,Tabla_Conjuros_LA,3,0)</formula>
    </cfRule>
  </conditionalFormatting>
  <conditionalFormatting sqref="AE12:AF50">
    <cfRule type="expression" dxfId="948" priority="1">
      <formula>ISNA(VLOOKUP(AE12,$C$15:$D$25,1,0))</formula>
    </cfRule>
  </conditionalFormatting>
  <conditionalFormatting sqref="AJ12:AJ50">
    <cfRule type="expression" dxfId="94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33" sqref="J33"/>
    </sheetView>
  </sheetViews>
  <sheetFormatPr baseColWidth="10"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31"/>
      <c r="D3" s="3231"/>
      <c r="E3" s="3231"/>
      <c r="F3" s="3231"/>
      <c r="G3" s="3231"/>
      <c r="H3" s="3231"/>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31"/>
      <c r="D4" s="3231"/>
      <c r="E4" s="3231"/>
      <c r="F4" s="3231"/>
      <c r="G4" s="3231"/>
      <c r="H4" s="3231"/>
      <c r="I4" s="10"/>
      <c r="J4" s="138"/>
      <c r="K4" s="138"/>
      <c r="L4" s="138"/>
      <c r="M4" s="138"/>
      <c r="N4" s="138"/>
      <c r="O4" s="138"/>
      <c r="P4" s="138"/>
      <c r="Q4" s="138"/>
      <c r="R4" s="138"/>
      <c r="S4" s="138"/>
      <c r="T4" s="138"/>
      <c r="U4" s="138"/>
      <c r="V4" s="39"/>
      <c r="W4" s="39"/>
      <c r="X4" s="39"/>
      <c r="Y4" s="39"/>
      <c r="Z4" s="39"/>
      <c r="AA4" s="3232" t="s">
        <v>1595</v>
      </c>
      <c r="AB4" s="4512"/>
      <c r="AC4" s="4513" t="str">
        <f>IF(OR(General!$F$22="",General!$F$22=0),"",General!$F$22)</f>
        <v/>
      </c>
      <c r="AD4" s="4513"/>
      <c r="AE4" s="4513"/>
      <c r="AF4" s="4513"/>
      <c r="AG4" s="4513"/>
      <c r="AH4" s="2502"/>
      <c r="AI4" s="2501"/>
      <c r="AJ4" s="2495"/>
      <c r="AK4" s="2496"/>
    </row>
    <row r="5" spans="1:67" ht="12" customHeight="1" thickBot="1" x14ac:dyDescent="0.25">
      <c r="A5" s="633">
        <v>25</v>
      </c>
      <c r="B5" s="136"/>
      <c r="C5" s="3231"/>
      <c r="D5" s="3231"/>
      <c r="E5" s="3231"/>
      <c r="F5" s="3231"/>
      <c r="G5" s="3231"/>
      <c r="H5" s="3231"/>
      <c r="I5" s="10"/>
      <c r="J5" s="138"/>
      <c r="K5" s="138"/>
      <c r="L5" s="138"/>
      <c r="M5" s="138"/>
      <c r="N5" s="138"/>
      <c r="O5" s="138"/>
      <c r="P5" s="138"/>
      <c r="Q5" s="138"/>
      <c r="R5" s="138"/>
      <c r="S5" s="138"/>
      <c r="T5" s="138"/>
      <c r="U5" s="138"/>
      <c r="V5" s="39"/>
      <c r="W5" s="39"/>
      <c r="X5" s="39"/>
      <c r="Y5" s="39"/>
      <c r="Z5" s="39"/>
      <c r="AA5" s="3223" t="s">
        <v>1596</v>
      </c>
      <c r="AB5" s="4514"/>
      <c r="AC5" s="4515" t="str">
        <f>Principal!$L$5</f>
        <v/>
      </c>
      <c r="AD5" s="4515"/>
      <c r="AE5" s="4515"/>
      <c r="AF5" s="2503" t="s">
        <v>1597</v>
      </c>
      <c r="AG5" s="2504" t="str">
        <f>Principal!$P$5</f>
        <v>0 + 1</v>
      </c>
      <c r="AH5" s="2505"/>
      <c r="AI5" s="2501"/>
      <c r="AJ5" s="2495"/>
      <c r="AK5" s="2496"/>
    </row>
    <row r="6" spans="1:67" ht="12" customHeight="1" thickBot="1" x14ac:dyDescent="0.25">
      <c r="A6" s="713"/>
      <c r="B6" s="139"/>
      <c r="C6" s="3231"/>
      <c r="D6" s="3231"/>
      <c r="E6" s="3231"/>
      <c r="F6" s="3231"/>
      <c r="G6" s="3231"/>
      <c r="H6" s="3231"/>
      <c r="I6" s="10"/>
      <c r="J6" s="138"/>
      <c r="K6" s="138"/>
      <c r="L6" s="138"/>
      <c r="M6" s="138"/>
      <c r="N6" s="138"/>
      <c r="O6" s="138"/>
      <c r="P6" s="138"/>
      <c r="Q6" s="138"/>
      <c r="R6" s="138"/>
      <c r="S6" s="138"/>
      <c r="T6" s="138"/>
      <c r="U6" s="138"/>
      <c r="V6" s="39"/>
      <c r="W6" s="39"/>
      <c r="X6" s="39"/>
      <c r="Y6" s="39"/>
      <c r="Z6" s="39"/>
      <c r="AA6" s="3225" t="s">
        <v>2028</v>
      </c>
      <c r="AB6" s="4516"/>
      <c r="AC6" s="4516"/>
      <c r="AD6" s="4516"/>
      <c r="AE6" s="4516"/>
      <c r="AF6" s="4516"/>
      <c r="AG6" s="4516"/>
      <c r="AH6" s="2505"/>
      <c r="AI6" s="2501"/>
      <c r="AJ6" s="2495"/>
      <c r="AK6" s="2496"/>
    </row>
    <row r="7" spans="1:67" ht="12" customHeight="1" thickBot="1" x14ac:dyDescent="0.25">
      <c r="A7" s="714"/>
      <c r="B7" s="140"/>
      <c r="C7" s="3231"/>
      <c r="D7" s="3231"/>
      <c r="E7" s="3231"/>
      <c r="F7" s="3231"/>
      <c r="G7" s="3231"/>
      <c r="H7" s="3231"/>
      <c r="I7" s="10"/>
      <c r="J7" s="138"/>
      <c r="K7" s="138"/>
      <c r="L7" s="138"/>
      <c r="M7" s="138"/>
      <c r="N7" s="138"/>
      <c r="O7" s="138"/>
      <c r="P7" s="138"/>
      <c r="Q7" s="138"/>
      <c r="R7" s="138"/>
      <c r="S7" s="138"/>
      <c r="T7" s="138"/>
      <c r="U7" s="138"/>
      <c r="V7" s="39"/>
      <c r="W7" s="39"/>
      <c r="X7" s="39"/>
      <c r="Y7" s="39"/>
      <c r="Z7" s="39"/>
      <c r="AA7" s="3225"/>
      <c r="AB7" s="4516"/>
      <c r="AC7" s="4516"/>
      <c r="AD7" s="4516"/>
      <c r="AE7" s="4516"/>
      <c r="AF7" s="4516"/>
      <c r="AG7" s="4516"/>
      <c r="AH7" s="2505"/>
      <c r="AI7" s="2501"/>
      <c r="AJ7" s="2495"/>
      <c r="AK7" s="2496"/>
    </row>
    <row r="8" spans="1:67" ht="12" customHeight="1" thickBot="1" x14ac:dyDescent="0.25">
      <c r="A8" s="714"/>
      <c r="B8" s="140"/>
      <c r="C8" s="3231"/>
      <c r="D8" s="3231"/>
      <c r="E8" s="3231"/>
      <c r="F8" s="3231"/>
      <c r="G8" s="3231"/>
      <c r="H8" s="3231"/>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04" t="s">
        <v>2029</v>
      </c>
      <c r="J10" s="4504"/>
      <c r="K10" s="146"/>
      <c r="L10" s="143"/>
      <c r="M10" s="143"/>
      <c r="N10" s="143"/>
      <c r="O10" s="144"/>
      <c r="P10" s="144"/>
      <c r="Q10" s="144"/>
      <c r="R10" s="144"/>
      <c r="S10" s="144"/>
      <c r="T10" s="144"/>
      <c r="U10" s="144"/>
      <c r="V10" s="144"/>
      <c r="W10" s="144"/>
      <c r="X10" s="143"/>
      <c r="Y10" s="143"/>
      <c r="Z10" s="145"/>
      <c r="AA10" s="4504" t="s">
        <v>2030</v>
      </c>
      <c r="AB10" s="4505"/>
      <c r="AC10" s="2598"/>
      <c r="AD10" s="2509"/>
      <c r="AE10" s="2509"/>
      <c r="AF10" s="816"/>
      <c r="AG10" s="2509"/>
      <c r="AH10" s="2509"/>
      <c r="AI10" s="2501"/>
      <c r="AJ10" s="2495"/>
      <c r="AK10" s="2496"/>
    </row>
    <row r="11" spans="1:67" ht="12" customHeight="1" thickBot="1" x14ac:dyDescent="0.25">
      <c r="A11" s="716"/>
      <c r="B11" s="136"/>
      <c r="C11" s="143"/>
      <c r="D11" s="143"/>
      <c r="E11" s="143"/>
      <c r="F11" s="4504" t="s">
        <v>2031</v>
      </c>
      <c r="G11" s="4504"/>
      <c r="H11" s="147"/>
      <c r="I11" s="4504"/>
      <c r="J11" s="4504"/>
      <c r="K11" s="148"/>
      <c r="L11" s="4504" t="s">
        <v>2032</v>
      </c>
      <c r="M11" s="4504"/>
      <c r="N11" s="145"/>
      <c r="O11" s="144"/>
      <c r="P11" s="144"/>
      <c r="Q11" s="144"/>
      <c r="R11" s="144"/>
      <c r="S11" s="144"/>
      <c r="T11" s="144"/>
      <c r="U11" s="144"/>
      <c r="V11" s="144"/>
      <c r="W11" s="144"/>
      <c r="X11" s="4504" t="s">
        <v>2033</v>
      </c>
      <c r="Y11" s="4504"/>
      <c r="Z11" s="147"/>
      <c r="AA11" s="4504"/>
      <c r="AB11" s="4505"/>
      <c r="AC11" s="2599"/>
      <c r="AD11" s="4505" t="s">
        <v>2033</v>
      </c>
      <c r="AE11" s="4505"/>
      <c r="AF11" s="2598"/>
      <c r="AG11" s="2509"/>
      <c r="AH11" s="2509"/>
      <c r="AI11" s="2501"/>
      <c r="AJ11" s="2495"/>
      <c r="AK11" s="2496"/>
    </row>
    <row r="12" spans="1:67" ht="12" customHeight="1" thickBot="1" x14ac:dyDescent="0.25">
      <c r="A12" s="633"/>
      <c r="B12" s="136"/>
      <c r="C12" s="143"/>
      <c r="D12" s="143"/>
      <c r="E12" s="145"/>
      <c r="F12" s="4504"/>
      <c r="G12" s="4504"/>
      <c r="H12" s="150"/>
      <c r="I12" s="4504"/>
      <c r="J12" s="4504"/>
      <c r="K12" s="150"/>
      <c r="L12" s="4504"/>
      <c r="M12" s="4504"/>
      <c r="N12" s="145"/>
      <c r="O12" s="144"/>
      <c r="P12" s="144"/>
      <c r="Q12" s="144"/>
      <c r="R12" s="144"/>
      <c r="S12" s="144"/>
      <c r="T12" s="144"/>
      <c r="U12" s="144"/>
      <c r="V12" s="144"/>
      <c r="W12" s="144"/>
      <c r="X12" s="4504"/>
      <c r="Y12" s="4504"/>
      <c r="Z12" s="150"/>
      <c r="AA12" s="4504"/>
      <c r="AB12" s="4505"/>
      <c r="AC12" s="2598"/>
      <c r="AD12" s="4505"/>
      <c r="AE12" s="4505"/>
      <c r="AF12" s="2598"/>
      <c r="AG12" s="2509"/>
      <c r="AH12" s="2509"/>
      <c r="AI12" s="2501"/>
      <c r="AJ12" s="2495"/>
      <c r="AK12" s="2496"/>
    </row>
    <row r="13" spans="1:67" ht="12" customHeight="1" thickBot="1" x14ac:dyDescent="0.25">
      <c r="A13" s="633"/>
      <c r="B13" s="136"/>
      <c r="C13" s="143"/>
      <c r="D13" s="143"/>
      <c r="E13" s="145"/>
      <c r="F13" s="4504"/>
      <c r="G13" s="4504"/>
      <c r="H13" s="150"/>
      <c r="I13" s="151" t="str">
        <f>IF(PDs!$R$15&lt;Metamagia!K10,"Nv "&amp;Metamagia!K10,"")</f>
        <v/>
      </c>
      <c r="J13" s="2430"/>
      <c r="K13" s="150">
        <v>10</v>
      </c>
      <c r="L13" s="4504"/>
      <c r="M13" s="4504"/>
      <c r="N13" s="150"/>
      <c r="O13" s="144"/>
      <c r="P13" s="144"/>
      <c r="Q13" s="144"/>
      <c r="R13" s="144"/>
      <c r="S13" s="144"/>
      <c r="T13" s="144"/>
      <c r="U13" s="144"/>
      <c r="V13" s="144"/>
      <c r="W13" s="144"/>
      <c r="X13" s="4504"/>
      <c r="Y13" s="4504"/>
      <c r="Z13" s="150"/>
      <c r="AA13" s="151" t="str">
        <f>IF(PDs!$R$15&lt;Metamagia!AC10,"Nv "&amp;Metamagia!AC10,"")</f>
        <v/>
      </c>
      <c r="AB13" s="2511"/>
      <c r="AC13" s="2598">
        <v>5</v>
      </c>
      <c r="AD13" s="4505"/>
      <c r="AE13" s="4505"/>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04" t="s">
        <v>2034</v>
      </c>
      <c r="J15" s="4504"/>
      <c r="K15" s="150"/>
      <c r="L15" s="153">
        <f>IF(M14&gt;0,1,0)</f>
        <v>0</v>
      </c>
      <c r="M15" s="143"/>
      <c r="N15" s="150"/>
      <c r="O15" s="143"/>
      <c r="P15" s="143"/>
      <c r="Q15" s="145"/>
      <c r="R15" s="4504" t="s">
        <v>2032</v>
      </c>
      <c r="S15" s="4504"/>
      <c r="T15" s="143"/>
      <c r="U15" s="49"/>
      <c r="V15" s="49"/>
      <c r="W15" s="146"/>
      <c r="X15" s="123">
        <f>IF(Y14&gt;0,1,0)</f>
        <v>0</v>
      </c>
      <c r="Y15" s="134"/>
      <c r="Z15" s="150"/>
      <c r="AA15" s="4504" t="s">
        <v>2035</v>
      </c>
      <c r="AB15" s="4505"/>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04"/>
      <c r="J16" s="4504"/>
      <c r="K16" s="155"/>
      <c r="L16" s="156"/>
      <c r="M16" s="143"/>
      <c r="N16" s="150"/>
      <c r="O16" s="143"/>
      <c r="P16" s="157"/>
      <c r="Q16" s="158"/>
      <c r="R16" s="4504"/>
      <c r="S16" s="4504"/>
      <c r="T16" s="145"/>
      <c r="U16" s="49"/>
      <c r="V16" s="49"/>
      <c r="W16" s="146"/>
      <c r="X16" s="143"/>
      <c r="Y16" s="154"/>
      <c r="Z16" s="148"/>
      <c r="AA16" s="4504"/>
      <c r="AB16" s="4505"/>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04"/>
      <c r="J17" s="4504"/>
      <c r="K17" s="150"/>
      <c r="L17" s="159"/>
      <c r="M17" s="143"/>
      <c r="N17" s="150"/>
      <c r="O17" s="159"/>
      <c r="P17" s="143"/>
      <c r="Q17" s="145"/>
      <c r="R17" s="4504"/>
      <c r="S17" s="4504"/>
      <c r="T17" s="150"/>
      <c r="U17" s="49"/>
      <c r="V17" s="49"/>
      <c r="W17" s="146"/>
      <c r="X17" s="143"/>
      <c r="Y17" s="136"/>
      <c r="Z17" s="150"/>
      <c r="AA17" s="4504"/>
      <c r="AB17" s="4505"/>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04" t="s">
        <v>2032</v>
      </c>
      <c r="D20" s="4504"/>
      <c r="E20" s="150"/>
      <c r="F20" s="4504" t="s">
        <v>2036</v>
      </c>
      <c r="G20" s="4504"/>
      <c r="H20" s="150">
        <v>3</v>
      </c>
      <c r="I20" s="4504" t="s">
        <v>2037</v>
      </c>
      <c r="J20" s="4504"/>
      <c r="K20" s="150">
        <v>4</v>
      </c>
      <c r="L20" s="4504" t="s">
        <v>2038</v>
      </c>
      <c r="M20" s="4504"/>
      <c r="N20" s="150">
        <v>2</v>
      </c>
      <c r="O20" s="4504" t="s">
        <v>2029</v>
      </c>
      <c r="P20" s="4504"/>
      <c r="Q20" s="150">
        <v>4</v>
      </c>
      <c r="R20" s="4504" t="s">
        <v>2037</v>
      </c>
      <c r="S20" s="4504"/>
      <c r="T20" s="150">
        <v>5</v>
      </c>
      <c r="U20" s="4504" t="s">
        <v>2035</v>
      </c>
      <c r="V20" s="4504"/>
      <c r="W20" s="146"/>
      <c r="X20" s="4504" t="s">
        <v>2039</v>
      </c>
      <c r="Y20" s="4504"/>
      <c r="Z20" s="150">
        <v>3</v>
      </c>
      <c r="AA20" s="4504" t="s">
        <v>2040</v>
      </c>
      <c r="AB20" s="4505"/>
      <c r="AC20" s="2598">
        <v>5</v>
      </c>
      <c r="AD20" s="4505" t="s">
        <v>2041</v>
      </c>
      <c r="AE20" s="4505"/>
      <c r="AF20" s="2598">
        <v>2</v>
      </c>
      <c r="AG20" s="4505" t="s">
        <v>2039</v>
      </c>
      <c r="AH20" s="4505"/>
      <c r="AI20" s="2602">
        <v>3</v>
      </c>
      <c r="AJ20" s="2495"/>
      <c r="AK20" s="2496"/>
    </row>
    <row r="21" spans="1:37" ht="12" customHeight="1" thickBot="1" x14ac:dyDescent="0.25">
      <c r="A21" s="633"/>
      <c r="B21" s="136"/>
      <c r="C21" s="4504"/>
      <c r="D21" s="4504"/>
      <c r="E21" s="147"/>
      <c r="F21" s="4504"/>
      <c r="G21" s="4504"/>
      <c r="H21" s="147"/>
      <c r="I21" s="4504"/>
      <c r="J21" s="4504"/>
      <c r="K21" s="147"/>
      <c r="L21" s="4504"/>
      <c r="M21" s="4504"/>
      <c r="N21" s="147"/>
      <c r="O21" s="4504"/>
      <c r="P21" s="4504"/>
      <c r="Q21" s="150"/>
      <c r="R21" s="4504"/>
      <c r="S21" s="4504"/>
      <c r="T21" s="150"/>
      <c r="U21" s="4504"/>
      <c r="V21" s="4504"/>
      <c r="W21" s="149"/>
      <c r="X21" s="4504"/>
      <c r="Y21" s="4504"/>
      <c r="Z21" s="147"/>
      <c r="AA21" s="4504"/>
      <c r="AB21" s="4505"/>
      <c r="AC21" s="2599"/>
      <c r="AD21" s="4505"/>
      <c r="AE21" s="4505"/>
      <c r="AF21" s="2599"/>
      <c r="AG21" s="4505"/>
      <c r="AH21" s="4505"/>
      <c r="AI21" s="2602"/>
      <c r="AJ21" s="2495"/>
      <c r="AK21" s="2496"/>
    </row>
    <row r="22" spans="1:37" ht="12" customHeight="1" x14ac:dyDescent="0.2">
      <c r="A22" s="633"/>
      <c r="B22" s="136"/>
      <c r="C22" s="4504"/>
      <c r="D22" s="4504"/>
      <c r="E22" s="150"/>
      <c r="F22" s="4504"/>
      <c r="G22" s="4504"/>
      <c r="H22" s="150"/>
      <c r="I22" s="4504"/>
      <c r="J22" s="4504"/>
      <c r="K22" s="150"/>
      <c r="L22" s="4504"/>
      <c r="M22" s="4504"/>
      <c r="N22" s="150"/>
      <c r="O22" s="4504"/>
      <c r="P22" s="4504"/>
      <c r="Q22" s="150"/>
      <c r="R22" s="4504"/>
      <c r="S22" s="4504"/>
      <c r="T22" s="150"/>
      <c r="U22" s="4504"/>
      <c r="V22" s="4504"/>
      <c r="W22" s="146"/>
      <c r="X22" s="4504"/>
      <c r="Y22" s="4504"/>
      <c r="Z22" s="150"/>
      <c r="AA22" s="4504"/>
      <c r="AB22" s="4505"/>
      <c r="AC22" s="2598"/>
      <c r="AD22" s="4505"/>
      <c r="AE22" s="4505"/>
      <c r="AF22" s="2598"/>
      <c r="AG22" s="4505"/>
      <c r="AH22" s="4505"/>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04" t="s">
        <v>2038</v>
      </c>
      <c r="J25" s="4504"/>
      <c r="K25" s="150">
        <v>6</v>
      </c>
      <c r="L25" s="156"/>
      <c r="M25" s="143"/>
      <c r="N25" s="150"/>
      <c r="O25" s="143"/>
      <c r="P25" s="143"/>
      <c r="Q25" s="150"/>
      <c r="R25" s="4504" t="s">
        <v>2042</v>
      </c>
      <c r="S25" s="4504"/>
      <c r="T25" s="150">
        <v>2</v>
      </c>
      <c r="U25" s="50"/>
      <c r="V25" s="49"/>
      <c r="W25" s="146"/>
      <c r="X25" s="156"/>
      <c r="Y25" s="143"/>
      <c r="Z25" s="150"/>
      <c r="AA25" s="4504" t="s">
        <v>2043</v>
      </c>
      <c r="AB25" s="4505"/>
      <c r="AC25" s="2598">
        <v>8</v>
      </c>
      <c r="AD25" s="2514"/>
      <c r="AE25" s="2509"/>
      <c r="AF25" s="2598"/>
      <c r="AG25" s="2509"/>
      <c r="AH25" s="2517"/>
      <c r="AI25" s="2602"/>
      <c r="AJ25" s="2495"/>
      <c r="AK25" s="2496"/>
    </row>
    <row r="26" spans="1:37" ht="12" customHeight="1" thickBot="1" x14ac:dyDescent="0.25">
      <c r="A26" s="633"/>
      <c r="B26" s="136"/>
      <c r="C26" s="144"/>
      <c r="D26" s="163"/>
      <c r="E26" s="164"/>
      <c r="F26" s="4504" t="s">
        <v>2034</v>
      </c>
      <c r="G26" s="4504"/>
      <c r="H26" s="150">
        <v>6</v>
      </c>
      <c r="I26" s="4504"/>
      <c r="J26" s="4504"/>
      <c r="K26" s="150"/>
      <c r="L26" s="4504" t="s">
        <v>2036</v>
      </c>
      <c r="M26" s="4504"/>
      <c r="N26" s="150">
        <v>6</v>
      </c>
      <c r="O26" s="143"/>
      <c r="P26" s="143"/>
      <c r="Q26" s="150"/>
      <c r="R26" s="4504"/>
      <c r="S26" s="4504"/>
      <c r="T26" s="155"/>
      <c r="U26" s="98"/>
      <c r="V26" s="49"/>
      <c r="W26" s="146"/>
      <c r="X26" s="4504" t="s">
        <v>2044</v>
      </c>
      <c r="Y26" s="4504"/>
      <c r="Z26" s="150">
        <v>7</v>
      </c>
      <c r="AA26" s="4504"/>
      <c r="AB26" s="4505"/>
      <c r="AC26" s="2598"/>
      <c r="AD26" s="4505" t="s">
        <v>2045</v>
      </c>
      <c r="AE26" s="4505"/>
      <c r="AF26" s="2598">
        <v>8</v>
      </c>
      <c r="AG26" s="2508"/>
      <c r="AH26" s="2518"/>
      <c r="AI26" s="2606"/>
      <c r="AJ26" s="2495"/>
      <c r="AK26" s="2496"/>
    </row>
    <row r="27" spans="1:37" ht="12" customHeight="1" thickBot="1" x14ac:dyDescent="0.25">
      <c r="A27" s="633"/>
      <c r="B27" s="136"/>
      <c r="C27" s="144"/>
      <c r="D27" s="165"/>
      <c r="E27" s="164"/>
      <c r="F27" s="4504"/>
      <c r="G27" s="4504"/>
      <c r="H27" s="150"/>
      <c r="I27" s="4504"/>
      <c r="J27" s="4504"/>
      <c r="K27" s="150"/>
      <c r="L27" s="4504"/>
      <c r="M27" s="4504"/>
      <c r="N27" s="150"/>
      <c r="O27" s="143"/>
      <c r="P27" s="143"/>
      <c r="Q27" s="145"/>
      <c r="R27" s="4504"/>
      <c r="S27" s="4504"/>
      <c r="T27" s="150"/>
      <c r="U27" s="49"/>
      <c r="V27" s="49"/>
      <c r="W27" s="146"/>
      <c r="X27" s="4504"/>
      <c r="Y27" s="4504"/>
      <c r="Z27" s="150"/>
      <c r="AA27" s="4504"/>
      <c r="AB27" s="4505"/>
      <c r="AC27" s="2598"/>
      <c r="AD27" s="4505"/>
      <c r="AE27" s="4505"/>
      <c r="AF27" s="2598"/>
      <c r="AG27" s="2508"/>
      <c r="AH27" s="2519"/>
      <c r="AI27" s="2606"/>
      <c r="AJ27" s="2495"/>
      <c r="AK27" s="2496"/>
    </row>
    <row r="28" spans="1:37" ht="12" customHeight="1" thickBot="1" x14ac:dyDescent="0.25">
      <c r="A28" s="633"/>
      <c r="B28" s="136"/>
      <c r="C28" s="4504" t="s">
        <v>2031</v>
      </c>
      <c r="D28" s="4504"/>
      <c r="E28" s="150">
        <v>4</v>
      </c>
      <c r="F28" s="4504"/>
      <c r="G28" s="4504"/>
      <c r="H28" s="150"/>
      <c r="I28" s="151" t="str">
        <f>IF(PDs!$R$15&lt;Metamagia!K25,"Nv "&amp;Metamagia!K25,"")</f>
        <v>Nv 6</v>
      </c>
      <c r="J28" s="2430"/>
      <c r="K28" s="150">
        <v>10</v>
      </c>
      <c r="L28" s="4504"/>
      <c r="M28" s="4504"/>
      <c r="N28" s="150"/>
      <c r="O28" s="143"/>
      <c r="P28" s="143"/>
      <c r="Q28" s="145"/>
      <c r="R28" s="151" t="str">
        <f>IF(PDs!$R$15&lt;Metamagia!T25,"Nv "&amp;Metamagia!T25,"")</f>
        <v>Nv 2</v>
      </c>
      <c r="S28" s="2430"/>
      <c r="T28" s="150">
        <v>5</v>
      </c>
      <c r="U28" s="49"/>
      <c r="V28" s="49"/>
      <c r="W28" s="146"/>
      <c r="X28" s="4504"/>
      <c r="Y28" s="4504"/>
      <c r="Z28" s="150"/>
      <c r="AA28" s="151" t="str">
        <f>IF(PDs!$R$15&lt;Metamagia!AC25,"Nv "&amp;Metamagia!AC25,"")</f>
        <v>Nv 8</v>
      </c>
      <c r="AB28" s="2511"/>
      <c r="AC28" s="2598">
        <v>5</v>
      </c>
      <c r="AD28" s="4505"/>
      <c r="AE28" s="4505"/>
      <c r="AF28" s="2598"/>
      <c r="AG28" s="4505" t="s">
        <v>2041</v>
      </c>
      <c r="AH28" s="4505"/>
      <c r="AI28" s="2602">
        <v>4</v>
      </c>
      <c r="AJ28" s="2495"/>
      <c r="AK28" s="2496"/>
    </row>
    <row r="29" spans="1:37" ht="12" customHeight="1" thickBot="1" x14ac:dyDescent="0.25">
      <c r="A29" s="633"/>
      <c r="B29" s="136"/>
      <c r="C29" s="4504"/>
      <c r="D29" s="4504"/>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05"/>
      <c r="AH29" s="4505"/>
      <c r="AI29" s="2602"/>
      <c r="AJ29" s="2495"/>
      <c r="AK29" s="2496"/>
    </row>
    <row r="30" spans="1:37" ht="12" customHeight="1" thickBot="1" x14ac:dyDescent="0.25">
      <c r="A30" s="633"/>
      <c r="B30" s="136"/>
      <c r="C30" s="4504"/>
      <c r="D30" s="4504"/>
      <c r="E30" s="150"/>
      <c r="F30" s="153">
        <f>IF(G29&gt;0,1,0)</f>
        <v>0</v>
      </c>
      <c r="G30" s="157"/>
      <c r="H30" s="148"/>
      <c r="I30" s="4504" t="s">
        <v>2037</v>
      </c>
      <c r="J30" s="4504"/>
      <c r="K30" s="167">
        <v>7</v>
      </c>
      <c r="L30" s="160">
        <f>IF(M29&gt;0,1,0)</f>
        <v>0</v>
      </c>
      <c r="M30" s="143"/>
      <c r="N30" s="150"/>
      <c r="O30" s="144"/>
      <c r="P30" s="144"/>
      <c r="Q30" s="144"/>
      <c r="R30" s="144"/>
      <c r="S30" s="144"/>
      <c r="T30" s="144"/>
      <c r="U30" s="144"/>
      <c r="V30" s="144"/>
      <c r="W30" s="146"/>
      <c r="X30" s="153">
        <f>IF(Y29&gt;0,1,0)</f>
        <v>0</v>
      </c>
      <c r="Y30" s="157"/>
      <c r="Z30" s="148"/>
      <c r="AA30" s="4504" t="s">
        <v>2046</v>
      </c>
      <c r="AB30" s="4505"/>
      <c r="AC30" s="2600">
        <v>9</v>
      </c>
      <c r="AD30" s="2608">
        <f>IF(AE29&gt;0,1,0)</f>
        <v>0</v>
      </c>
      <c r="AE30" s="2509"/>
      <c r="AF30" s="2598"/>
      <c r="AG30" s="4505"/>
      <c r="AH30" s="4505"/>
      <c r="AI30" s="2602"/>
      <c r="AJ30" s="2495"/>
      <c r="AK30" s="2496"/>
    </row>
    <row r="31" spans="1:37" ht="12" customHeight="1" thickBot="1" x14ac:dyDescent="0.25">
      <c r="A31" s="633"/>
      <c r="B31" s="136"/>
      <c r="C31" s="151" t="str">
        <f>IF(PDs!$R$15&lt;Metamagia!E28,"Nv "&amp;Metamagia!E28,"")</f>
        <v>Nv 4</v>
      </c>
      <c r="D31" s="2430"/>
      <c r="E31" s="150">
        <v>5</v>
      </c>
      <c r="F31" s="168"/>
      <c r="G31" s="33"/>
      <c r="H31" s="150"/>
      <c r="I31" s="4504"/>
      <c r="J31" s="4504"/>
      <c r="K31" s="169"/>
      <c r="L31" s="143"/>
      <c r="M31" s="143"/>
      <c r="N31" s="150"/>
      <c r="O31" s="144"/>
      <c r="P31" s="144"/>
      <c r="Q31" s="144"/>
      <c r="R31" s="144"/>
      <c r="S31" s="144"/>
      <c r="T31" s="144"/>
      <c r="U31" s="144"/>
      <c r="V31" s="144"/>
      <c r="W31" s="146"/>
      <c r="X31" s="168"/>
      <c r="Y31" s="33"/>
      <c r="Z31" s="150"/>
      <c r="AA31" s="4504"/>
      <c r="AB31" s="4505"/>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504"/>
      <c r="J32" s="4504"/>
      <c r="K32" s="169"/>
      <c r="L32" s="143"/>
      <c r="M32" s="143"/>
      <c r="N32" s="150"/>
      <c r="O32" s="144"/>
      <c r="P32" s="144"/>
      <c r="Q32" s="144"/>
      <c r="R32" s="144"/>
      <c r="S32" s="144"/>
      <c r="T32" s="144"/>
      <c r="U32" s="144"/>
      <c r="V32" s="144"/>
      <c r="W32" s="146"/>
      <c r="X32" s="172"/>
      <c r="Y32" s="33"/>
      <c r="Z32" s="150"/>
      <c r="AA32" s="4504"/>
      <c r="AB32" s="4505"/>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04" t="s">
        <v>2047</v>
      </c>
      <c r="G33" s="4504"/>
      <c r="H33" s="150">
        <v>10</v>
      </c>
      <c r="I33" s="151" t="str">
        <f>IF(PDs!$R$15&lt;Metamagia!K30,"Nv "&amp;Metamagia!K30,"")</f>
        <v>Nv 7</v>
      </c>
      <c r="J33" s="2430"/>
      <c r="K33" s="169">
        <v>10</v>
      </c>
      <c r="L33" s="143"/>
      <c r="M33" s="143"/>
      <c r="N33" s="150"/>
      <c r="O33" s="144"/>
      <c r="V33" s="144"/>
      <c r="W33" s="146"/>
      <c r="X33" s="4504" t="s">
        <v>2048</v>
      </c>
      <c r="Y33" s="4504"/>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04"/>
      <c r="G34" s="4504"/>
      <c r="H34" s="155"/>
      <c r="I34" s="153">
        <f>IF(J33&gt;0,1,0)</f>
        <v>0</v>
      </c>
      <c r="J34" s="143"/>
      <c r="K34" s="150"/>
      <c r="L34" s="144"/>
      <c r="M34" s="144"/>
      <c r="N34" s="164"/>
      <c r="O34" s="144"/>
      <c r="V34" s="144"/>
      <c r="W34" s="144"/>
      <c r="X34" s="4504"/>
      <c r="Y34" s="4504"/>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04" t="s">
        <v>2034</v>
      </c>
      <c r="D35" s="4504"/>
      <c r="E35" s="150">
        <v>5</v>
      </c>
      <c r="F35" s="4504"/>
      <c r="G35" s="4504"/>
      <c r="H35" s="150"/>
      <c r="I35" s="135"/>
      <c r="J35" s="143"/>
      <c r="K35" s="150"/>
      <c r="L35" s="144"/>
      <c r="M35" s="144"/>
      <c r="N35" s="164"/>
      <c r="O35" s="144"/>
      <c r="P35" s="3391" t="s">
        <v>1787</v>
      </c>
      <c r="Q35" s="3391"/>
      <c r="R35" s="3391"/>
      <c r="S35" s="3391"/>
      <c r="T35" s="3391"/>
      <c r="U35" s="3391"/>
      <c r="V35" s="144"/>
      <c r="W35" s="144"/>
      <c r="X35" s="4504"/>
      <c r="Y35" s="4504"/>
      <c r="Z35" s="150"/>
      <c r="AA35" s="143"/>
      <c r="AB35" s="2509"/>
      <c r="AC35" s="2598"/>
      <c r="AD35" s="2508"/>
      <c r="AE35" s="2508"/>
      <c r="AF35" s="2605"/>
      <c r="AG35" s="4505" t="s">
        <v>2049</v>
      </c>
      <c r="AH35" s="4505"/>
      <c r="AI35" s="2602">
        <v>5</v>
      </c>
      <c r="AJ35" s="2495"/>
      <c r="AK35" s="2496"/>
    </row>
    <row r="36" spans="1:37" ht="12" customHeight="1" thickBot="1" x14ac:dyDescent="0.25">
      <c r="A36" s="633"/>
      <c r="B36" s="136"/>
      <c r="C36" s="4504"/>
      <c r="D36" s="4504"/>
      <c r="E36" s="150"/>
      <c r="F36" s="151" t="str">
        <f>IF(PDs!$R$15&lt;Metamagia!H33,"Nv "&amp;Metamagia!H33,"")</f>
        <v>Nv 10</v>
      </c>
      <c r="G36" s="2430"/>
      <c r="H36" s="150">
        <v>20</v>
      </c>
      <c r="I36" s="143"/>
      <c r="J36" s="143"/>
      <c r="K36" s="150"/>
      <c r="L36" s="144"/>
      <c r="M36" s="144"/>
      <c r="N36" s="164"/>
      <c r="O36" s="144"/>
      <c r="P36" s="4506" t="s">
        <v>1964</v>
      </c>
      <c r="Q36" s="4506"/>
      <c r="R36" s="4507" t="s">
        <v>1965</v>
      </c>
      <c r="S36" s="4507"/>
      <c r="T36" s="4508" t="s">
        <v>1966</v>
      </c>
      <c r="U36" s="4508"/>
      <c r="V36" s="144"/>
      <c r="W36" s="144"/>
      <c r="X36" s="151" t="str">
        <f>IF(PDs!$R$15&lt;Metamagia!Z33,"Nv "&amp;Metamagia!Z33,"")</f>
        <v>Nv 10</v>
      </c>
      <c r="Y36" s="2430"/>
      <c r="Z36" s="150">
        <v>20</v>
      </c>
      <c r="AA36" s="143"/>
      <c r="AB36" s="2509"/>
      <c r="AC36" s="2598"/>
      <c r="AD36" s="2508"/>
      <c r="AE36" s="2508"/>
      <c r="AF36" s="2605"/>
      <c r="AG36" s="4505"/>
      <c r="AH36" s="4505"/>
      <c r="AI36" s="2602"/>
      <c r="AJ36" s="2495"/>
      <c r="AK36" s="2496"/>
    </row>
    <row r="37" spans="1:37" ht="12" customHeight="1" thickBot="1" x14ac:dyDescent="0.25">
      <c r="A37" s="633"/>
      <c r="B37" s="136"/>
      <c r="C37" s="4504"/>
      <c r="D37" s="4504"/>
      <c r="E37" s="150"/>
      <c r="F37" s="166">
        <f>IF(G36&gt;0,1,0)</f>
        <v>0</v>
      </c>
      <c r="G37" s="144"/>
      <c r="H37" s="164"/>
      <c r="I37" s="143"/>
      <c r="J37" s="143"/>
      <c r="K37" s="150"/>
      <c r="L37" s="4504" t="s">
        <v>2050</v>
      </c>
      <c r="M37" s="4504"/>
      <c r="N37" s="150">
        <v>10</v>
      </c>
      <c r="O37" s="144"/>
      <c r="P37" s="4509">
        <f>Místicos!$C$12</f>
        <v>0</v>
      </c>
      <c r="Q37" s="4509"/>
      <c r="R37" s="4510">
        <f>Místicos!$E$12</f>
        <v>0</v>
      </c>
      <c r="S37" s="4510"/>
      <c r="T37" s="4511">
        <f>D23+D31+D38+D45+D53+G14+G23+G29+G36+G47+G53+G62+J13+J18+J23+J28+J33+J43+J48+J53+J58+J63+M14+M23+M29+M40+M47+M53+M62+P23+P53+S18+S23+S28+S48+S53+S58+V23+V53+Y14+Y23+Y29+Y36+Y47+Y53+Y62+AB13+AB18+AB23+AB28+AB33+AB43+AB48+AB53+AB58+AB63+AE14+AE23+AE29+AE40+AE47+AE53+AE62+AH23+AH31+AH38+AH45+AH53</f>
        <v>0</v>
      </c>
      <c r="U37" s="4511"/>
      <c r="V37" s="144"/>
      <c r="W37" s="144"/>
      <c r="X37" s="166">
        <f>IF(Y36&gt;0,1,0)</f>
        <v>0</v>
      </c>
      <c r="Y37" s="144"/>
      <c r="Z37" s="164"/>
      <c r="AA37" s="143"/>
      <c r="AB37" s="2509"/>
      <c r="AC37" s="2602"/>
      <c r="AD37" s="4505" t="s">
        <v>2051</v>
      </c>
      <c r="AE37" s="4505"/>
      <c r="AF37" s="2598">
        <v>10</v>
      </c>
      <c r="AG37" s="4505"/>
      <c r="AH37" s="4505"/>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504"/>
      <c r="M38" s="4504"/>
      <c r="N38" s="175"/>
      <c r="O38" s="144"/>
      <c r="P38" s="4509"/>
      <c r="Q38" s="4509"/>
      <c r="R38" s="4510"/>
      <c r="S38" s="4510"/>
      <c r="T38" s="4511"/>
      <c r="U38" s="4511"/>
      <c r="V38" s="144"/>
      <c r="W38" s="146"/>
      <c r="X38" s="144"/>
      <c r="Y38" s="144"/>
      <c r="Z38" s="164"/>
      <c r="AA38" s="143"/>
      <c r="AB38" s="2521"/>
      <c r="AC38" s="2603"/>
      <c r="AD38" s="4505"/>
      <c r="AE38" s="4505"/>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04"/>
      <c r="M39" s="4504"/>
      <c r="N39" s="150"/>
      <c r="O39" s="144"/>
      <c r="P39" s="144"/>
      <c r="Q39" s="144"/>
      <c r="R39" s="144"/>
      <c r="S39" s="144"/>
      <c r="T39" s="144"/>
      <c r="U39" s="144"/>
      <c r="V39" s="144"/>
      <c r="W39" s="146"/>
      <c r="X39" s="144"/>
      <c r="Y39" s="144"/>
      <c r="Z39" s="164"/>
      <c r="AA39" s="143"/>
      <c r="AB39" s="2522"/>
      <c r="AC39" s="2602"/>
      <c r="AD39" s="4505"/>
      <c r="AE39" s="4505"/>
      <c r="AF39" s="2598"/>
      <c r="AG39" s="892">
        <f>IF(AH38&gt;0,1,0)</f>
        <v>0</v>
      </c>
      <c r="AH39" s="2517"/>
      <c r="AI39" s="2602"/>
      <c r="AJ39" s="2495"/>
      <c r="AK39" s="2496"/>
    </row>
    <row r="40" spans="1:37" ht="12" customHeight="1" thickBot="1" x14ac:dyDescent="0.25">
      <c r="A40" s="633"/>
      <c r="B40" s="136"/>
      <c r="C40" s="143"/>
      <c r="D40" s="136"/>
      <c r="E40" s="150"/>
      <c r="F40" s="176"/>
      <c r="G40" s="33"/>
      <c r="H40" s="150"/>
      <c r="I40" s="4504" t="s">
        <v>2052</v>
      </c>
      <c r="J40" s="4504"/>
      <c r="K40" s="150">
        <v>7</v>
      </c>
      <c r="L40" s="151" t="str">
        <f>IF(PDs!$R$15&lt;Metamagia!N37,"Nv "&amp;Metamagia!N37,"")</f>
        <v>Nv 10</v>
      </c>
      <c r="M40" s="2430"/>
      <c r="N40" s="150">
        <v>20</v>
      </c>
      <c r="O40" s="144"/>
      <c r="P40" s="144"/>
      <c r="Q40" s="144"/>
      <c r="R40" s="144"/>
      <c r="S40" s="144"/>
      <c r="T40" s="144"/>
      <c r="U40" s="144"/>
      <c r="V40" s="144"/>
      <c r="W40" s="146"/>
      <c r="X40" s="144"/>
      <c r="Y40" s="144"/>
      <c r="Z40" s="164"/>
      <c r="AA40" s="4504" t="s">
        <v>2053</v>
      </c>
      <c r="AB40" s="4505"/>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04"/>
      <c r="J41" s="4504"/>
      <c r="K41" s="150"/>
      <c r="L41" s="123">
        <f>IF(M40&gt;0,1,0)</f>
        <v>0</v>
      </c>
      <c r="M41" s="143"/>
      <c r="N41" s="150"/>
      <c r="O41" s="144"/>
      <c r="V41" s="144"/>
      <c r="W41" s="146"/>
      <c r="X41" s="176"/>
      <c r="Y41" s="33"/>
      <c r="Z41" s="150"/>
      <c r="AA41" s="4504"/>
      <c r="AB41" s="4505"/>
      <c r="AC41" s="2598"/>
      <c r="AD41" s="892">
        <f>IF(AE40&gt;0,1,0)</f>
        <v>0</v>
      </c>
      <c r="AE41" s="2509"/>
      <c r="AF41" s="2598"/>
      <c r="AG41" s="2508"/>
      <c r="AH41" s="2519"/>
      <c r="AI41" s="2606"/>
      <c r="AJ41" s="2495"/>
      <c r="AK41" s="2496"/>
    </row>
    <row r="42" spans="1:37" ht="12" customHeight="1" thickBot="1" x14ac:dyDescent="0.25">
      <c r="A42" s="633"/>
      <c r="B42" s="136"/>
      <c r="C42" s="4504" t="s">
        <v>2054</v>
      </c>
      <c r="D42" s="4504"/>
      <c r="E42" s="177">
        <v>2</v>
      </c>
      <c r="F42" s="33"/>
      <c r="G42" s="134"/>
      <c r="H42" s="178"/>
      <c r="I42" s="4504"/>
      <c r="J42" s="4504"/>
      <c r="K42" s="179"/>
      <c r="L42" s="180"/>
      <c r="M42" s="143"/>
      <c r="N42" s="150"/>
      <c r="O42" s="144"/>
      <c r="V42" s="144"/>
      <c r="W42" s="146"/>
      <c r="X42" s="33"/>
      <c r="Y42" s="134"/>
      <c r="Z42" s="178"/>
      <c r="AA42" s="4504"/>
      <c r="AB42" s="4505"/>
      <c r="AC42" s="2604"/>
      <c r="AD42" s="2498"/>
      <c r="AE42" s="2509"/>
      <c r="AF42" s="2598"/>
      <c r="AG42" s="4505" t="s">
        <v>2055</v>
      </c>
      <c r="AH42" s="4505"/>
      <c r="AI42" s="2602">
        <v>3</v>
      </c>
      <c r="AJ42" s="2495"/>
      <c r="AK42" s="2496"/>
    </row>
    <row r="43" spans="1:37" ht="12" customHeight="1" thickBot="1" x14ac:dyDescent="0.25">
      <c r="A43" s="633"/>
      <c r="B43" s="136"/>
      <c r="C43" s="4504"/>
      <c r="D43" s="4504"/>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05"/>
      <c r="AH43" s="4505"/>
      <c r="AI43" s="2602"/>
      <c r="AJ43" s="2495"/>
      <c r="AK43" s="2496"/>
    </row>
    <row r="44" spans="1:37" ht="12" customHeight="1" thickBot="1" x14ac:dyDescent="0.25">
      <c r="A44" s="633"/>
      <c r="B44" s="136"/>
      <c r="C44" s="4504"/>
      <c r="D44" s="4504"/>
      <c r="E44" s="150"/>
      <c r="F44" s="4504" t="s">
        <v>2056</v>
      </c>
      <c r="G44" s="4504"/>
      <c r="H44" s="150">
        <v>6</v>
      </c>
      <c r="I44" s="123">
        <f>IF(J43&gt;0,1,0)</f>
        <v>0</v>
      </c>
      <c r="J44" s="143"/>
      <c r="K44" s="150"/>
      <c r="L44" s="4504" t="s">
        <v>2057</v>
      </c>
      <c r="M44" s="4504"/>
      <c r="N44" s="150">
        <v>9</v>
      </c>
      <c r="O44" s="143"/>
      <c r="V44" s="49"/>
      <c r="W44" s="146"/>
      <c r="X44" s="4504" t="s">
        <v>2058</v>
      </c>
      <c r="Y44" s="4504"/>
      <c r="Z44" s="150">
        <v>8</v>
      </c>
      <c r="AA44" s="123">
        <f>IF(AB43&gt;0,1,0)</f>
        <v>0</v>
      </c>
      <c r="AB44" s="2509"/>
      <c r="AC44" s="2598"/>
      <c r="AD44" s="4505" t="s">
        <v>2055</v>
      </c>
      <c r="AE44" s="4505"/>
      <c r="AF44" s="2598">
        <v>10</v>
      </c>
      <c r="AG44" s="4505"/>
      <c r="AH44" s="4505"/>
      <c r="AI44" s="2602"/>
      <c r="AJ44" s="2495"/>
      <c r="AK44" s="2496"/>
    </row>
    <row r="45" spans="1:37" ht="12" customHeight="1" thickBot="1" x14ac:dyDescent="0.25">
      <c r="A45" s="633"/>
      <c r="B45" s="136"/>
      <c r="C45" s="151" t="str">
        <f>IF(PDs!$R$15&lt;Metamagia!E42,"Nv "&amp;Metamagia!E42,"")</f>
        <v>Nv 2</v>
      </c>
      <c r="D45" s="2430"/>
      <c r="E45" s="150">
        <v>5</v>
      </c>
      <c r="F45" s="4504"/>
      <c r="G45" s="4504"/>
      <c r="H45" s="150"/>
      <c r="I45" s="4504" t="s">
        <v>2057</v>
      </c>
      <c r="J45" s="4504"/>
      <c r="K45" s="150">
        <v>6</v>
      </c>
      <c r="L45" s="4504"/>
      <c r="M45" s="4504"/>
      <c r="N45" s="150"/>
      <c r="O45" s="143"/>
      <c r="P45" s="143"/>
      <c r="Q45" s="145"/>
      <c r="R45" s="4504" t="s">
        <v>2054</v>
      </c>
      <c r="S45" s="4504"/>
      <c r="T45" s="150">
        <v>2</v>
      </c>
      <c r="U45" s="49"/>
      <c r="V45" s="49"/>
      <c r="W45" s="146"/>
      <c r="X45" s="4504"/>
      <c r="Y45" s="4504"/>
      <c r="Z45" s="150"/>
      <c r="AA45" s="4504" t="s">
        <v>2059</v>
      </c>
      <c r="AB45" s="4505"/>
      <c r="AC45" s="2598">
        <v>6</v>
      </c>
      <c r="AD45" s="4505"/>
      <c r="AE45" s="4505"/>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504"/>
      <c r="G46" s="4504"/>
      <c r="H46" s="150"/>
      <c r="I46" s="4504"/>
      <c r="J46" s="4504"/>
      <c r="K46" s="150"/>
      <c r="L46" s="4504"/>
      <c r="M46" s="4504"/>
      <c r="N46" s="150"/>
      <c r="O46" s="143"/>
      <c r="P46" s="157"/>
      <c r="Q46" s="158"/>
      <c r="R46" s="4504"/>
      <c r="S46" s="4504"/>
      <c r="T46" s="150"/>
      <c r="U46" s="49"/>
      <c r="V46" s="49"/>
      <c r="W46" s="146"/>
      <c r="X46" s="4504"/>
      <c r="Y46" s="4504"/>
      <c r="Z46" s="150"/>
      <c r="AA46" s="4504"/>
      <c r="AB46" s="4505"/>
      <c r="AC46" s="2598"/>
      <c r="AD46" s="4505"/>
      <c r="AE46" s="4505"/>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04"/>
      <c r="J47" s="4504"/>
      <c r="K47" s="150"/>
      <c r="L47" s="151" t="str">
        <f>IF(PDs!$R$15&lt;Metamagia!N44,"Nv "&amp;Metamagia!N44,"")</f>
        <v>Nv 9</v>
      </c>
      <c r="M47" s="2430"/>
      <c r="N47" s="150">
        <v>25</v>
      </c>
      <c r="O47" s="159"/>
      <c r="P47" s="143"/>
      <c r="Q47" s="145"/>
      <c r="R47" s="4504"/>
      <c r="S47" s="4504"/>
      <c r="T47" s="150"/>
      <c r="U47" s="49"/>
      <c r="V47" s="49"/>
      <c r="W47" s="181"/>
      <c r="X47" s="151" t="str">
        <f>IF(PDs!$R$15&lt;Metamagia!Z44,"Nv "&amp;Metamagia!Z44,"")</f>
        <v>Nv 8</v>
      </c>
      <c r="Y47" s="2430"/>
      <c r="Z47" s="150">
        <v>5</v>
      </c>
      <c r="AA47" s="4504"/>
      <c r="AB47" s="4505"/>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04" t="s">
        <v>2060</v>
      </c>
      <c r="D50" s="4504"/>
      <c r="E50" s="150"/>
      <c r="F50" s="4504" t="s">
        <v>2061</v>
      </c>
      <c r="G50" s="4504"/>
      <c r="H50" s="150">
        <v>3</v>
      </c>
      <c r="I50" s="4504" t="s">
        <v>2062</v>
      </c>
      <c r="J50" s="4504"/>
      <c r="K50" s="150">
        <v>3</v>
      </c>
      <c r="L50" s="4504" t="s">
        <v>2063</v>
      </c>
      <c r="M50" s="4504"/>
      <c r="N50" s="150">
        <v>3</v>
      </c>
      <c r="O50" s="4504" t="s">
        <v>2064</v>
      </c>
      <c r="P50" s="4504"/>
      <c r="Q50" s="145"/>
      <c r="R50" s="4504" t="s">
        <v>2055</v>
      </c>
      <c r="S50" s="4504"/>
      <c r="T50" s="150">
        <v>5</v>
      </c>
      <c r="U50" s="4504" t="s">
        <v>2055</v>
      </c>
      <c r="V50" s="4504"/>
      <c r="W50" s="150">
        <v>4</v>
      </c>
      <c r="X50" s="4504" t="s">
        <v>2065</v>
      </c>
      <c r="Y50" s="4504"/>
      <c r="Z50" s="150">
        <v>3</v>
      </c>
      <c r="AA50" s="4504" t="s">
        <v>2055</v>
      </c>
      <c r="AB50" s="4505"/>
      <c r="AC50" s="2598">
        <v>6</v>
      </c>
      <c r="AD50" s="4505" t="s">
        <v>2066</v>
      </c>
      <c r="AE50" s="4505"/>
      <c r="AF50" s="2598">
        <v>3</v>
      </c>
      <c r="AG50" s="4505" t="s">
        <v>2067</v>
      </c>
      <c r="AH50" s="4505"/>
      <c r="AI50" s="2602">
        <v>3</v>
      </c>
      <c r="AJ50" s="2495"/>
      <c r="AK50" s="2496"/>
    </row>
    <row r="51" spans="1:37" ht="12" customHeight="1" thickBot="1" x14ac:dyDescent="0.25">
      <c r="A51" s="633"/>
      <c r="B51" s="136"/>
      <c r="C51" s="4504"/>
      <c r="D51" s="4504"/>
      <c r="E51" s="147"/>
      <c r="F51" s="4504"/>
      <c r="G51" s="4504"/>
      <c r="H51" s="147"/>
      <c r="I51" s="4504"/>
      <c r="J51" s="4504"/>
      <c r="K51" s="147"/>
      <c r="L51" s="4504"/>
      <c r="M51" s="4504"/>
      <c r="N51" s="147"/>
      <c r="O51" s="4504"/>
      <c r="P51" s="4504"/>
      <c r="Q51" s="145"/>
      <c r="R51" s="4504"/>
      <c r="S51" s="4504"/>
      <c r="T51" s="150"/>
      <c r="U51" s="4504"/>
      <c r="V51" s="4504"/>
      <c r="W51" s="147"/>
      <c r="X51" s="4504"/>
      <c r="Y51" s="4504"/>
      <c r="Z51" s="147"/>
      <c r="AA51" s="4504"/>
      <c r="AB51" s="4505"/>
      <c r="AC51" s="2599"/>
      <c r="AD51" s="4505"/>
      <c r="AE51" s="4505"/>
      <c r="AF51" s="2599"/>
      <c r="AG51" s="4505"/>
      <c r="AH51" s="4505"/>
      <c r="AI51" s="2602"/>
      <c r="AJ51" s="2495"/>
      <c r="AK51" s="2496"/>
    </row>
    <row r="52" spans="1:37" ht="12" customHeight="1" x14ac:dyDescent="0.2">
      <c r="A52" s="633"/>
      <c r="B52" s="136"/>
      <c r="C52" s="4504"/>
      <c r="D52" s="4504"/>
      <c r="E52" s="150"/>
      <c r="F52" s="4504"/>
      <c r="G52" s="4504"/>
      <c r="H52" s="150"/>
      <c r="I52" s="4504"/>
      <c r="J52" s="4504"/>
      <c r="K52" s="150"/>
      <c r="L52" s="4504"/>
      <c r="M52" s="4504"/>
      <c r="N52" s="150"/>
      <c r="O52" s="4504"/>
      <c r="P52" s="4504"/>
      <c r="Q52" s="145"/>
      <c r="R52" s="4504"/>
      <c r="S52" s="4504"/>
      <c r="T52" s="150"/>
      <c r="U52" s="4504"/>
      <c r="V52" s="4504"/>
      <c r="W52" s="150"/>
      <c r="X52" s="4504"/>
      <c r="Y52" s="4504"/>
      <c r="Z52" s="150"/>
      <c r="AA52" s="4504"/>
      <c r="AB52" s="4505"/>
      <c r="AC52" s="2598"/>
      <c r="AD52" s="4505"/>
      <c r="AE52" s="4505"/>
      <c r="AF52" s="2598"/>
      <c r="AG52" s="4505"/>
      <c r="AH52" s="4505"/>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04" t="s">
        <v>2068</v>
      </c>
      <c r="J55" s="4504"/>
      <c r="K55" s="150"/>
      <c r="L55" s="143"/>
      <c r="M55" s="136"/>
      <c r="N55" s="150"/>
      <c r="O55" s="143"/>
      <c r="P55" s="143"/>
      <c r="Q55" s="145"/>
      <c r="R55" s="4504" t="s">
        <v>2058</v>
      </c>
      <c r="S55" s="4504"/>
      <c r="T55" s="150">
        <v>5</v>
      </c>
      <c r="U55" s="50"/>
      <c r="V55" s="49"/>
      <c r="W55" s="146"/>
      <c r="X55" s="184"/>
      <c r="Y55" s="185"/>
      <c r="Z55" s="186"/>
      <c r="AA55" s="4504" t="s">
        <v>2055</v>
      </c>
      <c r="AB55" s="4505"/>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04"/>
      <c r="J56" s="4504"/>
      <c r="K56" s="155"/>
      <c r="L56" s="98"/>
      <c r="M56" s="48"/>
      <c r="N56" s="150"/>
      <c r="O56" s="143"/>
      <c r="P56" s="143"/>
      <c r="Q56" s="145"/>
      <c r="R56" s="4504"/>
      <c r="S56" s="4504"/>
      <c r="T56" s="155"/>
      <c r="U56" s="98"/>
      <c r="V56" s="49"/>
      <c r="W56" s="146"/>
      <c r="X56" s="187"/>
      <c r="Y56" s="188"/>
      <c r="Z56" s="189"/>
      <c r="AA56" s="4504"/>
      <c r="AB56" s="4505"/>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04"/>
      <c r="J57" s="4504"/>
      <c r="K57" s="150"/>
      <c r="L57" s="49"/>
      <c r="M57" s="48"/>
      <c r="N57" s="150"/>
      <c r="O57" s="143"/>
      <c r="P57" s="143"/>
      <c r="Q57" s="145"/>
      <c r="R57" s="4504"/>
      <c r="S57" s="4504"/>
      <c r="T57" s="150"/>
      <c r="U57" s="49"/>
      <c r="V57" s="49"/>
      <c r="W57" s="146"/>
      <c r="X57" s="190"/>
      <c r="Y57" s="191"/>
      <c r="Z57" s="150"/>
      <c r="AA57" s="4504"/>
      <c r="AB57" s="4505"/>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04" t="s">
        <v>2069</v>
      </c>
      <c r="G59" s="4504"/>
      <c r="H59" s="150"/>
      <c r="I59" s="160">
        <f>IF(J58&gt;0,1,0)</f>
        <v>0</v>
      </c>
      <c r="J59" s="49"/>
      <c r="K59" s="150"/>
      <c r="L59" s="4504" t="s">
        <v>2054</v>
      </c>
      <c r="M59" s="4504"/>
      <c r="N59" s="150"/>
      <c r="O59" s="49"/>
      <c r="P59" s="49"/>
      <c r="Q59" s="146"/>
      <c r="R59" s="123">
        <f>IF(S58&gt;0,1,0)</f>
        <v>0</v>
      </c>
      <c r="S59" s="49"/>
      <c r="T59" s="146"/>
      <c r="U59" s="49"/>
      <c r="V59" s="49"/>
      <c r="W59" s="146"/>
      <c r="X59" s="4504" t="s">
        <v>2058</v>
      </c>
      <c r="Y59" s="4504"/>
      <c r="Z59" s="150"/>
      <c r="AA59" s="160">
        <f>IF(AB58&gt;0,1,0)</f>
        <v>0</v>
      </c>
      <c r="AB59" s="2509"/>
      <c r="AC59" s="2598"/>
      <c r="AD59" s="4505" t="s">
        <v>2067</v>
      </c>
      <c r="AE59" s="4505"/>
      <c r="AF59" s="2598"/>
      <c r="AG59" s="2509"/>
      <c r="AH59" s="2509"/>
      <c r="AI59" s="2486"/>
      <c r="AJ59" s="2495"/>
      <c r="AK59" s="2496"/>
    </row>
    <row r="60" spans="1:37" ht="12" customHeight="1" thickBot="1" x14ac:dyDescent="0.25">
      <c r="A60" s="717"/>
      <c r="B60" s="194"/>
      <c r="C60" s="61"/>
      <c r="D60" s="61"/>
      <c r="E60" s="192"/>
      <c r="F60" s="4504"/>
      <c r="G60" s="4504"/>
      <c r="H60" s="147"/>
      <c r="I60" s="4504" t="s">
        <v>2062</v>
      </c>
      <c r="J60" s="4504"/>
      <c r="K60" s="149"/>
      <c r="L60" s="4504"/>
      <c r="M60" s="4504"/>
      <c r="N60" s="150"/>
      <c r="O60" s="49"/>
      <c r="P60" s="49"/>
      <c r="Q60" s="49"/>
      <c r="R60" s="49"/>
      <c r="S60" s="49"/>
      <c r="T60" s="146"/>
      <c r="U60" s="49"/>
      <c r="V60" s="49"/>
      <c r="W60" s="146"/>
      <c r="X60" s="4504"/>
      <c r="Y60" s="4504"/>
      <c r="Z60" s="147"/>
      <c r="AA60" s="4504" t="s">
        <v>2055</v>
      </c>
      <c r="AB60" s="4505"/>
      <c r="AC60" s="2599"/>
      <c r="AD60" s="4505"/>
      <c r="AE60" s="4505"/>
      <c r="AF60" s="2598"/>
      <c r="AG60" s="2509"/>
      <c r="AH60" s="2509"/>
      <c r="AI60" s="2486"/>
      <c r="AJ60" s="2495"/>
      <c r="AK60" s="2496"/>
    </row>
    <row r="61" spans="1:37" ht="12" customHeight="1" thickBot="1" x14ac:dyDescent="0.25">
      <c r="A61" s="717"/>
      <c r="B61" s="194"/>
      <c r="C61" s="61"/>
      <c r="D61" s="61"/>
      <c r="E61" s="192"/>
      <c r="F61" s="4504"/>
      <c r="G61" s="4504"/>
      <c r="H61" s="150"/>
      <c r="I61" s="4504"/>
      <c r="J61" s="4504"/>
      <c r="K61" s="146"/>
      <c r="L61" s="4504"/>
      <c r="M61" s="4504"/>
      <c r="N61" s="150"/>
      <c r="O61" s="49"/>
      <c r="P61" s="49"/>
      <c r="Q61" s="49"/>
      <c r="R61" s="49"/>
      <c r="S61" s="49"/>
      <c r="T61" s="146"/>
      <c r="U61" s="49"/>
      <c r="V61" s="49"/>
      <c r="W61" s="146"/>
      <c r="X61" s="4504"/>
      <c r="Y61" s="4504"/>
      <c r="Z61" s="150"/>
      <c r="AA61" s="4504"/>
      <c r="AB61" s="4505"/>
      <c r="AC61" s="2598"/>
      <c r="AD61" s="4505"/>
      <c r="AE61" s="4505"/>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04"/>
      <c r="J62" s="4504"/>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04"/>
      <c r="AB62" s="4505"/>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45" priority="74" stopIfTrue="1" operator="greaterThan">
      <formula>$P$37</formula>
    </cfRule>
  </conditionalFormatting>
  <conditionalFormatting sqref="F11:G13">
    <cfRule type="expression" dxfId="944" priority="69" stopIfTrue="1">
      <formula>$G$14&gt;0</formula>
    </cfRule>
  </conditionalFormatting>
  <conditionalFormatting sqref="AA60:AB62">
    <cfRule type="expression" dxfId="943" priority="68" stopIfTrue="1">
      <formula>$AB$63&gt;0</formula>
    </cfRule>
  </conditionalFormatting>
  <conditionalFormatting sqref="AD59:AE61">
    <cfRule type="expression" dxfId="942" priority="67" stopIfTrue="1">
      <formula>$AE$62&gt;0</formula>
    </cfRule>
  </conditionalFormatting>
  <conditionalFormatting sqref="X59:Y61">
    <cfRule type="expression" dxfId="941" priority="66" stopIfTrue="1">
      <formula>$Y$62&gt;0</formula>
    </cfRule>
  </conditionalFormatting>
  <conditionalFormatting sqref="AA55:AB57">
    <cfRule type="expression" dxfId="940" priority="65" stopIfTrue="1">
      <formula>$AB$58&gt;0</formula>
    </cfRule>
  </conditionalFormatting>
  <conditionalFormatting sqref="AD50:AE52">
    <cfRule type="expression" dxfId="939" priority="64" stopIfTrue="1">
      <formula>$AE$53&gt;0</formula>
    </cfRule>
  </conditionalFormatting>
  <conditionalFormatting sqref="AG50:AH52">
    <cfRule type="expression" dxfId="938" priority="63" stopIfTrue="1">
      <formula>$AH$53&gt;0</formula>
    </cfRule>
  </conditionalFormatting>
  <conditionalFormatting sqref="AG42:AH44">
    <cfRule type="expression" dxfId="937" priority="62" stopIfTrue="1">
      <formula>$AH$45&gt;0</formula>
    </cfRule>
  </conditionalFormatting>
  <conditionalFormatting sqref="AD44:AE46">
    <cfRule type="expression" dxfId="936" priority="61" stopIfTrue="1">
      <formula>$AE$47&gt;0</formula>
    </cfRule>
  </conditionalFormatting>
  <conditionalFormatting sqref="AA50:AB52">
    <cfRule type="expression" dxfId="935" priority="60" stopIfTrue="1">
      <formula>$AB$53&gt;0</formula>
    </cfRule>
  </conditionalFormatting>
  <conditionalFormatting sqref="X50:Y52">
    <cfRule type="expression" dxfId="934" priority="59" stopIfTrue="1">
      <formula>$Y$53&gt;0</formula>
    </cfRule>
  </conditionalFormatting>
  <conditionalFormatting sqref="AA45:AB47">
    <cfRule type="expression" dxfId="933" priority="58" stopIfTrue="1">
      <formula>$AB$48&gt;0</formula>
    </cfRule>
  </conditionalFormatting>
  <conditionalFormatting sqref="U50:V52">
    <cfRule type="expression" dxfId="932" priority="57" stopIfTrue="1">
      <formula>$V$53&gt;0</formula>
    </cfRule>
  </conditionalFormatting>
  <conditionalFormatting sqref="X44:Y46">
    <cfRule type="expression" dxfId="931" priority="56" stopIfTrue="1">
      <formula>$Y$47&gt;0</formula>
    </cfRule>
  </conditionalFormatting>
  <conditionalFormatting sqref="AA40:AB42">
    <cfRule type="expression" dxfId="930" priority="55" stopIfTrue="1">
      <formula>$AB$43&gt;0</formula>
    </cfRule>
  </conditionalFormatting>
  <conditionalFormatting sqref="AD37:AE39">
    <cfRule type="expression" dxfId="929" priority="54" stopIfTrue="1">
      <formula>$AE$40&gt;0</formula>
    </cfRule>
  </conditionalFormatting>
  <conditionalFormatting sqref="AG35:AH37">
    <cfRule type="expression" dxfId="928" priority="53" stopIfTrue="1">
      <formula>$AH$38&gt;0</formula>
    </cfRule>
  </conditionalFormatting>
  <conditionalFormatting sqref="R45:S47">
    <cfRule type="expression" dxfId="927" priority="52" stopIfTrue="1">
      <formula>$S$48&gt;0</formula>
    </cfRule>
  </conditionalFormatting>
  <conditionalFormatting sqref="R50:S52">
    <cfRule type="expression" dxfId="926" priority="51" stopIfTrue="1">
      <formula>$S$53&gt;0</formula>
    </cfRule>
  </conditionalFormatting>
  <conditionalFormatting sqref="R55:S57">
    <cfRule type="expression" dxfId="925" priority="50" stopIfTrue="1">
      <formula>$S$58&gt;0</formula>
    </cfRule>
  </conditionalFormatting>
  <conditionalFormatting sqref="O50:P52">
    <cfRule type="expression" dxfId="924" priority="49" stopIfTrue="1">
      <formula>$P$53&gt;0</formula>
    </cfRule>
  </conditionalFormatting>
  <conditionalFormatting sqref="L59:M61">
    <cfRule type="expression" dxfId="923" priority="48" stopIfTrue="1">
      <formula>$M$62&gt;0</formula>
    </cfRule>
  </conditionalFormatting>
  <conditionalFormatting sqref="I60:J62">
    <cfRule type="expression" dxfId="922" priority="47" stopIfTrue="1">
      <formula>$J$63&gt;0</formula>
    </cfRule>
  </conditionalFormatting>
  <conditionalFormatting sqref="F59:G61">
    <cfRule type="expression" dxfId="921" priority="46" stopIfTrue="1">
      <formula>$G$62&gt;0</formula>
    </cfRule>
  </conditionalFormatting>
  <conditionalFormatting sqref="I55:J57">
    <cfRule type="expression" dxfId="920" priority="45" stopIfTrue="1">
      <formula>$J$58&gt;0</formula>
    </cfRule>
  </conditionalFormatting>
  <conditionalFormatting sqref="L50:M52">
    <cfRule type="expression" dxfId="919" priority="44" stopIfTrue="1">
      <formula>$M$53&gt;0</formula>
    </cfRule>
  </conditionalFormatting>
  <conditionalFormatting sqref="I50:J52">
    <cfRule type="expression" dxfId="918" priority="43" stopIfTrue="1">
      <formula>$J$53&gt;0</formula>
    </cfRule>
  </conditionalFormatting>
  <conditionalFormatting sqref="F50:G52">
    <cfRule type="expression" dxfId="917" priority="42" stopIfTrue="1">
      <formula>$G$53&gt;0</formula>
    </cfRule>
  </conditionalFormatting>
  <conditionalFormatting sqref="C50:D52">
    <cfRule type="expression" dxfId="916" priority="41" stopIfTrue="1">
      <formula>$D$53&gt;0</formula>
    </cfRule>
  </conditionalFormatting>
  <conditionalFormatting sqref="L44:M46">
    <cfRule type="expression" dxfId="915" priority="40" stopIfTrue="1">
      <formula>$M$47&gt;0</formula>
    </cfRule>
  </conditionalFormatting>
  <conditionalFormatting sqref="I45:J47">
    <cfRule type="expression" dxfId="914" priority="39" stopIfTrue="1">
      <formula>$J$48&gt;0</formula>
    </cfRule>
  </conditionalFormatting>
  <conditionalFormatting sqref="F44:G46">
    <cfRule type="expression" dxfId="913" priority="38" stopIfTrue="1">
      <formula>$G$47&gt;0</formula>
    </cfRule>
  </conditionalFormatting>
  <conditionalFormatting sqref="C42:D44">
    <cfRule type="expression" dxfId="912" priority="34" stopIfTrue="1">
      <formula>$D$45&gt;0</formula>
    </cfRule>
    <cfRule type="expression" dxfId="911" priority="37" stopIfTrue="1">
      <formula>$D$45&gt;0</formula>
    </cfRule>
  </conditionalFormatting>
  <conditionalFormatting sqref="I40:J42">
    <cfRule type="expression" dxfId="910" priority="36" stopIfTrue="1">
      <formula>$J$43&gt;0</formula>
    </cfRule>
  </conditionalFormatting>
  <conditionalFormatting sqref="L37:M39">
    <cfRule type="expression" dxfId="909" priority="35" stopIfTrue="1">
      <formula>$M$40&gt;0</formula>
    </cfRule>
  </conditionalFormatting>
  <conditionalFormatting sqref="C35:D37">
    <cfRule type="expression" dxfId="908" priority="33" stopIfTrue="1">
      <formula>$D$38&gt;0</formula>
    </cfRule>
  </conditionalFormatting>
  <conditionalFormatting sqref="F33:G35">
    <cfRule type="expression" dxfId="907" priority="32" stopIfTrue="1">
      <formula>$G$36&gt;0</formula>
    </cfRule>
  </conditionalFormatting>
  <conditionalFormatting sqref="I30:J32">
    <cfRule type="expression" dxfId="906" priority="31" stopIfTrue="1">
      <formula>$J$33&gt;0</formula>
    </cfRule>
  </conditionalFormatting>
  <conditionalFormatting sqref="C28:D30">
    <cfRule type="expression" dxfId="905" priority="30" stopIfTrue="1">
      <formula>$D$31&gt;0</formula>
    </cfRule>
  </conditionalFormatting>
  <conditionalFormatting sqref="F26:G28">
    <cfRule type="expression" dxfId="904" priority="29" stopIfTrue="1">
      <formula>$G$29&gt;0</formula>
    </cfRule>
  </conditionalFormatting>
  <conditionalFormatting sqref="I25:J27">
    <cfRule type="expression" dxfId="903" priority="28" stopIfTrue="1">
      <formula>$J$28&gt;0</formula>
    </cfRule>
  </conditionalFormatting>
  <conditionalFormatting sqref="L26:M28">
    <cfRule type="expression" dxfId="902" priority="27" stopIfTrue="1">
      <formula>$M$29&gt;0</formula>
    </cfRule>
  </conditionalFormatting>
  <conditionalFormatting sqref="C20:D22">
    <cfRule type="expression" dxfId="901" priority="26" stopIfTrue="1">
      <formula>$D$23&gt;0</formula>
    </cfRule>
  </conditionalFormatting>
  <conditionalFormatting sqref="F20:G22">
    <cfRule type="expression" dxfId="900" priority="25" stopIfTrue="1">
      <formula>$G$23&gt;0</formula>
    </cfRule>
  </conditionalFormatting>
  <conditionalFormatting sqref="I20:J22">
    <cfRule type="expression" dxfId="899" priority="24" stopIfTrue="1">
      <formula>$J$23&gt;0</formula>
    </cfRule>
  </conditionalFormatting>
  <conditionalFormatting sqref="I10:J12">
    <cfRule type="expression" dxfId="898" priority="23" stopIfTrue="1">
      <formula>$J$13&gt;0</formula>
    </cfRule>
  </conditionalFormatting>
  <conditionalFormatting sqref="I15:J17">
    <cfRule type="expression" dxfId="897" priority="22" stopIfTrue="1">
      <formula>$J$18&gt;0</formula>
    </cfRule>
  </conditionalFormatting>
  <conditionalFormatting sqref="L11:M13">
    <cfRule type="expression" dxfId="896" priority="21" stopIfTrue="1">
      <formula>$M$14&gt;0</formula>
    </cfRule>
  </conditionalFormatting>
  <conditionalFormatting sqref="L20:M22">
    <cfRule type="expression" dxfId="895" priority="20" stopIfTrue="1">
      <formula>$M$23&gt;0</formula>
    </cfRule>
  </conditionalFormatting>
  <conditionalFormatting sqref="O20:P22">
    <cfRule type="expression" dxfId="894" priority="19" stopIfTrue="1">
      <formula>$P$23&gt;0</formula>
    </cfRule>
  </conditionalFormatting>
  <conditionalFormatting sqref="R15:S17">
    <cfRule type="expression" dxfId="893" priority="18" stopIfTrue="1">
      <formula>$S$18&gt;0</formula>
    </cfRule>
  </conditionalFormatting>
  <conditionalFormatting sqref="R20:S22">
    <cfRule type="expression" dxfId="892" priority="17" stopIfTrue="1">
      <formula>$S$23&gt;0</formula>
    </cfRule>
  </conditionalFormatting>
  <conditionalFormatting sqref="R25:S27">
    <cfRule type="expression" dxfId="891" priority="16" stopIfTrue="1">
      <formula>$S$28&gt;0</formula>
    </cfRule>
  </conditionalFormatting>
  <conditionalFormatting sqref="U20:V22">
    <cfRule type="expression" dxfId="890" priority="15" stopIfTrue="1">
      <formula>$V$23&gt;0</formula>
    </cfRule>
  </conditionalFormatting>
  <conditionalFormatting sqref="X11:Y13">
    <cfRule type="expression" dxfId="889" priority="14" stopIfTrue="1">
      <formula>$Y$14&gt;0</formula>
    </cfRule>
  </conditionalFormatting>
  <conditionalFormatting sqref="X20:Y22">
    <cfRule type="expression" dxfId="888" priority="13" stopIfTrue="1">
      <formula>$Y$23&gt;0</formula>
    </cfRule>
  </conditionalFormatting>
  <conditionalFormatting sqref="X26:Y28">
    <cfRule type="expression" dxfId="887" priority="12" stopIfTrue="1">
      <formula>$Y$29&gt;0</formula>
    </cfRule>
  </conditionalFormatting>
  <conditionalFormatting sqref="X33:Y35">
    <cfRule type="expression" dxfId="886" priority="11" stopIfTrue="1">
      <formula>$Y$36&gt;0</formula>
    </cfRule>
  </conditionalFormatting>
  <conditionalFormatting sqref="AA10:AB12">
    <cfRule type="expression" dxfId="885" priority="10" stopIfTrue="1">
      <formula>$AB$13&gt;0</formula>
    </cfRule>
  </conditionalFormatting>
  <conditionalFormatting sqref="AA15:AB17">
    <cfRule type="expression" dxfId="884" priority="9" stopIfTrue="1">
      <formula>$AB$18&gt;0</formula>
    </cfRule>
  </conditionalFormatting>
  <conditionalFormatting sqref="AA20:AB22">
    <cfRule type="expression" dxfId="883" priority="8" stopIfTrue="1">
      <formula>$AB$23&gt;0</formula>
    </cfRule>
  </conditionalFormatting>
  <conditionalFormatting sqref="AA25:AB27">
    <cfRule type="expression" dxfId="882" priority="7" stopIfTrue="1">
      <formula>$AB$28&gt;0</formula>
    </cfRule>
  </conditionalFormatting>
  <conditionalFormatting sqref="AA30:AB32">
    <cfRule type="expression" dxfId="881" priority="6" stopIfTrue="1">
      <formula>$AB$33&gt;0</formula>
    </cfRule>
  </conditionalFormatting>
  <conditionalFormatting sqref="AD11:AE13">
    <cfRule type="expression" dxfId="880" priority="5" stopIfTrue="1">
      <formula>$AE$14&gt;0</formula>
    </cfRule>
  </conditionalFormatting>
  <conditionalFormatting sqref="AD20:AE22">
    <cfRule type="expression" dxfId="879" priority="4" stopIfTrue="1">
      <formula>$AE$23&gt;0</formula>
    </cfRule>
  </conditionalFormatting>
  <conditionalFormatting sqref="AD26:AE28">
    <cfRule type="expression" dxfId="878" priority="3" stopIfTrue="1">
      <formula>$AE$29&gt;0</formula>
    </cfRule>
  </conditionalFormatting>
  <conditionalFormatting sqref="AG20:AH22">
    <cfRule type="expression" dxfId="877" priority="2" stopIfTrue="1">
      <formula>$AH$23&gt;0</formula>
    </cfRule>
  </conditionalFormatting>
  <conditionalFormatting sqref="AG28:AH30">
    <cfRule type="expression" dxfId="87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AK24" sqref="AK24"/>
    </sheetView>
  </sheetViews>
  <sheetFormatPr baseColWidth="10"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08" customWidth="1"/>
    <col min="28" max="28" width="0.7109375" style="2932" customWidth="1"/>
    <col min="29" max="29" width="3.85546875" style="2932" customWidth="1"/>
    <col min="30" max="36" width="5.7109375" style="2932"/>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3001"/>
      <c r="AB1" s="3002"/>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3003"/>
      <c r="AB2" s="3002"/>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05" t="str">
        <f>"Sheele ("&amp;VLOOKUP(Sheele!D5,'Tablas Sheele'!C5:G12,5,FALSE)&amp;")"</f>
        <v>Sheele (Emerald)</v>
      </c>
      <c r="M3" s="4705"/>
      <c r="N3" s="4705"/>
      <c r="O3" s="4705"/>
      <c r="P3" s="4705"/>
      <c r="Q3" s="440"/>
      <c r="R3" s="440"/>
      <c r="S3" s="440"/>
      <c r="T3" s="440"/>
      <c r="U3" s="440"/>
      <c r="V3" s="440"/>
      <c r="W3" s="440"/>
      <c r="X3" s="440"/>
      <c r="Y3" s="440"/>
      <c r="Z3" s="441"/>
      <c r="AA3" s="3004"/>
      <c r="AB3" s="3002"/>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40" t="s">
        <v>3184</v>
      </c>
      <c r="E4" s="4641"/>
      <c r="F4" s="4641" t="s">
        <v>3185</v>
      </c>
      <c r="G4" s="4642"/>
      <c r="H4" s="443"/>
      <c r="I4" s="443"/>
      <c r="J4" s="443"/>
      <c r="K4" s="443"/>
      <c r="L4" s="4706"/>
      <c r="M4" s="4706"/>
      <c r="N4" s="4706"/>
      <c r="O4" s="4706"/>
      <c r="P4" s="4706"/>
      <c r="Q4" s="443"/>
      <c r="R4" s="4517" t="s">
        <v>6899</v>
      </c>
      <c r="S4" s="4517"/>
      <c r="T4" s="4517"/>
      <c r="U4" s="619">
        <f>VALUE(PDs!R15)</f>
        <v>0</v>
      </c>
      <c r="V4" s="443"/>
      <c r="W4" s="443"/>
      <c r="X4" s="443"/>
      <c r="Y4" s="443"/>
      <c r="Z4" s="444"/>
      <c r="AA4" s="3004"/>
      <c r="AB4" s="3002"/>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08" t="s">
        <v>1980</v>
      </c>
      <c r="E5" s="4709"/>
      <c r="F5" s="4709" t="s">
        <v>1654</v>
      </c>
      <c r="G5" s="4710"/>
      <c r="H5" s="443"/>
      <c r="I5" s="443"/>
      <c r="J5" s="443"/>
      <c r="K5" s="443"/>
      <c r="L5" s="4706"/>
      <c r="M5" s="4706"/>
      <c r="N5" s="4706"/>
      <c r="O5" s="4706"/>
      <c r="P5" s="4706"/>
      <c r="Q5" s="443"/>
      <c r="R5" s="4517" t="s">
        <v>3186</v>
      </c>
      <c r="S5" s="4517"/>
      <c r="T5" s="4517"/>
      <c r="U5" s="668">
        <f>ROUNDUP(IF(U4=0,5,10*U4)/2,0)</f>
        <v>3</v>
      </c>
      <c r="V5" s="4518"/>
      <c r="W5" s="443"/>
      <c r="X5" s="443"/>
      <c r="Y5" s="443"/>
      <c r="Z5" s="444"/>
      <c r="AA5" s="3004"/>
      <c r="AB5" s="3002"/>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07"/>
      <c r="M6" s="4707"/>
      <c r="N6" s="4707"/>
      <c r="O6" s="4707"/>
      <c r="P6" s="4707"/>
      <c r="Q6" s="446"/>
      <c r="R6" s="446"/>
      <c r="S6" s="446"/>
      <c r="T6" s="1139"/>
      <c r="U6" s="446"/>
      <c r="V6" s="4519"/>
      <c r="W6" s="446"/>
      <c r="X6" s="446"/>
      <c r="Y6" s="446"/>
      <c r="Z6" s="447"/>
      <c r="AA6" s="3004"/>
      <c r="AB6" s="3002"/>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04"/>
      <c r="AB7" s="3002"/>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91" t="s">
        <v>1637</v>
      </c>
      <c r="D8" s="449"/>
      <c r="E8" s="672" t="s">
        <v>1638</v>
      </c>
      <c r="F8" s="450" t="s">
        <v>1639</v>
      </c>
      <c r="G8" s="451" t="s">
        <v>1622</v>
      </c>
      <c r="H8" s="452" t="s">
        <v>1640</v>
      </c>
      <c r="I8" s="474"/>
      <c r="J8" s="474"/>
      <c r="K8" s="474"/>
      <c r="L8" s="4694" t="s">
        <v>3187</v>
      </c>
      <c r="M8" s="4695"/>
      <c r="N8" s="4695"/>
      <c r="O8" s="4695"/>
      <c r="P8" s="4695"/>
      <c r="Q8" s="4695"/>
      <c r="R8" s="4695"/>
      <c r="S8" s="4696"/>
      <c r="T8" s="474"/>
      <c r="U8" s="4646" t="s">
        <v>3188</v>
      </c>
      <c r="V8" s="4647"/>
      <c r="W8" s="4647"/>
      <c r="X8" s="4647"/>
      <c r="Y8" s="4647"/>
      <c r="Z8" s="4648"/>
      <c r="AA8" s="3004"/>
      <c r="AB8" s="3002"/>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92"/>
      <c r="D9" s="453" t="s">
        <v>1646</v>
      </c>
      <c r="E9" s="668">
        <f>HLOOKUP($D$5,'Tablas Sheele'!$G$17:$N$25,'Tablas Sheele'!E18,)</f>
        <v>6</v>
      </c>
      <c r="F9" s="2420"/>
      <c r="G9" s="454">
        <f>E9+'Tablas Sheele'!D18+IF('Tablas Sheele'!F143&gt;0,2,0)</f>
        <v>6</v>
      </c>
      <c r="H9" s="669">
        <f>IF(G9&lt;1,0,VLOOKUP(G9,Tablas!$C$14:$D$33,2))</f>
        <v>5</v>
      </c>
      <c r="I9" s="409"/>
      <c r="J9" s="474"/>
      <c r="K9" s="409"/>
      <c r="L9" s="4700" t="s">
        <v>1782</v>
      </c>
      <c r="M9" s="4701"/>
      <c r="N9" s="4701"/>
      <c r="O9" s="4702"/>
      <c r="P9" s="4703" t="s">
        <v>3189</v>
      </c>
      <c r="Q9" s="4703"/>
      <c r="R9" s="4703"/>
      <c r="S9" s="4704"/>
      <c r="T9" s="474"/>
      <c r="U9" s="4697"/>
      <c r="V9" s="4698"/>
      <c r="W9" s="4698"/>
      <c r="X9" s="4698"/>
      <c r="Y9" s="4698"/>
      <c r="Z9" s="4699"/>
      <c r="AA9" s="3004"/>
      <c r="AB9" s="3002"/>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92"/>
      <c r="D10" s="453" t="s">
        <v>1772</v>
      </c>
      <c r="E10" s="668">
        <f>HLOOKUP($D$5,'Tablas Sheele'!$G$17:$N$25,'Tablas Sheele'!E19,)</f>
        <v>5</v>
      </c>
      <c r="F10" s="2419"/>
      <c r="G10" s="454">
        <f>E10+'Tablas Sheele'!D19</f>
        <v>5</v>
      </c>
      <c r="H10" s="669">
        <f>IF(G10&lt;1,0,VLOOKUP(G10,Tablas!$C$14:$D$33,2))</f>
        <v>0</v>
      </c>
      <c r="I10" s="409"/>
      <c r="J10" s="474"/>
      <c r="K10" s="474"/>
      <c r="L10" s="4669" t="s">
        <v>3190</v>
      </c>
      <c r="M10" s="4615"/>
      <c r="N10" s="4690">
        <f>IF(N21*2+20*'Tablas Sheele'!F103&gt;200, IF(N21*2&gt;=200,N21*2+10*'Tablas Sheele'!F103,200+1/2*(20*'Tablas Sheele'!F103-(200-N21*2))),N21*2+20*'Tablas Sheele'!F103 )</f>
        <v>50</v>
      </c>
      <c r="O10" s="4690"/>
      <c r="P10" s="4615" t="s">
        <v>3191</v>
      </c>
      <c r="Q10" s="4615"/>
      <c r="R10" s="4673">
        <f>IF('Tablas Sheele'!F176&gt;0,MAX(Sheele!N10,H11),H11)</f>
        <v>5</v>
      </c>
      <c r="S10" s="4674"/>
      <c r="T10" s="474"/>
      <c r="U10" s="4652" t="s">
        <v>1676</v>
      </c>
      <c r="V10" s="4653"/>
      <c r="W10" s="4711" t="s">
        <v>3192</v>
      </c>
      <c r="X10" s="4711"/>
      <c r="Y10" s="4711"/>
      <c r="Z10" s="4712"/>
      <c r="AA10" s="3004"/>
      <c r="AB10" s="3002"/>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92"/>
      <c r="D11" s="453" t="s">
        <v>1651</v>
      </c>
      <c r="E11" s="668">
        <f>HLOOKUP($D$5,'Tablas Sheele'!$G$17:$N$25,'Tablas Sheele'!E20,)</f>
        <v>6</v>
      </c>
      <c r="F11" s="2419"/>
      <c r="G11" s="454">
        <f>E11+'Tablas Sheele'!D20+IF('Tablas Sheele'!F143&gt;0,2,0)</f>
        <v>6</v>
      </c>
      <c r="H11" s="669">
        <f>IF(G11&lt;1,0,VLOOKUP(G11,Tablas!$C$14:$D$33,2))</f>
        <v>5</v>
      </c>
      <c r="I11" s="474"/>
      <c r="J11" s="474"/>
      <c r="K11" s="474"/>
      <c r="L11" s="4669"/>
      <c r="M11" s="4615"/>
      <c r="N11" s="4690"/>
      <c r="O11" s="4690"/>
      <c r="P11" s="4615"/>
      <c r="Q11" s="4615"/>
      <c r="R11" s="4673"/>
      <c r="S11" s="4674"/>
      <c r="T11" s="474"/>
      <c r="U11" s="4654"/>
      <c r="V11" s="4655"/>
      <c r="W11" s="4713" t="s">
        <v>3193</v>
      </c>
      <c r="X11" s="4714"/>
      <c r="Y11" s="4714" t="s">
        <v>3194</v>
      </c>
      <c r="Z11" s="4715"/>
      <c r="AA11" s="3004"/>
      <c r="AB11" s="3002"/>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92"/>
      <c r="D12" s="453" t="s">
        <v>1656</v>
      </c>
      <c r="E12" s="668">
        <f>HLOOKUP($D$5,'Tablas Sheele'!$G$17:$N$25,'Tablas Sheele'!E21,)</f>
        <v>6</v>
      </c>
      <c r="F12" s="2419"/>
      <c r="G12" s="454">
        <f>E12+'Tablas Sheele'!D21+IF('Tablas Sheele'!F143&gt;0,2,0)</f>
        <v>6</v>
      </c>
      <c r="H12" s="669">
        <f>IF(G12&lt;1,0,VLOOKUP(G12,Tablas!$C$14:$D$33,2))</f>
        <v>5</v>
      </c>
      <c r="I12" s="409"/>
      <c r="J12" s="474"/>
      <c r="K12" s="474"/>
      <c r="L12" s="4669" t="s">
        <v>3195</v>
      </c>
      <c r="M12" s="4615"/>
      <c r="N12" s="4690">
        <f>IF(N21*2+20*'Tablas Sheele'!F103&gt;200, IF(N21*2&gt;=200,N21*2+10*'Tablas Sheele'!F103,200+1/2*(20*'Tablas Sheele'!F103-(200-N21*2))),N21*2+20*'Tablas Sheele'!F103 )+IF('Tablas Sheele'!F187&gt;0,40,0)</f>
        <v>50</v>
      </c>
      <c r="O12" s="4690"/>
      <c r="P12" s="4615" t="s">
        <v>3196</v>
      </c>
      <c r="Q12" s="4615"/>
      <c r="R12" s="4673">
        <f>IF('Tablas Sheele'!F176&gt;0,MAX(Sheele!N12,H9),IF(D5="Aire",MAX(N12,H9),H9))</f>
        <v>5</v>
      </c>
      <c r="S12" s="4674"/>
      <c r="T12" s="474"/>
      <c r="U12" s="4716" t="str">
        <f>IF('Tablas Sheele'!F98&gt;0,U4+'Tablas Sheele'!F101,"-")</f>
        <v>-</v>
      </c>
      <c r="V12" s="4717"/>
      <c r="W12" s="4718" t="str">
        <f>IF('Tablas Sheele'!F98&gt;0,150,"-")</f>
        <v>-</v>
      </c>
      <c r="X12" s="4719"/>
      <c r="Y12" s="4718" t="str">
        <f>IF('Tablas Sheele'!F98&gt;0,IF('Tablas Sheele'!F99,N21-10,N21)&amp;" / asalto","-")</f>
        <v>-</v>
      </c>
      <c r="Z12" s="4720"/>
      <c r="AA12" s="3004"/>
      <c r="AB12" s="3002"/>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92"/>
      <c r="D13" s="453" t="s">
        <v>1659</v>
      </c>
      <c r="E13" s="668">
        <f>HLOOKUP($D$5,'Tablas Sheele'!$G$17:$N$25,'Tablas Sheele'!E22,)</f>
        <v>6</v>
      </c>
      <c r="F13" s="2419"/>
      <c r="G13" s="454">
        <f>E13+'Tablas Sheele'!D22</f>
        <v>6</v>
      </c>
      <c r="H13" s="669">
        <f>IF(G13&lt;1,0,VLOOKUP(G13,Tablas!$C$14:$D$33,2))</f>
        <v>5</v>
      </c>
      <c r="I13" s="474"/>
      <c r="J13" s="474"/>
      <c r="K13" s="474"/>
      <c r="L13" s="4669"/>
      <c r="M13" s="4615"/>
      <c r="N13" s="4690"/>
      <c r="O13" s="4690"/>
      <c r="P13" s="4615"/>
      <c r="Q13" s="4615"/>
      <c r="R13" s="4673"/>
      <c r="S13" s="4674"/>
      <c r="T13" s="474"/>
      <c r="U13" s="4666" t="s">
        <v>10235</v>
      </c>
      <c r="V13" s="4667"/>
      <c r="W13" s="4667"/>
      <c r="X13" s="4667"/>
      <c r="Y13" s="4667"/>
      <c r="Z13" s="4668"/>
      <c r="AA13" s="3004"/>
      <c r="AB13" s="3002"/>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92"/>
      <c r="D14" s="453" t="s">
        <v>1662</v>
      </c>
      <c r="E14" s="668">
        <f>HLOOKUP($D$5,'Tablas Sheele'!$G$17:$N$25,'Tablas Sheele'!E23,)</f>
        <v>6</v>
      </c>
      <c r="F14" s="2419"/>
      <c r="G14" s="454">
        <f>E14+'Tablas Sheele'!D23</f>
        <v>6</v>
      </c>
      <c r="H14" s="669">
        <f>IF(G14&lt;1,0,VLOOKUP(G14,Tablas!$C$14:$D$33,2))</f>
        <v>5</v>
      </c>
      <c r="I14" s="474"/>
      <c r="J14" s="474"/>
      <c r="K14" s="474"/>
      <c r="L14" s="4669" t="s">
        <v>3197</v>
      </c>
      <c r="M14" s="4670"/>
      <c r="N14" s="4671" t="str">
        <f>IF(D5="Naturaleza","Esencia",D5)</f>
        <v>Tierra</v>
      </c>
      <c r="O14" s="4671"/>
      <c r="P14" s="4672" t="s">
        <v>3198</v>
      </c>
      <c r="Q14" s="4615"/>
      <c r="R14" s="4673">
        <f>IF('Tablas Sheele'!F176&gt;0,MAX(Sheele!N12,H11),H11)</f>
        <v>5</v>
      </c>
      <c r="S14" s="4674"/>
      <c r="T14" s="474"/>
      <c r="U14" s="4675" t="str">
        <f>"Gnosis "&amp;IF('Tablas Sheele'!F100&gt;0,30,20)</f>
        <v>Gnosis 20</v>
      </c>
      <c r="V14" s="4676"/>
      <c r="W14" s="4676"/>
      <c r="X14" s="4676"/>
      <c r="Y14" s="4676"/>
      <c r="Z14" s="4677"/>
      <c r="AA14" s="3004"/>
      <c r="AB14" s="3002"/>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92"/>
      <c r="D15" s="453" t="s">
        <v>1664</v>
      </c>
      <c r="E15" s="2418">
        <f>HLOOKUP($D$5,'Tablas Sheele'!$G$17:$N$25,'Tablas Sheele'!E24,)</f>
        <v>8</v>
      </c>
      <c r="F15" s="2415"/>
      <c r="G15" s="454">
        <f>E15+'Tablas Sheele'!D24</f>
        <v>8</v>
      </c>
      <c r="H15" s="669">
        <f>IF(G15&lt;1,0,VLOOKUP(G15,Tablas!$C$14:$D$33,2))</f>
        <v>10</v>
      </c>
      <c r="I15" s="474"/>
      <c r="J15" s="474"/>
      <c r="K15" s="474"/>
      <c r="L15" s="4669"/>
      <c r="M15" s="4670"/>
      <c r="N15" s="4678">
        <f>IF(20+10*'Tablas Sheele'!F104&lt;=50,20+10*'Tablas Sheele'!F104,50+1/2*(10*'Tablas Sheele'!F104-(50-20)))</f>
        <v>20</v>
      </c>
      <c r="O15" s="4679"/>
      <c r="P15" s="4672"/>
      <c r="Q15" s="4615"/>
      <c r="R15" s="4673"/>
      <c r="S15" s="4674"/>
      <c r="T15" s="474"/>
      <c r="U15" s="4680" t="s">
        <v>3199</v>
      </c>
      <c r="V15" s="4681"/>
      <c r="W15" s="4681"/>
      <c r="X15" s="4681"/>
      <c r="Y15" s="4681"/>
      <c r="Z15" s="4682"/>
      <c r="AA15" s="3004"/>
      <c r="AB15" s="3002"/>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93"/>
      <c r="D16" s="456" t="s">
        <v>1665</v>
      </c>
      <c r="E16" s="2417">
        <f>HLOOKUP($D$5,'Tablas Sheele'!$G$17:$N$25,'Tablas Sheele'!E25,)</f>
        <v>6</v>
      </c>
      <c r="F16" s="2416"/>
      <c r="G16" s="457">
        <f>E16+'Tablas Sheele'!D25</f>
        <v>6</v>
      </c>
      <c r="H16" s="670">
        <f>IF(G16&lt;1,0,VLOOKUP(G16,Tablas!$C$14:$D$33,2))</f>
        <v>5</v>
      </c>
      <c r="I16" s="474"/>
      <c r="J16" s="474"/>
      <c r="K16" s="474"/>
      <c r="L16" s="4669" t="s">
        <v>3200</v>
      </c>
      <c r="M16" s="4615"/>
      <c r="N16" s="4688">
        <f>Místicos!L13</f>
        <v>0</v>
      </c>
      <c r="O16" s="4688"/>
      <c r="P16" s="4615" t="s">
        <v>1666</v>
      </c>
      <c r="Q16" s="4615"/>
      <c r="R16" s="4656">
        <f>Turno_SinArmas_final+IF('Tablas Sheele'!F121,50,0)</f>
        <v>40</v>
      </c>
      <c r="S16" s="4657"/>
      <c r="T16" s="474"/>
      <c r="U16" s="4683"/>
      <c r="V16" s="4684"/>
      <c r="W16" s="4684"/>
      <c r="X16" s="4684"/>
      <c r="Y16" s="4684"/>
      <c r="Z16" s="4685"/>
      <c r="AA16" s="3004"/>
      <c r="AB16" s="3002"/>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86"/>
      <c r="M17" s="4687"/>
      <c r="N17" s="4689"/>
      <c r="O17" s="4690"/>
      <c r="P17" s="4615"/>
      <c r="Q17" s="4615"/>
      <c r="R17" s="4656"/>
      <c r="S17" s="4657"/>
      <c r="T17" s="474"/>
      <c r="U17" s="4658" t="s">
        <v>3201</v>
      </c>
      <c r="V17" s="4659"/>
      <c r="W17" s="4659"/>
      <c r="X17" s="4659"/>
      <c r="Y17" s="4659"/>
      <c r="Z17" s="4660"/>
      <c r="AA17" s="3004"/>
      <c r="AB17" s="3002"/>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16" t="s">
        <v>3202</v>
      </c>
      <c r="D18" s="4617"/>
      <c r="E18" s="4617"/>
      <c r="F18" s="4617"/>
      <c r="G18" s="4617"/>
      <c r="H18" s="4617"/>
      <c r="I18" s="4618"/>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609"/>
      <c r="V18" s="4610"/>
      <c r="W18" s="4610"/>
      <c r="X18" s="4610"/>
      <c r="Y18" s="4610"/>
      <c r="Z18" s="4611"/>
      <c r="AA18" s="3004"/>
      <c r="AB18" s="3002"/>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61" t="s">
        <v>3204</v>
      </c>
      <c r="D19" s="4662"/>
      <c r="E19" s="4662"/>
      <c r="F19" s="4662"/>
      <c r="G19" s="4663" t="str">
        <f>"Mejoras de "&amp;D5</f>
        <v>Mejoras de Tierra</v>
      </c>
      <c r="H19" s="4664"/>
      <c r="I19" s="4664"/>
      <c r="J19" s="4665"/>
      <c r="K19" s="474"/>
      <c r="L19" s="474"/>
      <c r="M19" s="474"/>
      <c r="N19" s="474"/>
      <c r="O19" s="474"/>
      <c r="P19" s="474"/>
      <c r="Q19" s="474"/>
      <c r="R19" s="474"/>
      <c r="S19" s="409"/>
      <c r="T19" s="474"/>
      <c r="U19" s="474"/>
      <c r="V19" s="474"/>
      <c r="W19" s="474"/>
      <c r="X19" s="474"/>
      <c r="Y19" s="474"/>
      <c r="Z19" s="474"/>
      <c r="AA19" s="3004"/>
      <c r="AB19" s="3002"/>
      <c r="AC19" s="2932"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33"/>
      <c r="D20" s="3559"/>
      <c r="E20" s="3559"/>
      <c r="F20" s="4634"/>
      <c r="G20" s="4635"/>
      <c r="H20" s="3551"/>
      <c r="I20" s="3551"/>
      <c r="J20" s="4636"/>
      <c r="K20" s="612" t="s">
        <v>3205</v>
      </c>
      <c r="L20" s="474"/>
      <c r="M20" s="474"/>
      <c r="N20" s="474"/>
      <c r="O20" s="474"/>
      <c r="P20" s="474"/>
      <c r="Q20" s="474"/>
      <c r="R20" s="474"/>
      <c r="S20" s="409"/>
      <c r="T20" s="474"/>
      <c r="U20" s="474"/>
      <c r="V20" s="474"/>
      <c r="W20" s="474"/>
      <c r="X20" s="474"/>
      <c r="Y20" s="474"/>
      <c r="Z20" s="474"/>
      <c r="AA20" s="3004"/>
      <c r="AB20" s="3002"/>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53"/>
      <c r="D21" s="3434"/>
      <c r="E21" s="3434"/>
      <c r="F21" s="4608"/>
      <c r="G21" s="4584"/>
      <c r="H21" s="3434"/>
      <c r="I21" s="3434"/>
      <c r="J21" s="3435"/>
      <c r="K21" s="459"/>
      <c r="L21" s="4637" t="s">
        <v>3206</v>
      </c>
      <c r="M21" s="460" t="s">
        <v>1833</v>
      </c>
      <c r="N21" s="461">
        <f>25+5*U4</f>
        <v>25</v>
      </c>
      <c r="O21" s="474"/>
      <c r="P21" s="4640" t="s">
        <v>3207</v>
      </c>
      <c r="Q21" s="4641"/>
      <c r="R21" s="4641"/>
      <c r="S21" s="4642"/>
      <c r="T21" s="474"/>
      <c r="U21" s="4616" t="s">
        <v>1668</v>
      </c>
      <c r="V21" s="4617"/>
      <c r="W21" s="4617"/>
      <c r="X21" s="4617"/>
      <c r="Y21" s="4617"/>
      <c r="Z21" s="4618"/>
      <c r="AA21" s="3004"/>
      <c r="AB21" s="3002"/>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53"/>
      <c r="D22" s="3434"/>
      <c r="E22" s="3434"/>
      <c r="F22" s="4608"/>
      <c r="G22" s="4584"/>
      <c r="H22" s="3434"/>
      <c r="I22" s="3434"/>
      <c r="J22" s="3435"/>
      <c r="K22" s="459"/>
      <c r="L22" s="4638"/>
      <c r="M22" s="462" t="s">
        <v>1732</v>
      </c>
      <c r="N22" s="463">
        <f>Principal!J58-Principal!I58+IF('Tablas Sheele'!F$165&gt;0,50,0)</f>
        <v>20</v>
      </c>
      <c r="O22" s="474"/>
      <c r="P22" s="4622" t="s">
        <v>3208</v>
      </c>
      <c r="Q22" s="4623"/>
      <c r="R22" s="4626">
        <f>20+10*ROUNDDOWN(Controlar_final/50,0)+MIN(100,25*'Tablas Sheele'!F108)</f>
        <v>20</v>
      </c>
      <c r="S22" s="4627"/>
      <c r="T22" s="474"/>
      <c r="U22" s="4619"/>
      <c r="V22" s="4620"/>
      <c r="W22" s="4620"/>
      <c r="X22" s="4620"/>
      <c r="Y22" s="4620"/>
      <c r="Z22" s="4621"/>
      <c r="AA22" s="3004"/>
      <c r="AB22" s="3002"/>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53"/>
      <c r="D23" s="3434"/>
      <c r="E23" s="3434"/>
      <c r="F23" s="4608"/>
      <c r="G23" s="4584"/>
      <c r="H23" s="3434"/>
      <c r="I23" s="3434"/>
      <c r="J23" s="3435"/>
      <c r="K23" s="474"/>
      <c r="L23" s="4638"/>
      <c r="M23" s="462" t="s">
        <v>1734</v>
      </c>
      <c r="N23" s="463">
        <f>Principal!J59-Principal!I59+IF('Tablas Sheele'!F$165&gt;0,50,0)</f>
        <v>20</v>
      </c>
      <c r="O23" s="474"/>
      <c r="P23" s="4624"/>
      <c r="Q23" s="4625"/>
      <c r="R23" s="4628"/>
      <c r="S23" s="4629"/>
      <c r="T23" s="474"/>
      <c r="U23" s="4630" t="s">
        <v>7251</v>
      </c>
      <c r="V23" s="4631"/>
      <c r="W23" s="4631"/>
      <c r="X23" s="4631"/>
      <c r="Y23" s="4632"/>
      <c r="Z23" s="2245">
        <f>IF(VALUE($U$4)&lt;2,0,5*($U$4-1)-SUM(Y25:Y80))</f>
        <v>0</v>
      </c>
      <c r="AA23" s="3004"/>
      <c r="AB23" s="3002"/>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53"/>
      <c r="D24" s="3434"/>
      <c r="E24" s="3434"/>
      <c r="F24" s="4608"/>
      <c r="G24" s="4584"/>
      <c r="H24" s="3434"/>
      <c r="I24" s="3434"/>
      <c r="J24" s="3435"/>
      <c r="K24" s="474"/>
      <c r="L24" s="4638"/>
      <c r="M24" s="462" t="s">
        <v>1736</v>
      </c>
      <c r="N24" s="463">
        <f>Principal!J60-Principal!I60+IF('Tablas Sheele'!F$165&gt;0,50,0)</f>
        <v>20</v>
      </c>
      <c r="O24" s="474"/>
      <c r="P24" s="4643" t="s">
        <v>3209</v>
      </c>
      <c r="Q24" s="4644"/>
      <c r="R24" s="4644"/>
      <c r="S24" s="4645"/>
      <c r="T24" s="474"/>
      <c r="U24" s="464" t="s">
        <v>1672</v>
      </c>
      <c r="V24" s="4606" t="s">
        <v>1648</v>
      </c>
      <c r="W24" s="4607"/>
      <c r="X24" s="2246" t="s">
        <v>1638</v>
      </c>
      <c r="Y24" s="2239" t="s">
        <v>3210</v>
      </c>
      <c r="Z24" s="2247" t="s">
        <v>1622</v>
      </c>
      <c r="AA24" s="3004"/>
      <c r="AB24" s="3002"/>
      <c r="AC24" s="2932" t="s">
        <v>10234</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53"/>
      <c r="D25" s="3434"/>
      <c r="E25" s="3434"/>
      <c r="F25" s="4608"/>
      <c r="G25" s="4584"/>
      <c r="H25" s="3434"/>
      <c r="I25" s="3434"/>
      <c r="J25" s="3435"/>
      <c r="K25" s="474"/>
      <c r="L25" s="4638"/>
      <c r="M25" s="462" t="s">
        <v>1738</v>
      </c>
      <c r="N25" s="463">
        <f>Principal!J61-Principal!I61+IF('Tablas Sheele'!F$165&gt;0,50,0)</f>
        <v>20</v>
      </c>
      <c r="O25" s="474"/>
      <c r="P25" s="4609" t="s">
        <v>3211</v>
      </c>
      <c r="Q25" s="4610"/>
      <c r="R25" s="4610"/>
      <c r="S25" s="4611"/>
      <c r="T25" s="474"/>
      <c r="U25" s="4525" t="s">
        <v>1677</v>
      </c>
      <c r="V25" s="4612" t="s">
        <v>1678</v>
      </c>
      <c r="W25" s="4612"/>
      <c r="X25" s="2038" t="str">
        <f>IF(HLOOKUP(Sheele!$D$5,'Tablas Sheele'!$C$29:$K$86,'Tablas Sheele'!B30,FALSE)=0,"",HLOOKUP(Sheele!$D$5,'Tablas Sheele'!$C$29:$K$86,'Tablas Sheele'!B30,FALSE))</f>
        <v/>
      </c>
      <c r="Y25" s="2240"/>
      <c r="Z25" s="610" t="str">
        <f>IF(X25="","-",X25+IF('Tablas Sheele'!F$119&gt;0,40+20*('Tablas Sheele'!F$119-1),0)+10*Y25)</f>
        <v>-</v>
      </c>
      <c r="AA25" s="3004"/>
      <c r="AB25" s="3002"/>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53"/>
      <c r="D26" s="3434"/>
      <c r="E26" s="3434"/>
      <c r="F26" s="4608"/>
      <c r="G26" s="4584"/>
      <c r="H26" s="3434"/>
      <c r="I26" s="3434"/>
      <c r="J26" s="3435"/>
      <c r="K26" s="474"/>
      <c r="L26" s="4639"/>
      <c r="M26" s="465" t="s">
        <v>1740</v>
      </c>
      <c r="N26" s="466">
        <f>Principal!J62-Principal!I62+IF('Tablas Sheele'!F$165&gt;0,50,0)</f>
        <v>20</v>
      </c>
      <c r="O26" s="474"/>
      <c r="P26" s="474"/>
      <c r="Q26" s="474"/>
      <c r="R26" s="474"/>
      <c r="S26" s="409"/>
      <c r="T26" s="474"/>
      <c r="U26" s="3356"/>
      <c r="V26" s="3362" t="s">
        <v>1679</v>
      </c>
      <c r="W26" s="3362"/>
      <c r="X26" s="2038" t="str">
        <f>IF(HLOOKUP(Sheele!$D$5,'Tablas Sheele'!$C$29:$K$86,'Tablas Sheele'!B31,FALSE)=0,"",HLOOKUP(Sheele!$D$5,'Tablas Sheele'!$C$29:$K$86,'Tablas Sheele'!B31,FALSE))</f>
        <v/>
      </c>
      <c r="Y26" s="2241"/>
      <c r="Z26" s="610" t="str">
        <f>IF(X26="","-",X26+IF('Tablas Sheele'!F$119&gt;0,40+20*('Tablas Sheele'!F$119-1),0)+10*Y26)</f>
        <v>-</v>
      </c>
      <c r="AA26" s="3004"/>
      <c r="AB26" s="3002"/>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74"/>
      <c r="D27" s="4613"/>
      <c r="E27" s="4613"/>
      <c r="F27" s="4614"/>
      <c r="G27" s="4584"/>
      <c r="H27" s="3434"/>
      <c r="I27" s="3434"/>
      <c r="J27" s="3435"/>
      <c r="K27" s="474"/>
      <c r="L27" s="474"/>
      <c r="M27" s="474"/>
      <c r="N27" s="474"/>
      <c r="O27" s="474"/>
      <c r="P27" s="4646" t="s">
        <v>1642</v>
      </c>
      <c r="Q27" s="4647"/>
      <c r="R27" s="4647"/>
      <c r="S27" s="4648"/>
      <c r="T27" s="474"/>
      <c r="U27" s="3356"/>
      <c r="V27" s="3362" t="s">
        <v>1682</v>
      </c>
      <c r="W27" s="3362"/>
      <c r="X27" s="2038" t="str">
        <f>IF(HLOOKUP(Sheele!$D$5,'Tablas Sheele'!$C$29:$K$86,'Tablas Sheele'!B32,FALSE)=0,"",HLOOKUP(Sheele!$D$5,'Tablas Sheele'!$C$29:$K$86,'Tablas Sheele'!B32,FALSE))</f>
        <v/>
      </c>
      <c r="Y27" s="2241"/>
      <c r="Z27" s="610" t="str">
        <f>IF(X27="","-",X27+IF('Tablas Sheele'!F$119&gt;0,40+20*('Tablas Sheele'!F$119-1),0)+10*Y27)</f>
        <v>-</v>
      </c>
      <c r="AA27" s="3004"/>
      <c r="AB27" s="3002"/>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74"/>
      <c r="D28" s="4613"/>
      <c r="E28" s="4613"/>
      <c r="F28" s="4614"/>
      <c r="G28" s="4584"/>
      <c r="H28" s="3434"/>
      <c r="I28" s="3434"/>
      <c r="J28" s="3435"/>
      <c r="K28" s="474"/>
      <c r="L28" s="474"/>
      <c r="M28" s="474"/>
      <c r="N28" s="474"/>
      <c r="O28" s="474"/>
      <c r="P28" s="4649"/>
      <c r="Q28" s="4650"/>
      <c r="R28" s="4650"/>
      <c r="S28" s="4651"/>
      <c r="T28" s="474"/>
      <c r="U28" s="3356"/>
      <c r="V28" s="3362" t="s">
        <v>1686</v>
      </c>
      <c r="W28" s="3362"/>
      <c r="X28" s="2038" t="str">
        <f>IF(HLOOKUP(Sheele!$D$5,'Tablas Sheele'!$C$29:$K$86,'Tablas Sheele'!B33,FALSE)=0,"",HLOOKUP(Sheele!$D$5,'Tablas Sheele'!$C$29:$K$86,'Tablas Sheele'!B33,FALSE))</f>
        <v/>
      </c>
      <c r="Y28" s="2241"/>
      <c r="Z28" s="610" t="str">
        <f>IF(X28="","-",X28+IF('Tablas Sheele'!F$119&gt;0,40+20*('Tablas Sheele'!F$119-1),0)+10*Y28)</f>
        <v>-</v>
      </c>
      <c r="AA28" s="3004"/>
      <c r="AB28" s="3002"/>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74"/>
      <c r="D29" s="4575"/>
      <c r="E29" s="4575"/>
      <c r="F29" s="3586"/>
      <c r="G29" s="4584"/>
      <c r="H29" s="3434"/>
      <c r="I29" s="3434"/>
      <c r="J29" s="3435"/>
      <c r="K29" s="474"/>
      <c r="L29" s="474"/>
      <c r="M29" s="474"/>
      <c r="N29" s="474"/>
      <c r="O29" s="474"/>
      <c r="P29" s="4585">
        <f>IF('Tablas Sheele'!F107&gt;0, N21*4, N21*2)+IF('Tablas Sheele'!F149&gt;0,250,0)</f>
        <v>50</v>
      </c>
      <c r="Q29" s="4586"/>
      <c r="R29" s="4589"/>
      <c r="S29" s="4590"/>
      <c r="T29" s="474"/>
      <c r="U29" s="3356"/>
      <c r="V29" s="3362" t="s">
        <v>1689</v>
      </c>
      <c r="W29" s="3362"/>
      <c r="X29" s="2038" t="str">
        <f>IF(HLOOKUP(Sheele!$D$5,'Tablas Sheele'!$C$29:$K$86,'Tablas Sheele'!B34,FALSE)=0,"",HLOOKUP(Sheele!$D$5,'Tablas Sheele'!$C$29:$K$86,'Tablas Sheele'!B34,FALSE))</f>
        <v/>
      </c>
      <c r="Y29" s="2241"/>
      <c r="Z29" s="610" t="str">
        <f>IF(X29="","-",X29+IF('Tablas Sheele'!F$119&gt;0,40+20*('Tablas Sheele'!F$119-1),0)+10*Y29)</f>
        <v>-</v>
      </c>
      <c r="AA29" s="3004"/>
      <c r="AB29" s="3002"/>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74"/>
      <c r="D30" s="4575"/>
      <c r="E30" s="4575"/>
      <c r="F30" s="3586"/>
      <c r="G30" s="4584"/>
      <c r="H30" s="3434"/>
      <c r="I30" s="3434"/>
      <c r="J30" s="3435"/>
      <c r="K30" s="474"/>
      <c r="L30" s="4595" t="s">
        <v>1660</v>
      </c>
      <c r="M30" s="4596"/>
      <c r="N30" s="4597"/>
      <c r="O30" s="474"/>
      <c r="P30" s="4585"/>
      <c r="Q30" s="4586"/>
      <c r="R30" s="4591"/>
      <c r="S30" s="4592"/>
      <c r="T30" s="474"/>
      <c r="U30" s="3356"/>
      <c r="V30" s="3362" t="s">
        <v>1692</v>
      </c>
      <c r="W30" s="3362"/>
      <c r="X30" s="2038" t="str">
        <f>IF(HLOOKUP(Sheele!$D$5,'Tablas Sheele'!$C$29:$K$86,'Tablas Sheele'!B35,FALSE)=0,"",HLOOKUP(Sheele!$D$5,'Tablas Sheele'!$C$29:$K$86,'Tablas Sheele'!B35,FALSE))</f>
        <v/>
      </c>
      <c r="Y30" s="2241"/>
      <c r="Z30" s="610" t="str">
        <f>IF(X30="","-",X30+IF('Tablas Sheele'!F$119&gt;0,40+20*('Tablas Sheele'!F$119-1),0)+10*Y30)</f>
        <v>-</v>
      </c>
      <c r="AA30" s="3004"/>
      <c r="AB30" s="3002"/>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58"/>
      <c r="D31" s="4559"/>
      <c r="E31" s="4559"/>
      <c r="F31" s="4560"/>
      <c r="G31" s="4730"/>
      <c r="H31" s="4731"/>
      <c r="I31" s="4731"/>
      <c r="J31" s="4732"/>
      <c r="K31" s="474"/>
      <c r="L31" s="4577">
        <f>G9</f>
        <v>6</v>
      </c>
      <c r="M31" s="4579" t="s">
        <v>1852</v>
      </c>
      <c r="N31" s="4580"/>
      <c r="O31" s="474"/>
      <c r="P31" s="4585"/>
      <c r="Q31" s="4586"/>
      <c r="R31" s="4591"/>
      <c r="S31" s="4592"/>
      <c r="T31" s="474"/>
      <c r="U31" s="3357"/>
      <c r="V31" s="4523" t="s">
        <v>6948</v>
      </c>
      <c r="W31" s="4524"/>
      <c r="X31" s="2248" t="str">
        <f>IF(HLOOKUP(Sheele!$D$5,'Tablas Sheele'!$C$29:$K$86,'Tablas Sheele'!B36,FALSE)=0,"",HLOOKUP(Sheele!$D$5,'Tablas Sheele'!$C$29:$K$86,'Tablas Sheele'!B36,FALSE))</f>
        <v/>
      </c>
      <c r="Y31" s="2242"/>
      <c r="Z31" s="2249" t="str">
        <f>IF(X31="","-",X31+IF('Tablas Sheele'!F$119&gt;0,40+20*('Tablas Sheele'!F$119-1),0)+10*Y31)</f>
        <v>-</v>
      </c>
      <c r="AA31" s="3005"/>
      <c r="AB31" s="3002"/>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04" t="s">
        <v>3212</v>
      </c>
      <c r="D32" s="4605"/>
      <c r="E32" s="4605"/>
      <c r="F32" s="4605"/>
      <c r="G32" s="4605"/>
      <c r="H32" s="4605"/>
      <c r="I32" s="4605"/>
      <c r="J32" s="2238">
        <f>COUNTBLANK(E33:E36)+COUNTBLANK(G33:G36)+COUNTBLANK(I33:I36)+COUNTBLANK(C33:C36)-16+'Tablas Sheele'!F109</f>
        <v>0</v>
      </c>
      <c r="K32" s="474"/>
      <c r="L32" s="4577"/>
      <c r="M32" s="4579" t="str">
        <f>IF(L31&lt;1,"",VLOOKUP(L31,Tabla_TipoMovimiento,2,FALSE))</f>
        <v>22 m / asalto</v>
      </c>
      <c r="N32" s="4580"/>
      <c r="O32" s="474"/>
      <c r="P32" s="4587"/>
      <c r="Q32" s="4588"/>
      <c r="R32" s="4593"/>
      <c r="S32" s="4594"/>
      <c r="T32" s="474"/>
      <c r="U32" s="3356" t="s">
        <v>1695</v>
      </c>
      <c r="V32" s="3362" t="s">
        <v>1696</v>
      </c>
      <c r="W32" s="3362"/>
      <c r="X32" s="2038" t="str">
        <f>IF(HLOOKUP(Sheele!$D$5,'Tablas Sheele'!$C$29:$K$86,'Tablas Sheele'!B37,FALSE)=0,"",HLOOKUP(Sheele!$D$5,'Tablas Sheele'!$C$29:$K$86,'Tablas Sheele'!B37,FALSE))</f>
        <v/>
      </c>
      <c r="Y32" s="2240"/>
      <c r="Z32" s="610" t="str">
        <f>IF(X32="","-",X32+IF('Tablas Sheele'!F$119&gt;0,40+20*('Tablas Sheele'!F$119-1),0)+10*Y32)</f>
        <v>-</v>
      </c>
      <c r="AA32" s="3004"/>
      <c r="AB32" s="3002"/>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36"/>
      <c r="D33" s="4537"/>
      <c r="E33" s="4537"/>
      <c r="F33" s="4537"/>
      <c r="G33" s="4537"/>
      <c r="H33" s="4537"/>
      <c r="I33" s="4537"/>
      <c r="J33" s="4557"/>
      <c r="K33" s="474"/>
      <c r="L33" s="4598">
        <f>IF('Tablas Sheele'!F117&gt;0,14,VLOOKUP(C40,'Tablas Sheele'!C204:M243,10,FALSE))</f>
        <v>4</v>
      </c>
      <c r="M33" s="4600" t="s">
        <v>1901</v>
      </c>
      <c r="N33" s="4601"/>
      <c r="O33" s="474"/>
      <c r="P33" s="474"/>
      <c r="Q33" s="474"/>
      <c r="R33" s="474"/>
      <c r="S33" s="409"/>
      <c r="T33" s="474"/>
      <c r="U33" s="3356"/>
      <c r="V33" s="3362" t="s">
        <v>1698</v>
      </c>
      <c r="W33" s="3362"/>
      <c r="X33" s="2038" t="str">
        <f>IF(HLOOKUP(Sheele!$D$5,'Tablas Sheele'!$C$29:$K$86,'Tablas Sheele'!B38,FALSE)=0,"",HLOOKUP(Sheele!$D$5,'Tablas Sheele'!$C$29:$K$86,'Tablas Sheele'!B38,FALSE))</f>
        <v/>
      </c>
      <c r="Y33" s="2241"/>
      <c r="Z33" s="610" t="str">
        <f>IF(X33="","-",X33+IF('Tablas Sheele'!F$119&gt;0,40+20*('Tablas Sheele'!F$119-1),0)+10*Y33)</f>
        <v>-</v>
      </c>
      <c r="AA33" s="3004"/>
      <c r="AB33" s="3002"/>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74"/>
      <c r="D34" s="4575"/>
      <c r="E34" s="4575"/>
      <c r="F34" s="4575"/>
      <c r="G34" s="4575"/>
      <c r="H34" s="4575"/>
      <c r="I34" s="4575"/>
      <c r="J34" s="4576"/>
      <c r="K34" s="474"/>
      <c r="L34" s="4599"/>
      <c r="M34" s="4602" t="str">
        <f>IF(L33&lt;1,"",VLOOKUP(L33,Tabla_TipoMovimiento,2,FALSE))</f>
        <v>15 m / asalto</v>
      </c>
      <c r="N34" s="4603"/>
      <c r="O34" s="474"/>
      <c r="P34" s="4581" t="s">
        <v>1641</v>
      </c>
      <c r="Q34" s="4582"/>
      <c r="R34" s="4582"/>
      <c r="S34" s="4583"/>
      <c r="T34" s="474"/>
      <c r="U34" s="3356"/>
      <c r="V34" s="3362" t="s">
        <v>1701</v>
      </c>
      <c r="W34" s="3362"/>
      <c r="X34" s="2038" t="str">
        <f>IF(HLOOKUP(Sheele!$D$5,'Tablas Sheele'!$C$29:$K$86,'Tablas Sheele'!B39,FALSE)=0,"",HLOOKUP(Sheele!$D$5,'Tablas Sheele'!$C$29:$K$86,'Tablas Sheele'!B39,FALSE))</f>
        <v/>
      </c>
      <c r="Y34" s="2241"/>
      <c r="Z34" s="610" t="str">
        <f>IF(X34="","-",X34+IF('Tablas Sheele'!F$119&gt;0,40+20*('Tablas Sheele'!F$119-1),0)+10*Y34)</f>
        <v>-</v>
      </c>
      <c r="AA34" s="3004"/>
      <c r="AB34" s="3002"/>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74"/>
      <c r="D35" s="4575"/>
      <c r="E35" s="4575"/>
      <c r="F35" s="4575"/>
      <c r="G35" s="4575"/>
      <c r="H35" s="4575"/>
      <c r="I35" s="4575"/>
      <c r="J35" s="4576"/>
      <c r="K35" s="474"/>
      <c r="L35" s="4577" t="str">
        <f>IF('Tablas Sheele'!F128&gt;0,15,IF(D5='Tablas Sheele'!C6,10,IF('Tablas Sheele'!F153&gt;0,L31,"-")))</f>
        <v>-</v>
      </c>
      <c r="M35" s="4579" t="str">
        <f>IF(D5='Tablas Sheele'!C6,"Acuático",IF('Tablas Sheele'!F153&gt;0,"Subterráneo","Otros"))</f>
        <v>Otros</v>
      </c>
      <c r="N35" s="4580"/>
      <c r="O35" s="474"/>
      <c r="P35" s="4561">
        <f>VLOOKUP(G10,Tablas!C37:G65,2)</f>
        <v>1</v>
      </c>
      <c r="Q35" s="4563" t="str">
        <f>IF(D5='Tablas Sheele'!C11,"5 PV / asalto",IF('Tablas Sheele'!F132&gt;0,"10 PV / asalto",VLOOKUP(P35,Tablas!D38:G65,2)))</f>
        <v>10 PV / día</v>
      </c>
      <c r="R35" s="4564"/>
      <c r="S35" s="4565"/>
      <c r="T35" s="474"/>
      <c r="U35" s="3356"/>
      <c r="V35" s="3362" t="s">
        <v>1703</v>
      </c>
      <c r="W35" s="3362"/>
      <c r="X35" s="2038" t="str">
        <f>IF(HLOOKUP(Sheele!$D$5,'Tablas Sheele'!$C$29:$K$86,'Tablas Sheele'!B40,FALSE)=0,"",HLOOKUP(Sheele!$D$5,'Tablas Sheele'!$C$29:$K$86,'Tablas Sheele'!B40,FALSE))</f>
        <v/>
      </c>
      <c r="Y35" s="2241"/>
      <c r="Z35" s="610" t="str">
        <f>IF(X35="","-",X35+IF('Tablas Sheele'!F$119&gt;0,40+20*('Tablas Sheele'!F$119-1),0)+10*Y35)</f>
        <v>-</v>
      </c>
      <c r="AA35" s="3004"/>
      <c r="AB35" s="3002"/>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66"/>
      <c r="D36" s="4567"/>
      <c r="E36" s="4567"/>
      <c r="F36" s="4567"/>
      <c r="G36" s="4567"/>
      <c r="H36" s="4567"/>
      <c r="I36" s="4567"/>
      <c r="J36" s="4568"/>
      <c r="K36" s="474"/>
      <c r="L36" s="4578"/>
      <c r="M36" s="4569" t="str">
        <f>IF(L35="-","-",VLOOKUP(L33,Tabla_TipoMovimiento,2,FALSE))</f>
        <v>-</v>
      </c>
      <c r="N36" s="4570"/>
      <c r="O36" s="474"/>
      <c r="P36" s="4562"/>
      <c r="Q36" s="4571" t="str">
        <f>VLOOKUP(P35,Tablas!D38:G65,4)</f>
        <v>-5 al día</v>
      </c>
      <c r="R36" s="4572"/>
      <c r="S36" s="4573"/>
      <c r="T36" s="474"/>
      <c r="U36" s="3356"/>
      <c r="V36" s="3362" t="s">
        <v>1083</v>
      </c>
      <c r="W36" s="3362"/>
      <c r="X36" s="2038" t="str">
        <f>IF(HLOOKUP(Sheele!$D$5,'Tablas Sheele'!$C$29:$K$86,'Tablas Sheele'!B41,FALSE)=0,"",HLOOKUP(Sheele!$D$5,'Tablas Sheele'!$C$29:$K$86,'Tablas Sheele'!B41,FALSE))</f>
        <v/>
      </c>
      <c r="Y36" s="2241"/>
      <c r="Z36" s="610" t="str">
        <f>IF(X36="","-",X36+IF('Tablas Sheele'!F$119&gt;0,40+20*('Tablas Sheele'!F$119-1),0)+10*Y36)</f>
        <v>-</v>
      </c>
      <c r="AA36" s="3005"/>
      <c r="AB36" s="3002"/>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56"/>
      <c r="V37" s="3362" t="s">
        <v>1084</v>
      </c>
      <c r="W37" s="3362"/>
      <c r="X37" s="2038" t="str">
        <f>IF(HLOOKUP(Sheele!$D$5,'Tablas Sheele'!$C$29:$K$86,'Tablas Sheele'!B42,FALSE)=0,"",HLOOKUP(Sheele!$D$5,'Tablas Sheele'!$C$29:$K$86,'Tablas Sheele'!B42,FALSE))</f>
        <v/>
      </c>
      <c r="Y37" s="2241"/>
      <c r="Z37" s="610" t="str">
        <f>IF(X37="","-",X37+IF('Tablas Sheele'!F$119&gt;0,40+20*('Tablas Sheele'!F$119-1),0)+10*Y37)</f>
        <v>-</v>
      </c>
      <c r="AA37" s="3005"/>
      <c r="AB37" s="3002"/>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81" t="s">
        <v>3214</v>
      </c>
      <c r="D38" s="4582"/>
      <c r="E38" s="4582"/>
      <c r="F38" s="4582"/>
      <c r="G38" s="4582"/>
      <c r="H38" s="4582"/>
      <c r="I38" s="4582"/>
      <c r="J38" s="4582"/>
      <c r="K38" s="4582"/>
      <c r="L38" s="4582"/>
      <c r="M38" s="4582"/>
      <c r="N38" s="4582"/>
      <c r="O38" s="4582"/>
      <c r="P38" s="4582"/>
      <c r="Q38" s="4582"/>
      <c r="R38" s="4582"/>
      <c r="S38" s="4583"/>
      <c r="T38" s="474"/>
      <c r="U38" s="3356"/>
      <c r="V38" s="4523" t="s">
        <v>1085</v>
      </c>
      <c r="W38" s="4524"/>
      <c r="X38" s="2248" t="str">
        <f>IF(HLOOKUP(Sheele!$D$5,'Tablas Sheele'!$C$29:$K$86,'Tablas Sheele'!B43,FALSE)=0,"",HLOOKUP(Sheele!$D$5,'Tablas Sheele'!$C$29:$K$86,'Tablas Sheele'!B43,FALSE))</f>
        <v/>
      </c>
      <c r="Y38" s="2243"/>
      <c r="Z38" s="2249" t="str">
        <f>IF(X38="","-",X38+IF('Tablas Sheele'!F$119&gt;0,40+20*('Tablas Sheele'!F$119-1),0)+10*Y38)</f>
        <v>-</v>
      </c>
      <c r="AA38" s="3005"/>
      <c r="AB38" s="3002"/>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44" t="s">
        <v>3215</v>
      </c>
      <c r="D39" s="4545"/>
      <c r="E39" s="2005" t="s">
        <v>3027</v>
      </c>
      <c r="F39" s="2006" t="s">
        <v>3216</v>
      </c>
      <c r="G39" s="2005" t="s">
        <v>1841</v>
      </c>
      <c r="H39" s="4546" t="s">
        <v>1824</v>
      </c>
      <c r="I39" s="4547"/>
      <c r="J39" s="4547"/>
      <c r="K39" s="4547"/>
      <c r="L39" s="4547"/>
      <c r="M39" s="4547"/>
      <c r="N39" s="4547"/>
      <c r="O39" s="4547"/>
      <c r="P39" s="4547"/>
      <c r="Q39" s="4547"/>
      <c r="R39" s="4547"/>
      <c r="S39" s="4548"/>
      <c r="T39" s="474"/>
      <c r="U39" s="4525" t="s">
        <v>1704</v>
      </c>
      <c r="V39" s="3362" t="s">
        <v>1705</v>
      </c>
      <c r="W39" s="3362"/>
      <c r="X39" s="2038">
        <f>IF(HLOOKUP(Sheele!$D$5,'Tablas Sheele'!$C$29:$K$86,'Tablas Sheele'!B44,FALSE)=0,"",HLOOKUP(Sheele!$D$5,'Tablas Sheele'!$C$29:$K$86,'Tablas Sheele'!B44,FALSE))</f>
        <v>30</v>
      </c>
      <c r="Y39" s="2240"/>
      <c r="Z39" s="610">
        <f>IF(X39="","-",X39+IF('Tablas Sheele'!F$119&gt;0,40+20*('Tablas Sheele'!F$119-1),0)+10*Y39+IF('Tablas Sheele'!F161&gt;0,100,0))</f>
        <v>30</v>
      </c>
      <c r="AA39" s="3004"/>
      <c r="AB39" s="3002"/>
      <c r="AC39" s="2932"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44" t="str">
        <f>VLOOKUP($D$5,'Tablas Sheele'!$C$204:$J$243,ROW()-37,FALSE)</f>
        <v>Vuelo Místico 4</v>
      </c>
      <c r="D40" s="4745"/>
      <c r="E40" s="671" t="str">
        <f>IF($C40=" ","","-")</f>
        <v>-</v>
      </c>
      <c r="F40" s="671" t="str">
        <f>IF($C40=" ","","-")</f>
        <v>-</v>
      </c>
      <c r="G40" s="468" t="str">
        <f>IF($C40=" ","","-")</f>
        <v>-</v>
      </c>
      <c r="H40" s="4549" t="str">
        <f>IF(C40=" ","",VLOOKUP(C40,'Tablas Sheele'!$C$204:$J$243,3,FALSE))</f>
        <v>Puede volar con Tipo de Movimiento 4</v>
      </c>
      <c r="I40" s="4550"/>
      <c r="J40" s="4550"/>
      <c r="K40" s="4550"/>
      <c r="L40" s="4550"/>
      <c r="M40" s="4550"/>
      <c r="N40" s="4550"/>
      <c r="O40" s="4550"/>
      <c r="P40" s="4550"/>
      <c r="Q40" s="4550"/>
      <c r="R40" s="4550"/>
      <c r="S40" s="4551"/>
      <c r="T40" s="474"/>
      <c r="U40" s="3356"/>
      <c r="V40" s="3362" t="s">
        <v>1706</v>
      </c>
      <c r="W40" s="3362"/>
      <c r="X40" s="2038">
        <f>IF(HLOOKUP(Sheele!$D$5,'Tablas Sheele'!$C$29:$K$86,'Tablas Sheele'!B45,FALSE)=0,"",HLOOKUP(Sheele!$D$5,'Tablas Sheele'!$C$29:$K$86,'Tablas Sheele'!B45,FALSE))</f>
        <v>10</v>
      </c>
      <c r="Y40" s="2241"/>
      <c r="Z40" s="610">
        <f>IF(X40="","-",X40+IF('Tablas Sheele'!F$119&gt;0,40+20*('Tablas Sheele'!F$119-1),0)+10*Y40+IF('Tablas Sheele'!F162&gt;0,100,0))</f>
        <v>10</v>
      </c>
      <c r="AA40" s="3004"/>
      <c r="AB40" s="3002"/>
      <c r="AC40" s="2932"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46" t="str">
        <f>VLOOKUP($D$5,'Tablas Sheele'!$C$204:$J$243,ROW()-37,FALSE)</f>
        <v>Resistencia</v>
      </c>
      <c r="D41" s="4747"/>
      <c r="E41" s="597" t="str">
        <f>IF($C41=" ","","-")</f>
        <v>-</v>
      </c>
      <c r="F41" s="597" t="str">
        <f>IF($C41=" ","",IF(C41='Tablas Sheele'!C216,Sheele!N10,"-"))</f>
        <v>-</v>
      </c>
      <c r="G41" s="469" t="str">
        <f>IF($C41=" ","","-")</f>
        <v>-</v>
      </c>
      <c r="H41" s="4528" t="str">
        <f>IF(C41=" ","",VLOOKUP(C41,'Tablas Sheele'!$C$204:$J$243,3,FALSE))</f>
        <v>Barrera de daño 60.</v>
      </c>
      <c r="I41" s="4529"/>
      <c r="J41" s="4529"/>
      <c r="K41" s="4529"/>
      <c r="L41" s="4529"/>
      <c r="M41" s="4529"/>
      <c r="N41" s="4529"/>
      <c r="O41" s="4529"/>
      <c r="P41" s="4529"/>
      <c r="Q41" s="4529"/>
      <c r="R41" s="4529"/>
      <c r="S41" s="4530"/>
      <c r="T41" s="474"/>
      <c r="U41" s="3357"/>
      <c r="V41" s="4523" t="s">
        <v>1707</v>
      </c>
      <c r="W41" s="4524"/>
      <c r="X41" s="2248">
        <f>IF(HLOOKUP(Sheele!$D$5,'Tablas Sheele'!$C$29:$K$86,'Tablas Sheele'!B46,FALSE)=0,"",HLOOKUP(Sheele!$D$5,'Tablas Sheele'!$C$29:$K$86,'Tablas Sheele'!B46,FALSE))</f>
        <v>10</v>
      </c>
      <c r="Y41" s="2242"/>
      <c r="Z41" s="2249">
        <f>IF(X41="","-",X41+IF('Tablas Sheele'!F$119&gt;0,40+20*('Tablas Sheele'!F$119-1),0)+10*Y41)</f>
        <v>10</v>
      </c>
      <c r="AA41" s="3005"/>
      <c r="AB41" s="3002"/>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46" t="str">
        <f>VLOOKUP($D$5,'Tablas Sheele'!$C$204:$J$243,ROW()-37,FALSE)</f>
        <v xml:space="preserve"> </v>
      </c>
      <c r="D42" s="4747"/>
      <c r="E42" s="597" t="str">
        <f>IF($C42=" ","","-")</f>
        <v/>
      </c>
      <c r="F42" s="597" t="str">
        <f>IF($C42=" ","","-")</f>
        <v/>
      </c>
      <c r="G42" s="469" t="str">
        <f>IF($C42=" ","","-")</f>
        <v/>
      </c>
      <c r="H42" s="4528" t="str">
        <f>IF(C42=" ","",VLOOKUP(C42,'Tablas Sheele'!$C$204:$J$243,3,FALSE))</f>
        <v/>
      </c>
      <c r="I42" s="4529"/>
      <c r="J42" s="4529"/>
      <c r="K42" s="4529"/>
      <c r="L42" s="4529"/>
      <c r="M42" s="4529"/>
      <c r="N42" s="4529"/>
      <c r="O42" s="4529"/>
      <c r="P42" s="4529"/>
      <c r="Q42" s="4529"/>
      <c r="R42" s="4529"/>
      <c r="S42" s="4530"/>
      <c r="T42" s="474"/>
      <c r="U42" s="3356" t="s">
        <v>1708</v>
      </c>
      <c r="V42" s="3362" t="s">
        <v>1709</v>
      </c>
      <c r="W42" s="3362"/>
      <c r="X42" s="2038" t="str">
        <f>IF(HLOOKUP(Sheele!$D$5,'Tablas Sheele'!$C$29:$K$86,'Tablas Sheele'!B47,FALSE)=0,"",HLOOKUP(Sheele!$D$5,'Tablas Sheele'!$C$29:$K$86,'Tablas Sheele'!B47,FALSE))</f>
        <v/>
      </c>
      <c r="Y42" s="2244"/>
      <c r="Z42" s="610" t="str">
        <f>IF(X42="","-",X42+IF('Tablas Sheele'!F$119&gt;0,40+20*('Tablas Sheele'!F$119-1),0)+10*Y42)</f>
        <v>-</v>
      </c>
      <c r="AA42" s="3005"/>
      <c r="AB42" s="3002"/>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48" t="str">
        <f>VLOOKUP($D$5,'Tablas Sheele'!$C$204:$J$243,ROW()-37,FALSE)</f>
        <v xml:space="preserve"> </v>
      </c>
      <c r="D43" s="4749"/>
      <c r="E43" s="470" t="str">
        <f>IF($C43=" ","","-")</f>
        <v/>
      </c>
      <c r="F43" s="470" t="str">
        <f>IF($C43=" ","","-")</f>
        <v/>
      </c>
      <c r="G43" s="471" t="str">
        <f>IF($C43=" ","","-")</f>
        <v/>
      </c>
      <c r="H43" s="4541" t="str">
        <f>IF(C43=" ","",VLOOKUP(C43,'Tablas Sheele'!$C$204:$J$243,3,FALSE))</f>
        <v/>
      </c>
      <c r="I43" s="4542"/>
      <c r="J43" s="4542"/>
      <c r="K43" s="4542"/>
      <c r="L43" s="4542"/>
      <c r="M43" s="4542"/>
      <c r="N43" s="4542"/>
      <c r="O43" s="4542"/>
      <c r="P43" s="4542"/>
      <c r="Q43" s="4542"/>
      <c r="R43" s="4542"/>
      <c r="S43" s="4543"/>
      <c r="T43" s="474"/>
      <c r="U43" s="3356"/>
      <c r="V43" s="3362" t="str">
        <f>IF($D$5='Tablas Sheele'!$C$8,"Ciencia (geología)","Ciencia")</f>
        <v>Ciencia (geología)</v>
      </c>
      <c r="W43" s="3362"/>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04"/>
      <c r="AB43" s="3002"/>
      <c r="AC43" s="2932"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54" t="str">
        <f>IF(COUNTA($C$43:C43)&lt;='Tablas Sheele'!$H$199,VLOOKUP('Tablas Sheele'!A1,'Tablas Sheele'!$B$111:$R$198,3,FALSE),"")</f>
        <v/>
      </c>
      <c r="D44" s="4555"/>
      <c r="E44" s="671" t="str">
        <f>IF($C44="","",VLOOKUP('Tablas Sheele'!$A1,'Tablas Sheele'!$B$111:$R198,8,FALSE))</f>
        <v/>
      </c>
      <c r="F44" s="671" t="str">
        <f>IF($C44="","",VLOOKUP('Tablas Sheele'!$A1,'Tablas Sheele'!$B$111:$R198,9,FALSE))</f>
        <v/>
      </c>
      <c r="G44" s="468" t="str">
        <f>IF($C44="","",VLOOKUP('Tablas Sheele'!$A1,'Tablas Sheele'!$B$111:$R198,10,FALSE))</f>
        <v/>
      </c>
      <c r="H44" s="4556" t="str">
        <f>IF($C44="","",VLOOKUP('Tablas Sheele'!$A1,'Tablas Sheele'!$B$111:$R198,11,FALSE))</f>
        <v/>
      </c>
      <c r="I44" s="4531"/>
      <c r="J44" s="4531"/>
      <c r="K44" s="4531"/>
      <c r="L44" s="4531"/>
      <c r="M44" s="4531"/>
      <c r="N44" s="4531"/>
      <c r="O44" s="4531"/>
      <c r="P44" s="4531"/>
      <c r="Q44" s="4531"/>
      <c r="R44" s="4531"/>
      <c r="S44" s="4532"/>
      <c r="T44" s="474"/>
      <c r="U44" s="3356"/>
      <c r="V44" s="3362" t="s">
        <v>2919</v>
      </c>
      <c r="W44" s="3362"/>
      <c r="X44" s="2038" t="str">
        <f>IF(HLOOKUP(Sheele!$D$5,'Tablas Sheele'!$C$29:$K$86,'Tablas Sheele'!B49,FALSE)=0,"",HLOOKUP(Sheele!$D$5,'Tablas Sheele'!$C$29:$K$86,'Tablas Sheele'!B49,FALSE))</f>
        <v/>
      </c>
      <c r="Y44" s="2241"/>
      <c r="Z44" s="610" t="str">
        <f>IF(X44="","-",X44+IF('Tablas Sheele'!F$119&gt;0,40+20*('Tablas Sheele'!F$119-1),0)+10*Y44)</f>
        <v>-</v>
      </c>
      <c r="AA44" s="3005"/>
      <c r="AB44" s="3002"/>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52" t="str">
        <f>IF(COUNTA($C$43:C44)&lt;='Tablas Sheele'!$H$199,VLOOKUP('Tablas Sheele'!A2,'Tablas Sheele'!$B$111:$R$198,3,FALSE),"")</f>
        <v/>
      </c>
      <c r="D45" s="4553"/>
      <c r="E45" s="597" t="str">
        <f>IF($C45="","",VLOOKUP('Tablas Sheele'!$A2,'Tablas Sheele'!$B$111:$R199,8,FALSE))</f>
        <v/>
      </c>
      <c r="F45" s="597" t="str">
        <f>IF($C45="","",VLOOKUP('Tablas Sheele'!$A2,'Tablas Sheele'!$B$111:$R199,9,FALSE))</f>
        <v/>
      </c>
      <c r="G45" s="469" t="str">
        <f>IF($C45="","",VLOOKUP('Tablas Sheele'!$A2,'Tablas Sheele'!$B$111:$R199,10,FALSE))</f>
        <v/>
      </c>
      <c r="H45" s="4520" t="str">
        <f>IF($C45="","",VLOOKUP('Tablas Sheele'!$A2,'Tablas Sheele'!$B$111:$R199,11,FALSE))</f>
        <v/>
      </c>
      <c r="I45" s="4521"/>
      <c r="J45" s="4521"/>
      <c r="K45" s="4521"/>
      <c r="L45" s="4521"/>
      <c r="M45" s="4521"/>
      <c r="N45" s="4521"/>
      <c r="O45" s="4521"/>
      <c r="P45" s="4521"/>
      <c r="Q45" s="4521"/>
      <c r="R45" s="4521"/>
      <c r="S45" s="4522"/>
      <c r="T45" s="474"/>
      <c r="U45" s="3356"/>
      <c r="V45" s="3362" t="s">
        <v>1711</v>
      </c>
      <c r="W45" s="3362"/>
      <c r="X45" s="2038" t="str">
        <f>IF(HLOOKUP(Sheele!$D$5,'Tablas Sheele'!$C$29:$K$86,'Tablas Sheele'!B50,FALSE)=0,"",HLOOKUP(Sheele!$D$5,'Tablas Sheele'!$C$29:$K$86,'Tablas Sheele'!B50,FALSE))</f>
        <v/>
      </c>
      <c r="Y45" s="2241"/>
      <c r="Z45" s="610" t="str">
        <f>IF(X45="","-",X45+IF('Tablas Sheele'!F$119&gt;0,40+20*('Tablas Sheele'!F$119-1),0)+10*Y45)</f>
        <v>-</v>
      </c>
      <c r="AA45" s="3004"/>
      <c r="AB45" s="3002"/>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52" t="str">
        <f>IF(COUNTA($C$43:C45)&lt;='Tablas Sheele'!$H$199,VLOOKUP('Tablas Sheele'!A3,'Tablas Sheele'!$B$111:$R$198,3,FALSE),"")</f>
        <v/>
      </c>
      <c r="D46" s="4553"/>
      <c r="E46" s="597" t="str">
        <f>IF($C46="","",VLOOKUP('Tablas Sheele'!$A3,'Tablas Sheele'!$B$111:$R200,8,FALSE))</f>
        <v/>
      </c>
      <c r="F46" s="597" t="str">
        <f>IF($C46="","",VLOOKUP('Tablas Sheele'!$A3,'Tablas Sheele'!$B$111:$R200,9,FALSE))</f>
        <v/>
      </c>
      <c r="G46" s="469" t="str">
        <f>IF($C46="","",VLOOKUP('Tablas Sheele'!$A3,'Tablas Sheele'!$B$111:$R200,10,FALSE))</f>
        <v/>
      </c>
      <c r="H46" s="4520" t="str">
        <f>IF($C46="","",VLOOKUP('Tablas Sheele'!$A3,'Tablas Sheele'!$B$111:$R200,11,FALSE))</f>
        <v/>
      </c>
      <c r="I46" s="4521"/>
      <c r="J46" s="4521"/>
      <c r="K46" s="4521"/>
      <c r="L46" s="4521"/>
      <c r="M46" s="4521"/>
      <c r="N46" s="4521"/>
      <c r="O46" s="4521"/>
      <c r="P46" s="4521"/>
      <c r="Q46" s="4521"/>
      <c r="R46" s="4521"/>
      <c r="S46" s="4522"/>
      <c r="T46" s="474"/>
      <c r="U46" s="3356"/>
      <c r="V46" s="3362" t="s">
        <v>1713</v>
      </c>
      <c r="W46" s="3362"/>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04"/>
      <c r="AB46" s="3002"/>
      <c r="AC46" s="2932"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52" t="str">
        <f>IF(COUNTA($C$43:C46)&lt;='Tablas Sheele'!$H$199,VLOOKUP('Tablas Sheele'!A4,'Tablas Sheele'!$B$111:$R$198,3,FALSE),"")</f>
        <v/>
      </c>
      <c r="D47" s="4553"/>
      <c r="E47" s="597" t="str">
        <f>IF($C47="","",VLOOKUP('Tablas Sheele'!$A4,'Tablas Sheele'!$B$111:$R201,8,FALSE))</f>
        <v/>
      </c>
      <c r="F47" s="597" t="str">
        <f>IF($C47="","",VLOOKUP('Tablas Sheele'!$A4,'Tablas Sheele'!$B$111:$R201,9,FALSE))</f>
        <v/>
      </c>
      <c r="G47" s="469" t="str">
        <f>IF($C47="","",VLOOKUP('Tablas Sheele'!$A4,'Tablas Sheele'!$B$111:$R201,10,FALSE))</f>
        <v/>
      </c>
      <c r="H47" s="4520" t="str">
        <f>IF($C47="","",VLOOKUP('Tablas Sheele'!$A4,'Tablas Sheele'!$B$111:$R201,11,FALSE))</f>
        <v/>
      </c>
      <c r="I47" s="4521"/>
      <c r="J47" s="4521"/>
      <c r="K47" s="4521"/>
      <c r="L47" s="4521"/>
      <c r="M47" s="4521"/>
      <c r="N47" s="4521"/>
      <c r="O47" s="4521"/>
      <c r="P47" s="4521"/>
      <c r="Q47" s="4521"/>
      <c r="R47" s="4521"/>
      <c r="S47" s="4522"/>
      <c r="T47" s="474"/>
      <c r="U47" s="3356"/>
      <c r="V47" s="3362" t="s">
        <v>1086</v>
      </c>
      <c r="W47" s="3362"/>
      <c r="X47" s="2038" t="str">
        <f>IF(HLOOKUP(Sheele!$D$5,'Tablas Sheele'!$C$29:$K$86,'Tablas Sheele'!B52,FALSE)=0,"",HLOOKUP(Sheele!$D$5,'Tablas Sheele'!$C$29:$K$86,'Tablas Sheele'!B52,FALSE))</f>
        <v/>
      </c>
      <c r="Y47" s="2241"/>
      <c r="Z47" s="610" t="str">
        <f>IF(X47="","-",X47+IF('Tablas Sheele'!F$119&gt;0,40+20*('Tablas Sheele'!F$119-1),0)+10*Y47)</f>
        <v>-</v>
      </c>
      <c r="AA47" s="3005"/>
      <c r="AB47" s="3002"/>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52" t="str">
        <f>IF(COUNTA($C$43:C47)&lt;='Tablas Sheele'!$H$199,VLOOKUP('Tablas Sheele'!A5,'Tablas Sheele'!$B$111:$R$198,3,FALSE),"")</f>
        <v/>
      </c>
      <c r="D48" s="4553"/>
      <c r="E48" s="597" t="str">
        <f>IF($C48="","",VLOOKUP('Tablas Sheele'!$A5,'Tablas Sheele'!$B$111:$R202,8,FALSE))</f>
        <v/>
      </c>
      <c r="F48" s="597" t="str">
        <f>IF($C48="","",VLOOKUP('Tablas Sheele'!$A5,'Tablas Sheele'!$B$111:$R202,9,FALSE))</f>
        <v/>
      </c>
      <c r="G48" s="469" t="str">
        <f>IF($C48="","",VLOOKUP('Tablas Sheele'!$A5,'Tablas Sheele'!$B$111:$R202,10,FALSE))</f>
        <v/>
      </c>
      <c r="H48" s="4520" t="str">
        <f>IF($C48="","",VLOOKUP('Tablas Sheele'!$A5,'Tablas Sheele'!$B$111:$R202,11,FALSE))</f>
        <v/>
      </c>
      <c r="I48" s="4521"/>
      <c r="J48" s="4521"/>
      <c r="K48" s="4521"/>
      <c r="L48" s="4521"/>
      <c r="M48" s="4521"/>
      <c r="N48" s="4521"/>
      <c r="O48" s="4521"/>
      <c r="P48" s="4521"/>
      <c r="Q48" s="4521"/>
      <c r="R48" s="4521"/>
      <c r="S48" s="4522"/>
      <c r="T48" s="474"/>
      <c r="U48" s="3356"/>
      <c r="V48" s="3362" t="s">
        <v>1716</v>
      </c>
      <c r="W48" s="3362"/>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04"/>
      <c r="AB48" s="3002"/>
      <c r="AC48" s="2932"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52" t="str">
        <f>IF(COUNTA($C$43:C48)&lt;='Tablas Sheele'!$H$199,VLOOKUP('Tablas Sheele'!A6,'Tablas Sheele'!$B$111:$R$198,3,FALSE),"")</f>
        <v/>
      </c>
      <c r="D49" s="4553"/>
      <c r="E49" s="597" t="str">
        <f>IF($C49="","",VLOOKUP('Tablas Sheele'!$A6,'Tablas Sheele'!$B$111:$R203,8,FALSE))</f>
        <v/>
      </c>
      <c r="F49" s="597" t="str">
        <f>IF($C49="","",VLOOKUP('Tablas Sheele'!$A6,'Tablas Sheele'!$B$111:$R203,9,FALSE))</f>
        <v/>
      </c>
      <c r="G49" s="469" t="str">
        <f>IF($C49="","",VLOOKUP('Tablas Sheele'!$A6,'Tablas Sheele'!$B$111:$R203,10,FALSE))</f>
        <v/>
      </c>
      <c r="H49" s="4520" t="str">
        <f>IF($C49="","",VLOOKUP('Tablas Sheele'!$A6,'Tablas Sheele'!$B$111:$R203,11,FALSE))</f>
        <v/>
      </c>
      <c r="I49" s="4521"/>
      <c r="J49" s="4521"/>
      <c r="K49" s="4521"/>
      <c r="L49" s="4521"/>
      <c r="M49" s="4521"/>
      <c r="N49" s="4521"/>
      <c r="O49" s="4521"/>
      <c r="P49" s="4521"/>
      <c r="Q49" s="4521"/>
      <c r="R49" s="4521"/>
      <c r="S49" s="4522"/>
      <c r="T49" s="474"/>
      <c r="U49" s="3356"/>
      <c r="V49" s="3362" t="s">
        <v>1717</v>
      </c>
      <c r="W49" s="3362"/>
      <c r="X49" s="2038">
        <f>IF(HLOOKUP(Sheele!$D$5,'Tablas Sheele'!$C$29:$K$86,'Tablas Sheele'!B54,FALSE)=0,"",HLOOKUP(Sheele!$D$5,'Tablas Sheele'!$C$29:$K$86,'Tablas Sheele'!B54,FALSE))</f>
        <v>20</v>
      </c>
      <c r="Y49" s="2241"/>
      <c r="Z49" s="610">
        <f>IF(X49="","-",X49+IF('Tablas Sheele'!F$119&gt;0,40+20*('Tablas Sheele'!F$119-1),0)+10*Y49)</f>
        <v>20</v>
      </c>
      <c r="AA49" s="3004"/>
      <c r="AB49" s="3002"/>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52" t="str">
        <f>IF(COUNTA($C$43:C49)&lt;='Tablas Sheele'!$H$199,VLOOKUP('Tablas Sheele'!A7,'Tablas Sheele'!$B$111:$R$198,3,FALSE),"")</f>
        <v/>
      </c>
      <c r="D50" s="4553"/>
      <c r="E50" s="597" t="str">
        <f>IF($C50="","",VLOOKUP('Tablas Sheele'!$A7,'Tablas Sheele'!$B$111:$R204,8,FALSE))</f>
        <v/>
      </c>
      <c r="F50" s="597" t="str">
        <f>IF($C50="","",VLOOKUP('Tablas Sheele'!$A7,'Tablas Sheele'!$B$111:$R204,9,FALSE))</f>
        <v/>
      </c>
      <c r="G50" s="469" t="str">
        <f>IF($C50="","",VLOOKUP('Tablas Sheele'!$A7,'Tablas Sheele'!$B$111:$R204,10,FALSE))</f>
        <v/>
      </c>
      <c r="H50" s="4520" t="str">
        <f>IF($C50="","",VLOOKUP('Tablas Sheele'!$A7,'Tablas Sheele'!$B$111:$R204,11,FALSE))</f>
        <v/>
      </c>
      <c r="I50" s="4521"/>
      <c r="J50" s="4521"/>
      <c r="K50" s="4521"/>
      <c r="L50" s="4521"/>
      <c r="M50" s="4521"/>
      <c r="N50" s="4521"/>
      <c r="O50" s="4521"/>
      <c r="P50" s="4521"/>
      <c r="Q50" s="4521"/>
      <c r="R50" s="4521"/>
      <c r="S50" s="4522"/>
      <c r="T50" s="474"/>
      <c r="U50" s="3356"/>
      <c r="V50" s="3362" t="s">
        <v>1718</v>
      </c>
      <c r="W50" s="3362"/>
      <c r="X50" s="2038" t="str">
        <f>IF(HLOOKUP(Sheele!$D$5,'Tablas Sheele'!$C$29:$K$86,'Tablas Sheele'!B55,FALSE)=0,"",HLOOKUP(Sheele!$D$5,'Tablas Sheele'!$C$29:$K$86,'Tablas Sheele'!B55,FALSE))</f>
        <v/>
      </c>
      <c r="Y50" s="2241"/>
      <c r="Z50" s="610" t="str">
        <f>IF(X50="","-",X50+IF('Tablas Sheele'!F$119&gt;0,40+20*('Tablas Sheele'!F$119-1),0)+10*Y50)</f>
        <v>-</v>
      </c>
      <c r="AA50" s="3004"/>
      <c r="AB50" s="3002"/>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52" t="str">
        <f>IF(COUNTA($C$43:C50)&lt;='Tablas Sheele'!$H$199,VLOOKUP('Tablas Sheele'!A8,'Tablas Sheele'!$B$111:$R$198,3,FALSE),"")</f>
        <v/>
      </c>
      <c r="D51" s="4553"/>
      <c r="E51" s="597" t="str">
        <f>IF($C51="","",VLOOKUP('Tablas Sheele'!$A8,'Tablas Sheele'!$B$111:$R205,8,FALSE))</f>
        <v/>
      </c>
      <c r="F51" s="597" t="str">
        <f>IF($C51="","",VLOOKUP('Tablas Sheele'!$A8,'Tablas Sheele'!$B$111:$R205,9,FALSE))</f>
        <v/>
      </c>
      <c r="G51" s="469" t="str">
        <f>IF($C51="","",VLOOKUP('Tablas Sheele'!$A8,'Tablas Sheele'!$B$111:$R205,10,FALSE))</f>
        <v/>
      </c>
      <c r="H51" s="4520" t="str">
        <f>IF($C51="","",VLOOKUP('Tablas Sheele'!$A8,'Tablas Sheele'!$B$111:$R205,11,FALSE))</f>
        <v/>
      </c>
      <c r="I51" s="4521"/>
      <c r="J51" s="4521"/>
      <c r="K51" s="4521"/>
      <c r="L51" s="4521"/>
      <c r="M51" s="4521"/>
      <c r="N51" s="4521"/>
      <c r="O51" s="4521"/>
      <c r="P51" s="4521"/>
      <c r="Q51" s="4521"/>
      <c r="R51" s="4521"/>
      <c r="S51" s="4522"/>
      <c r="T51" s="474"/>
      <c r="U51" s="3356"/>
      <c r="V51" s="3362" t="s">
        <v>1719</v>
      </c>
      <c r="W51" s="3362"/>
      <c r="X51" s="2038" t="str">
        <f>IF(HLOOKUP(Sheele!$D$5,'Tablas Sheele'!$C$29:$K$86,'Tablas Sheele'!B56,FALSE)=0,"",HLOOKUP(Sheele!$D$5,'Tablas Sheele'!$C$29:$K$86,'Tablas Sheele'!B56,FALSE))</f>
        <v/>
      </c>
      <c r="Y51" s="2241"/>
      <c r="Z51" s="610" t="str">
        <f>IF(X51="","-",X51+IF('Tablas Sheele'!F$119&gt;0,40+20*('Tablas Sheele'!F$119-1),0)+10*Y51)</f>
        <v>-</v>
      </c>
      <c r="AA51" s="3004"/>
      <c r="AB51" s="3002"/>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52" t="str">
        <f>IF(COUNTA($C$43:C51)&lt;='Tablas Sheele'!$H$199,VLOOKUP('Tablas Sheele'!A9,'Tablas Sheele'!$B$111:$R$198,3,FALSE),"")</f>
        <v/>
      </c>
      <c r="D52" s="4553"/>
      <c r="E52" s="597" t="str">
        <f>IF($C52="","",VLOOKUP('Tablas Sheele'!$A9,'Tablas Sheele'!$B$111:$R206,8,FALSE))</f>
        <v/>
      </c>
      <c r="F52" s="597" t="str">
        <f>IF($C52="","",VLOOKUP('Tablas Sheele'!$A9,'Tablas Sheele'!$B$111:$R206,9,FALSE))</f>
        <v/>
      </c>
      <c r="G52" s="469" t="str">
        <f>IF($C52="","",VLOOKUP('Tablas Sheele'!$A9,'Tablas Sheele'!$B$111:$R206,10,FALSE))</f>
        <v/>
      </c>
      <c r="H52" s="4520" t="str">
        <f>IF($C52="","",VLOOKUP('Tablas Sheele'!$A9,'Tablas Sheele'!$B$111:$R206,11,FALSE))</f>
        <v/>
      </c>
      <c r="I52" s="4521"/>
      <c r="J52" s="4521"/>
      <c r="K52" s="4521"/>
      <c r="L52" s="4521"/>
      <c r="M52" s="4521"/>
      <c r="N52" s="4521"/>
      <c r="O52" s="4521"/>
      <c r="P52" s="4521"/>
      <c r="Q52" s="4521"/>
      <c r="R52" s="4521"/>
      <c r="S52" s="4522"/>
      <c r="T52" s="474"/>
      <c r="U52" s="3356"/>
      <c r="V52" s="3362" t="s">
        <v>1720</v>
      </c>
      <c r="W52" s="3362"/>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04"/>
      <c r="AB52" s="3002"/>
      <c r="AC52" s="2932"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35" t="str">
        <f>IF(COUNTA($C$43:C52)&lt;='Tablas Sheele'!$H$199,VLOOKUP('Tablas Sheele'!A10,'Tablas Sheele'!$B$111:$R$198,3,FALSE),"")</f>
        <v/>
      </c>
      <c r="D53" s="4736"/>
      <c r="E53" s="597" t="str">
        <f>IF($C53="","",VLOOKUP('Tablas Sheele'!$A10,'Tablas Sheele'!$B$111:$R207,8,FALSE))</f>
        <v/>
      </c>
      <c r="F53" s="597" t="str">
        <f>IF($C53="","",VLOOKUP('Tablas Sheele'!$A10,'Tablas Sheele'!$B$111:$R207,9,FALSE))</f>
        <v/>
      </c>
      <c r="G53" s="469" t="str">
        <f>IF($C53="","",VLOOKUP('Tablas Sheele'!$A10,'Tablas Sheele'!$B$111:$R207,10,FALSE))</f>
        <v/>
      </c>
      <c r="H53" s="4737" t="str">
        <f>IF($C53="","",VLOOKUP('Tablas Sheele'!$A10,'Tablas Sheele'!$B$111:$R207,11,FALSE))</f>
        <v/>
      </c>
      <c r="I53" s="4738"/>
      <c r="J53" s="4738"/>
      <c r="K53" s="4738"/>
      <c r="L53" s="4738"/>
      <c r="M53" s="4738"/>
      <c r="N53" s="4738"/>
      <c r="O53" s="4738"/>
      <c r="P53" s="4738"/>
      <c r="Q53" s="4738"/>
      <c r="R53" s="4738"/>
      <c r="S53" s="4739"/>
      <c r="T53" s="474"/>
      <c r="U53" s="3356"/>
      <c r="V53" s="4523" t="s">
        <v>1721</v>
      </c>
      <c r="W53" s="4524"/>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04"/>
      <c r="AB53" s="3002"/>
      <c r="AC53" s="2932"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50" t="s">
        <v>2988</v>
      </c>
      <c r="D54" s="4751"/>
      <c r="E54" s="4538" t="s">
        <v>1824</v>
      </c>
      <c r="F54" s="4539"/>
      <c r="G54" s="4539"/>
      <c r="H54" s="4539"/>
      <c r="I54" s="4539"/>
      <c r="J54" s="4539"/>
      <c r="K54" s="4539"/>
      <c r="L54" s="4539"/>
      <c r="M54" s="4539"/>
      <c r="N54" s="4539"/>
      <c r="O54" s="4539"/>
      <c r="P54" s="4539"/>
      <c r="Q54" s="4539"/>
      <c r="R54" s="4539"/>
      <c r="S54" s="4540"/>
      <c r="T54" s="474"/>
      <c r="U54" s="4525" t="s">
        <v>1722</v>
      </c>
      <c r="V54" s="3362" t="s">
        <v>1723</v>
      </c>
      <c r="W54" s="3362"/>
      <c r="X54" s="2038" t="str">
        <f>IF(HLOOKUP(Sheele!$D$5,'Tablas Sheele'!$C$29:$K$86,'Tablas Sheele'!B59,FALSE)=0,"",HLOOKUP(Sheele!$D$5,'Tablas Sheele'!$C$29:$K$86,'Tablas Sheele'!B59,FALSE))</f>
        <v/>
      </c>
      <c r="Y54" s="2240"/>
      <c r="Z54" s="610" t="str">
        <f>IF(X54="","-",X54+IF('Tablas Sheele'!F$119&gt;0,40+20*('Tablas Sheele'!F$119-1),0)+10*Y54)</f>
        <v>-</v>
      </c>
      <c r="AA54" s="3004"/>
      <c r="AB54" s="3002"/>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40" t="str">
        <f>IF(COUNTA($C$54:C54)&lt;='Tablas Sheele'!$H$110,VLOOKUP('Tablas Sheele'!A1,'Tablas Sheele'!$B$91:$D$109,3,FALSE),"")</f>
        <v/>
      </c>
      <c r="D55" s="4741"/>
      <c r="E55" s="4531" t="str">
        <f>IF($C55="","",VLOOKUP(C55,'Tablas Sheele'!D92:Q109,9,FALSE))</f>
        <v/>
      </c>
      <c r="F55" s="4531"/>
      <c r="G55" s="4531"/>
      <c r="H55" s="4531"/>
      <c r="I55" s="4531"/>
      <c r="J55" s="4531"/>
      <c r="K55" s="4531"/>
      <c r="L55" s="4531"/>
      <c r="M55" s="4531"/>
      <c r="N55" s="4531"/>
      <c r="O55" s="4531"/>
      <c r="P55" s="4531"/>
      <c r="Q55" s="4531"/>
      <c r="R55" s="4531"/>
      <c r="S55" s="4532"/>
      <c r="T55" s="474"/>
      <c r="U55" s="3356"/>
      <c r="V55" s="3362" t="s">
        <v>1724</v>
      </c>
      <c r="W55" s="3362"/>
      <c r="X55" s="2038">
        <f>IF(HLOOKUP(Sheele!$D$5,'Tablas Sheele'!$C$29:$K$86,'Tablas Sheele'!B60,FALSE)=0,"",HLOOKUP(Sheele!$D$5,'Tablas Sheele'!$C$29:$K$86,'Tablas Sheele'!B60,FALSE))</f>
        <v>60</v>
      </c>
      <c r="Y55" s="2241"/>
      <c r="Z55" s="610">
        <f>IF(X55="","-",X55+IF('Tablas Sheele'!F$119&gt;0,40+20*('Tablas Sheele'!F$119-1),0)+10*Y55)</f>
        <v>60</v>
      </c>
      <c r="AA55" s="3004"/>
      <c r="AB55" s="3002"/>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42" t="str">
        <f>IF(COUNTA($C$54:C55)&lt;='Tablas Sheele'!$H$110,VLOOKUP('Tablas Sheele'!A2,'Tablas Sheele'!$B$91:$D$109,3,FALSE),"")</f>
        <v/>
      </c>
      <c r="D56" s="4743"/>
      <c r="E56" s="4520" t="str">
        <f>IF($C56="","",VLOOKUP(C56,'Tablas Sheele'!D93:Q110,9,FALSE))</f>
        <v/>
      </c>
      <c r="F56" s="4521"/>
      <c r="G56" s="4521"/>
      <c r="H56" s="4521"/>
      <c r="I56" s="4521"/>
      <c r="J56" s="4521"/>
      <c r="K56" s="4521"/>
      <c r="L56" s="4521"/>
      <c r="M56" s="4521"/>
      <c r="N56" s="4521"/>
      <c r="O56" s="4521"/>
      <c r="P56" s="4521"/>
      <c r="Q56" s="4521"/>
      <c r="R56" s="4521"/>
      <c r="S56" s="4522"/>
      <c r="T56" s="474"/>
      <c r="U56" s="3357"/>
      <c r="V56" s="4523" t="s">
        <v>1727</v>
      </c>
      <c r="W56" s="4524"/>
      <c r="X56" s="2248">
        <f>IF(HLOOKUP(Sheele!$D$5,'Tablas Sheele'!$C$29:$K$86,'Tablas Sheele'!B61,FALSE)=0,"",HLOOKUP(Sheele!$D$5,'Tablas Sheele'!$C$29:$K$86,'Tablas Sheele'!B61,FALSE))</f>
        <v>40</v>
      </c>
      <c r="Y56" s="2242"/>
      <c r="Z56" s="2249">
        <f>IF(X56="","-",X56+IF('Tablas Sheele'!F$119&gt;0,40+20*('Tablas Sheele'!F$119-1),0)+10*Y56)</f>
        <v>40</v>
      </c>
      <c r="AA56" s="3004"/>
      <c r="AB56" s="3002"/>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42" t="str">
        <f>IF(COUNTA($C$54:C56)&lt;='Tablas Sheele'!$H$110,VLOOKUP('Tablas Sheele'!A3,'Tablas Sheele'!$B$91:$D$109,3,FALSE),"")</f>
        <v/>
      </c>
      <c r="D57" s="4743"/>
      <c r="E57" s="4520" t="str">
        <f>IF($C57="","",VLOOKUP(C57,'Tablas Sheele'!D94:Q111,9,FALSE))</f>
        <v/>
      </c>
      <c r="F57" s="4521"/>
      <c r="G57" s="4521"/>
      <c r="H57" s="4521"/>
      <c r="I57" s="4521"/>
      <c r="J57" s="4521"/>
      <c r="K57" s="4521"/>
      <c r="L57" s="4521"/>
      <c r="M57" s="4521"/>
      <c r="N57" s="4521"/>
      <c r="O57" s="4521"/>
      <c r="P57" s="4521"/>
      <c r="Q57" s="4521"/>
      <c r="R57" s="4521"/>
      <c r="S57" s="4522"/>
      <c r="T57" s="474"/>
      <c r="U57" s="3356" t="s">
        <v>1730</v>
      </c>
      <c r="V57" s="3362" t="s">
        <v>1731</v>
      </c>
      <c r="W57" s="3362"/>
      <c r="X57" s="2038">
        <f>IF(HLOOKUP(Sheele!$D$5,'Tablas Sheele'!$C$29:$K$86,'Tablas Sheele'!B62,FALSE)=0,"",HLOOKUP(Sheele!$D$5,'Tablas Sheele'!$C$29:$K$86,'Tablas Sheele'!B62,FALSE))</f>
        <v>20</v>
      </c>
      <c r="Y57" s="2244"/>
      <c r="Z57" s="610">
        <f>IF(X57="","-",X57+IF('Tablas Sheele'!F$119&gt;0,40+20*('Tablas Sheele'!F$119-1),0)+10*Y57)</f>
        <v>20</v>
      </c>
      <c r="AA57" s="3004"/>
      <c r="AB57" s="3002"/>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42" t="str">
        <f>IF(COUNTA($C$54:C57)&lt;='Tablas Sheele'!$H$110,VLOOKUP('Tablas Sheele'!A4,'Tablas Sheele'!$B$91:$D$109,3,FALSE),"")</f>
        <v/>
      </c>
      <c r="D58" s="4743"/>
      <c r="E58" s="4520" t="str">
        <f>IF($C58="","",VLOOKUP(C58,'Tablas Sheele'!D95:Q112,9,FALSE))</f>
        <v/>
      </c>
      <c r="F58" s="4521"/>
      <c r="G58" s="4521"/>
      <c r="H58" s="4521"/>
      <c r="I58" s="4521"/>
      <c r="J58" s="4521"/>
      <c r="K58" s="4521"/>
      <c r="L58" s="4521"/>
      <c r="M58" s="4521"/>
      <c r="N58" s="4521"/>
      <c r="O58" s="4521"/>
      <c r="P58" s="4521"/>
      <c r="Q58" s="4521"/>
      <c r="R58" s="4521"/>
      <c r="S58" s="4522"/>
      <c r="T58" s="474"/>
      <c r="U58" s="3356"/>
      <c r="V58" s="3362" t="s">
        <v>1733</v>
      </c>
      <c r="W58" s="3362"/>
      <c r="X58" s="2038" t="str">
        <f>IF(HLOOKUP(Sheele!$D$5,'Tablas Sheele'!$C$29:$K$86,'Tablas Sheele'!B63,FALSE)=0,"",HLOOKUP(Sheele!$D$5,'Tablas Sheele'!$C$29:$K$86,'Tablas Sheele'!B63,FALSE))</f>
        <v/>
      </c>
      <c r="Y58" s="2241"/>
      <c r="Z58" s="610" t="str">
        <f>IF(X58="","-",X58+IF('Tablas Sheele'!F$119&gt;0,40+20*('Tablas Sheele'!F$119-1),0)+10*Y58)</f>
        <v>-</v>
      </c>
      <c r="AA58" s="3004"/>
      <c r="AB58" s="3002"/>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42" t="str">
        <f>IF(COUNTA($C$54:C58)&lt;='Tablas Sheele'!$H$110,VLOOKUP('Tablas Sheele'!A5,'Tablas Sheele'!$B$91:$D$109,3,FALSE),"")</f>
        <v/>
      </c>
      <c r="D59" s="4743"/>
      <c r="E59" s="4520" t="str">
        <f>IF($C59="","",VLOOKUP(C59,'Tablas Sheele'!D96:Q113,9,FALSE))</f>
        <v/>
      </c>
      <c r="F59" s="4521"/>
      <c r="G59" s="4521"/>
      <c r="H59" s="4521"/>
      <c r="I59" s="4521"/>
      <c r="J59" s="4521"/>
      <c r="K59" s="4521"/>
      <c r="L59" s="4521"/>
      <c r="M59" s="4521"/>
      <c r="N59" s="4521"/>
      <c r="O59" s="4521"/>
      <c r="P59" s="4521"/>
      <c r="Q59" s="4521"/>
      <c r="R59" s="4521"/>
      <c r="S59" s="4522"/>
      <c r="T59" s="474"/>
      <c r="U59" s="3356"/>
      <c r="V59" s="3362" t="s">
        <v>1735</v>
      </c>
      <c r="W59" s="3362"/>
      <c r="X59" s="2038" t="str">
        <f>IF(HLOOKUP(Sheele!$D$5,'Tablas Sheele'!$C$29:$K$86,'Tablas Sheele'!B64,FALSE)=0,"",HLOOKUP(Sheele!$D$5,'Tablas Sheele'!$C$29:$K$86,'Tablas Sheele'!B64,FALSE))</f>
        <v/>
      </c>
      <c r="Y59" s="2241"/>
      <c r="Z59" s="610" t="str">
        <f>IF(X59="","-",X59+IF('Tablas Sheele'!F$119&gt;0,40+20*('Tablas Sheele'!F$119-1),0)+10*Y59+IF('Tablas Sheele'!F181&gt;0,100,0))</f>
        <v>-</v>
      </c>
      <c r="AA59" s="3004"/>
      <c r="AB59" s="3002"/>
      <c r="AC59" s="2932"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42" t="str">
        <f>IF(COUNTA($C$54:C59)&lt;='Tablas Sheele'!$H$110,VLOOKUP('Tablas Sheele'!A6,'Tablas Sheele'!$B$91:$D$109,3,FALSE),"")</f>
        <v/>
      </c>
      <c r="D60" s="4743"/>
      <c r="E60" s="4520" t="str">
        <f>IF($C60="","",VLOOKUP(C60,'Tablas Sheele'!D97:Q114,9,FALSE))</f>
        <v/>
      </c>
      <c r="F60" s="4521"/>
      <c r="G60" s="4521"/>
      <c r="H60" s="4521"/>
      <c r="I60" s="4521"/>
      <c r="J60" s="4521"/>
      <c r="K60" s="4521"/>
      <c r="L60" s="4521"/>
      <c r="M60" s="4521"/>
      <c r="N60" s="4521"/>
      <c r="O60" s="4521"/>
      <c r="P60" s="4521"/>
      <c r="Q60" s="4521"/>
      <c r="R60" s="4521"/>
      <c r="S60" s="4522"/>
      <c r="T60" s="474"/>
      <c r="U60" s="3356"/>
      <c r="V60" s="3362" t="s">
        <v>1737</v>
      </c>
      <c r="W60" s="3362"/>
      <c r="X60" s="2038" t="str">
        <f>IF(HLOOKUP(Sheele!$D$5,'Tablas Sheele'!$C$29:$K$86,'Tablas Sheele'!B65,FALSE)=0,"",HLOOKUP(Sheele!$D$5,'Tablas Sheele'!$C$29:$K$86,'Tablas Sheele'!B65,FALSE))</f>
        <v/>
      </c>
      <c r="Y60" s="2241"/>
      <c r="Z60" s="610" t="str">
        <f>IF(X60="","-",X60+IF('Tablas Sheele'!F$119&gt;0,40+20*('Tablas Sheele'!F$119-1),0)+10*Y60)</f>
        <v>-</v>
      </c>
      <c r="AA60" s="3004"/>
      <c r="AB60" s="3002"/>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42" t="str">
        <f>IF(COUNTA($C$54:C60)&lt;='Tablas Sheele'!$H$110,VLOOKUP('Tablas Sheele'!A7,'Tablas Sheele'!$B$91:$D$109,3,FALSE),"")</f>
        <v/>
      </c>
      <c r="D61" s="4743"/>
      <c r="E61" s="4520" t="str">
        <f>IF($C61="","",VLOOKUP(C61,'Tablas Sheele'!D98:Q115,9,FALSE))</f>
        <v/>
      </c>
      <c r="F61" s="4521"/>
      <c r="G61" s="4521"/>
      <c r="H61" s="4521"/>
      <c r="I61" s="4521"/>
      <c r="J61" s="4521"/>
      <c r="K61" s="4521"/>
      <c r="L61" s="4521"/>
      <c r="M61" s="4521"/>
      <c r="N61" s="4521"/>
      <c r="O61" s="4521"/>
      <c r="P61" s="4521"/>
      <c r="Q61" s="4521"/>
      <c r="R61" s="4521"/>
      <c r="S61" s="4522"/>
      <c r="T61" s="474"/>
      <c r="U61" s="3356"/>
      <c r="V61" s="3362" t="s">
        <v>1739</v>
      </c>
      <c r="W61" s="3362"/>
      <c r="X61" s="2038" t="str">
        <f>IF(HLOOKUP(Sheele!$D$5,'Tablas Sheele'!$C$29:$K$86,'Tablas Sheele'!B66,FALSE)=0,"",HLOOKUP(Sheele!$D$5,'Tablas Sheele'!$C$29:$K$86,'Tablas Sheele'!B66,FALSE))</f>
        <v/>
      </c>
      <c r="Y61" s="2241"/>
      <c r="Z61" s="610" t="str">
        <f>IF(X61="","-",X61+IF('Tablas Sheele'!F$119&gt;0,40+20*('Tablas Sheele'!F$119-1),0)+10*Y61+IF('Tablas Sheele'!F183&gt;0,100,0))</f>
        <v>-</v>
      </c>
      <c r="AA61" s="3004"/>
      <c r="AB61" s="3002"/>
      <c r="AC61" s="2932"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42" t="str">
        <f>IF(COUNTA($C$54:C61)&lt;='Tablas Sheele'!$H$110,VLOOKUP('Tablas Sheele'!A8,'Tablas Sheele'!$B$91:$D$109,3,FALSE),"")</f>
        <v/>
      </c>
      <c r="D62" s="4743"/>
      <c r="E62" s="4520" t="str">
        <f>IF($C62="","",VLOOKUP(C62,'Tablas Sheele'!D99:Q116,9,FALSE))</f>
        <v/>
      </c>
      <c r="F62" s="4521"/>
      <c r="G62" s="4521"/>
      <c r="H62" s="4521"/>
      <c r="I62" s="4521"/>
      <c r="J62" s="4521"/>
      <c r="K62" s="4521"/>
      <c r="L62" s="4521"/>
      <c r="M62" s="4521"/>
      <c r="N62" s="4521"/>
      <c r="O62" s="4521"/>
      <c r="P62" s="4521"/>
      <c r="Q62" s="4521"/>
      <c r="R62" s="4521"/>
      <c r="S62" s="4522"/>
      <c r="T62" s="474"/>
      <c r="U62" s="3356"/>
      <c r="V62" s="3362" t="s">
        <v>1741</v>
      </c>
      <c r="W62" s="3362"/>
      <c r="X62" s="2038" t="str">
        <f>IF(HLOOKUP(Sheele!$D$5,'Tablas Sheele'!$C$29:$K$86,'Tablas Sheele'!B67,FALSE)=0,"",HLOOKUP(Sheele!$D$5,'Tablas Sheele'!$C$29:$K$86,'Tablas Sheele'!B67,FALSE))</f>
        <v/>
      </c>
      <c r="Y62" s="2241"/>
      <c r="Z62" s="610" t="str">
        <f>IF(X62="","-",X62+IF('Tablas Sheele'!F$119&gt;0,40+20*('Tablas Sheele'!F$119-1),0)+10*Y62)</f>
        <v>-</v>
      </c>
      <c r="AA62" s="3004"/>
      <c r="AB62" s="3002"/>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42" t="str">
        <f>IF(COUNTA($C$54:C62)&lt;='Tablas Sheele'!$H$110,VLOOKUP('Tablas Sheele'!A9,'Tablas Sheele'!$B$91:$D$109,3,FALSE),"")</f>
        <v/>
      </c>
      <c r="D63" s="4743"/>
      <c r="E63" s="4520" t="str">
        <f>IF($C63="","",VLOOKUP(C63,'Tablas Sheele'!D100:Q117,9,FALSE))</f>
        <v/>
      </c>
      <c r="F63" s="4521"/>
      <c r="G63" s="4521"/>
      <c r="H63" s="4521"/>
      <c r="I63" s="4521"/>
      <c r="J63" s="4521"/>
      <c r="K63" s="4521"/>
      <c r="L63" s="4521"/>
      <c r="M63" s="4521"/>
      <c r="N63" s="4521"/>
      <c r="O63" s="4521"/>
      <c r="P63" s="4521"/>
      <c r="Q63" s="4521"/>
      <c r="R63" s="4521"/>
      <c r="S63" s="4522"/>
      <c r="T63" s="474"/>
      <c r="U63" s="3356"/>
      <c r="V63" s="4523" t="s">
        <v>1742</v>
      </c>
      <c r="W63" s="4524"/>
      <c r="X63" s="2248" t="str">
        <f>IF(HLOOKUP(Sheele!$D$5,'Tablas Sheele'!$C$29:$K$86,'Tablas Sheele'!B68,FALSE)=0,"",HLOOKUP(Sheele!$D$5,'Tablas Sheele'!$C$29:$K$86,'Tablas Sheele'!B68,FALSE))</f>
        <v/>
      </c>
      <c r="Y63" s="2243"/>
      <c r="Z63" s="2249" t="str">
        <f>IF(X63="","-",X63+IF('Tablas Sheele'!F$119&gt;0,40+20*('Tablas Sheele'!F$119-1),0)+10*Y63)</f>
        <v>-</v>
      </c>
      <c r="AA63" s="3004"/>
      <c r="AB63" s="3002"/>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33" t="str">
        <f>IF(COUNTA($C$54:C63)&lt;='Tablas Sheele'!$H$110,VLOOKUP('Tablas Sheele'!A10,'Tablas Sheele'!$B$91:$D$109,3,FALSE),"")</f>
        <v/>
      </c>
      <c r="D64" s="4734"/>
      <c r="E64" s="4533" t="str">
        <f>IF($C64="","",VLOOKUP(C64,'Tablas Sheele'!D101:Q118,9,FALSE))</f>
        <v/>
      </c>
      <c r="F64" s="4534"/>
      <c r="G64" s="4534"/>
      <c r="H64" s="4534"/>
      <c r="I64" s="4534"/>
      <c r="J64" s="4534"/>
      <c r="K64" s="4534"/>
      <c r="L64" s="4534"/>
      <c r="M64" s="4534"/>
      <c r="N64" s="4534"/>
      <c r="O64" s="4534"/>
      <c r="P64" s="4534"/>
      <c r="Q64" s="4534"/>
      <c r="R64" s="4534"/>
      <c r="S64" s="4535"/>
      <c r="T64" s="474"/>
      <c r="U64" s="4525" t="s">
        <v>1743</v>
      </c>
      <c r="V64" s="3362" t="s">
        <v>1744</v>
      </c>
      <c r="W64" s="3362"/>
      <c r="X64" s="2038" t="str">
        <f>IF(HLOOKUP(Sheele!$D$5,'Tablas Sheele'!$C$29:$K$86,'Tablas Sheele'!B69,FALSE)=0,"",HLOOKUP(Sheele!$D$5,'Tablas Sheele'!$C$29:$K$86,'Tablas Sheele'!B69,FALSE))</f>
        <v/>
      </c>
      <c r="Y64" s="2240"/>
      <c r="Z64" s="610" t="str">
        <f>IF(X64="","-",X64+IF('Tablas Sheele'!F$119&gt;0,40+20*('Tablas Sheele'!F$119-1),0)+10*Y64)</f>
        <v>-</v>
      </c>
      <c r="AA64" s="3004"/>
      <c r="AB64" s="3002"/>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56"/>
      <c r="V65" s="3362" t="s">
        <v>1745</v>
      </c>
      <c r="W65" s="3362"/>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04"/>
      <c r="AB65" s="3002"/>
      <c r="AC65" s="2932"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21" t="s">
        <v>1749</v>
      </c>
      <c r="D66" s="4722"/>
      <c r="E66" s="4722"/>
      <c r="F66" s="4722"/>
      <c r="G66" s="4722"/>
      <c r="H66" s="4722"/>
      <c r="I66" s="4722"/>
      <c r="J66" s="4722"/>
      <c r="K66" s="4722"/>
      <c r="L66" s="4722"/>
      <c r="M66" s="4722"/>
      <c r="N66" s="4722"/>
      <c r="O66" s="4722"/>
      <c r="P66" s="4722"/>
      <c r="Q66" s="4722"/>
      <c r="R66" s="4722"/>
      <c r="S66" s="4723"/>
      <c r="T66" s="474"/>
      <c r="U66" s="3356"/>
      <c r="V66" s="3362" t="s">
        <v>1746</v>
      </c>
      <c r="W66" s="3362"/>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04"/>
      <c r="AB66" s="3002"/>
      <c r="AC66" s="2932"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24"/>
      <c r="D67" s="4725"/>
      <c r="E67" s="4725"/>
      <c r="F67" s="4725"/>
      <c r="G67" s="4725"/>
      <c r="H67" s="4725"/>
      <c r="I67" s="4725"/>
      <c r="J67" s="4725"/>
      <c r="K67" s="4725"/>
      <c r="L67" s="4725"/>
      <c r="M67" s="4725"/>
      <c r="N67" s="4725"/>
      <c r="O67" s="4725"/>
      <c r="P67" s="4725"/>
      <c r="Q67" s="4725"/>
      <c r="R67" s="4725"/>
      <c r="S67" s="4726"/>
      <c r="T67" s="474"/>
      <c r="U67" s="3356"/>
      <c r="V67" s="3362" t="s">
        <v>1080</v>
      </c>
      <c r="W67" s="3362"/>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04"/>
      <c r="AB67" s="3002"/>
      <c r="AC67" s="2932"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24"/>
      <c r="D68" s="4725"/>
      <c r="E68" s="4725"/>
      <c r="F68" s="4725"/>
      <c r="G68" s="4725"/>
      <c r="H68" s="4725"/>
      <c r="I68" s="4725"/>
      <c r="J68" s="4725"/>
      <c r="K68" s="4725"/>
      <c r="L68" s="4725"/>
      <c r="M68" s="4725"/>
      <c r="N68" s="4725"/>
      <c r="O68" s="4725"/>
      <c r="P68" s="4725"/>
      <c r="Q68" s="4725"/>
      <c r="R68" s="4725"/>
      <c r="S68" s="4726"/>
      <c r="T68" s="474"/>
      <c r="U68" s="3356"/>
      <c r="V68" s="3362" t="s">
        <v>1081</v>
      </c>
      <c r="W68" s="3362"/>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04"/>
      <c r="AB68" s="3002"/>
      <c r="AC68" s="2932"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24"/>
      <c r="D69" s="4725"/>
      <c r="E69" s="4725"/>
      <c r="F69" s="4725"/>
      <c r="G69" s="4725"/>
      <c r="H69" s="4725"/>
      <c r="I69" s="4725"/>
      <c r="J69" s="4725"/>
      <c r="K69" s="4725"/>
      <c r="L69" s="4725"/>
      <c r="M69" s="4725"/>
      <c r="N69" s="4725"/>
      <c r="O69" s="4725"/>
      <c r="P69" s="4725"/>
      <c r="Q69" s="4725"/>
      <c r="R69" s="4725"/>
      <c r="S69" s="4726"/>
      <c r="T69" s="474"/>
      <c r="U69" s="3356"/>
      <c r="V69" s="3362" t="s">
        <v>1082</v>
      </c>
      <c r="W69" s="3362"/>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04"/>
      <c r="AB69" s="3002"/>
      <c r="AC69" s="2932"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24"/>
      <c r="D70" s="4725"/>
      <c r="E70" s="4725"/>
      <c r="F70" s="4725"/>
      <c r="G70" s="4725"/>
      <c r="H70" s="4725"/>
      <c r="I70" s="4725"/>
      <c r="J70" s="4725"/>
      <c r="K70" s="4725"/>
      <c r="L70" s="4725"/>
      <c r="M70" s="4725"/>
      <c r="N70" s="4725"/>
      <c r="O70" s="4725"/>
      <c r="P70" s="4725"/>
      <c r="Q70" s="4725"/>
      <c r="R70" s="4725"/>
      <c r="S70" s="4726"/>
      <c r="T70" s="474"/>
      <c r="U70" s="3356"/>
      <c r="V70" s="3362" t="s">
        <v>1747</v>
      </c>
      <c r="W70" s="3362"/>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04"/>
      <c r="AB70" s="3002"/>
      <c r="AC70" s="2932"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24"/>
      <c r="D71" s="4725"/>
      <c r="E71" s="4725"/>
      <c r="F71" s="4725"/>
      <c r="G71" s="4725"/>
      <c r="H71" s="4725"/>
      <c r="I71" s="4725"/>
      <c r="J71" s="4725"/>
      <c r="K71" s="4725"/>
      <c r="L71" s="4725"/>
      <c r="M71" s="4725"/>
      <c r="N71" s="4725"/>
      <c r="O71" s="4725"/>
      <c r="P71" s="4725"/>
      <c r="Q71" s="4725"/>
      <c r="R71" s="4725"/>
      <c r="S71" s="4726"/>
      <c r="T71" s="474"/>
      <c r="U71" s="3356"/>
      <c r="V71" s="3362" t="s">
        <v>1750</v>
      </c>
      <c r="W71" s="3362"/>
      <c r="X71" s="2038" t="str">
        <f>IF(HLOOKUP(Sheele!$D$5,'Tablas Sheele'!$C$29:$K$86,'Tablas Sheele'!B76,FALSE)=0,"",HLOOKUP(Sheele!$D$5,'Tablas Sheele'!$C$29:$K$86,'Tablas Sheele'!B76,FALSE))</f>
        <v/>
      </c>
      <c r="Y71" s="2241"/>
      <c r="Z71" s="610" t="str">
        <f>IF(X71="","-",X71+IF('Tablas Sheele'!F$119&gt;0,40+20*('Tablas Sheele'!F$119-1),0)+10*Y71)</f>
        <v>-</v>
      </c>
      <c r="AA71" s="3005"/>
      <c r="AB71" s="3002"/>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24"/>
      <c r="D72" s="4725"/>
      <c r="E72" s="4725"/>
      <c r="F72" s="4725"/>
      <c r="G72" s="4725"/>
      <c r="H72" s="4725"/>
      <c r="I72" s="4725"/>
      <c r="J72" s="4725"/>
      <c r="K72" s="4725"/>
      <c r="L72" s="4725"/>
      <c r="M72" s="4725"/>
      <c r="N72" s="4725"/>
      <c r="O72" s="4725"/>
      <c r="P72" s="4725"/>
      <c r="Q72" s="4725"/>
      <c r="R72" s="4725"/>
      <c r="S72" s="4726"/>
      <c r="T72" s="474"/>
      <c r="U72" s="3356"/>
      <c r="V72" s="3362" t="s">
        <v>6949</v>
      </c>
      <c r="W72" s="3362"/>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04"/>
      <c r="AB72" s="3002"/>
      <c r="AC72" s="2932"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24"/>
      <c r="D73" s="4725"/>
      <c r="E73" s="4725"/>
      <c r="F73" s="4725"/>
      <c r="G73" s="4725"/>
      <c r="H73" s="4725"/>
      <c r="I73" s="4725"/>
      <c r="J73" s="4725"/>
      <c r="K73" s="4725"/>
      <c r="L73" s="4725"/>
      <c r="M73" s="4725"/>
      <c r="N73" s="4725"/>
      <c r="O73" s="4725"/>
      <c r="P73" s="4725"/>
      <c r="Q73" s="4725"/>
      <c r="R73" s="4725"/>
      <c r="S73" s="4726"/>
      <c r="T73" s="474"/>
      <c r="U73" s="3356"/>
      <c r="V73" s="3362" t="s">
        <v>6950</v>
      </c>
      <c r="W73" s="3362"/>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04"/>
      <c r="AB73" s="3002"/>
      <c r="AC73" s="2932"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24"/>
      <c r="D74" s="4725"/>
      <c r="E74" s="4725"/>
      <c r="F74" s="4725"/>
      <c r="G74" s="4725"/>
      <c r="H74" s="4725"/>
      <c r="I74" s="4725"/>
      <c r="J74" s="4725"/>
      <c r="K74" s="4725"/>
      <c r="L74" s="4725"/>
      <c r="M74" s="4725"/>
      <c r="N74" s="4725"/>
      <c r="O74" s="4725"/>
      <c r="P74" s="4725"/>
      <c r="Q74" s="4725"/>
      <c r="R74" s="4725"/>
      <c r="S74" s="4726"/>
      <c r="T74" s="474"/>
      <c r="U74" s="3356"/>
      <c r="V74" s="3362" t="s">
        <v>6951</v>
      </c>
      <c r="W74" s="3362"/>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04"/>
      <c r="AB74" s="3002"/>
      <c r="AC74" s="2932"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24"/>
      <c r="D75" s="4725"/>
      <c r="E75" s="4725"/>
      <c r="F75" s="4725"/>
      <c r="G75" s="4725"/>
      <c r="H75" s="4725"/>
      <c r="I75" s="4725"/>
      <c r="J75" s="4725"/>
      <c r="K75" s="4725"/>
      <c r="L75" s="4725"/>
      <c r="M75" s="4725"/>
      <c r="N75" s="4725"/>
      <c r="O75" s="4725"/>
      <c r="P75" s="4725"/>
      <c r="Q75" s="4725"/>
      <c r="R75" s="4725"/>
      <c r="S75" s="4726"/>
      <c r="T75" s="474"/>
      <c r="U75" s="3357"/>
      <c r="V75" s="4526" t="s">
        <v>6952</v>
      </c>
      <c r="W75" s="4527"/>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04"/>
      <c r="AB75" s="3002"/>
      <c r="AC75" s="2932"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24"/>
      <c r="D76" s="4725"/>
      <c r="E76" s="4725"/>
      <c r="F76" s="4725"/>
      <c r="G76" s="4725"/>
      <c r="H76" s="4725"/>
      <c r="I76" s="4725"/>
      <c r="J76" s="4725"/>
      <c r="K76" s="4725"/>
      <c r="L76" s="4725"/>
      <c r="M76" s="4725"/>
      <c r="N76" s="4725"/>
      <c r="O76" s="4725"/>
      <c r="P76" s="4725"/>
      <c r="Q76" s="4725"/>
      <c r="R76" s="4725"/>
      <c r="S76" s="4726"/>
      <c r="T76" s="474"/>
      <c r="U76" s="3356" t="s">
        <v>1751</v>
      </c>
      <c r="V76" s="3362" t="str">
        <f>IF(PDs!P180="","-",PDs!P180)</f>
        <v>-</v>
      </c>
      <c r="W76" s="3362"/>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04"/>
      <c r="AB76" s="3002"/>
      <c r="AC76" s="2932"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24"/>
      <c r="D77" s="4725"/>
      <c r="E77" s="4725"/>
      <c r="F77" s="4725"/>
      <c r="G77" s="4725"/>
      <c r="H77" s="4725"/>
      <c r="I77" s="4725"/>
      <c r="J77" s="4725"/>
      <c r="K77" s="4725"/>
      <c r="L77" s="4725"/>
      <c r="M77" s="4725"/>
      <c r="N77" s="4725"/>
      <c r="O77" s="4725"/>
      <c r="P77" s="4725"/>
      <c r="Q77" s="4725"/>
      <c r="R77" s="4725"/>
      <c r="S77" s="4726"/>
      <c r="T77" s="474"/>
      <c r="U77" s="3356"/>
      <c r="V77" s="3362" t="str">
        <f>IF(PDs!P181="","-",PDs!P181)</f>
        <v>-</v>
      </c>
      <c r="W77" s="3362"/>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04"/>
      <c r="AB77" s="3002"/>
      <c r="AC77" s="2932"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24"/>
      <c r="D78" s="4725"/>
      <c r="E78" s="4725"/>
      <c r="F78" s="4725"/>
      <c r="G78" s="4725"/>
      <c r="H78" s="4725"/>
      <c r="I78" s="4725"/>
      <c r="J78" s="4725"/>
      <c r="K78" s="4725"/>
      <c r="L78" s="4725"/>
      <c r="M78" s="4725"/>
      <c r="N78" s="4725"/>
      <c r="O78" s="4725"/>
      <c r="P78" s="4725"/>
      <c r="Q78" s="4725"/>
      <c r="R78" s="4725"/>
      <c r="S78" s="4726"/>
      <c r="T78" s="474"/>
      <c r="U78" s="3356"/>
      <c r="V78" s="3362" t="str">
        <f>IF(PDs!P182="","-",PDs!P182)</f>
        <v>-</v>
      </c>
      <c r="W78" s="3362"/>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04"/>
      <c r="AB78" s="3002"/>
      <c r="AC78" s="2932"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24"/>
      <c r="D79" s="4725"/>
      <c r="E79" s="4725"/>
      <c r="F79" s="4725"/>
      <c r="G79" s="4725"/>
      <c r="H79" s="4725"/>
      <c r="I79" s="4725"/>
      <c r="J79" s="4725"/>
      <c r="K79" s="4725"/>
      <c r="L79" s="4725"/>
      <c r="M79" s="4725"/>
      <c r="N79" s="4725"/>
      <c r="O79" s="4725"/>
      <c r="P79" s="4725"/>
      <c r="Q79" s="4725"/>
      <c r="R79" s="4725"/>
      <c r="S79" s="4726"/>
      <c r="T79" s="474"/>
      <c r="U79" s="3356"/>
      <c r="V79" s="3362" t="str">
        <f>IF(PDs!P183="","-",PDs!P183)</f>
        <v>-</v>
      </c>
      <c r="W79" s="3362"/>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04"/>
      <c r="AB79" s="3002"/>
      <c r="AC79" s="2932"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27"/>
      <c r="D80" s="4728"/>
      <c r="E80" s="4728"/>
      <c r="F80" s="4728"/>
      <c r="G80" s="4728"/>
      <c r="H80" s="4728"/>
      <c r="I80" s="4728"/>
      <c r="J80" s="4728"/>
      <c r="K80" s="4728"/>
      <c r="L80" s="4728"/>
      <c r="M80" s="4728"/>
      <c r="N80" s="4728"/>
      <c r="O80" s="4728"/>
      <c r="P80" s="4728"/>
      <c r="Q80" s="4728"/>
      <c r="R80" s="4728"/>
      <c r="S80" s="4729"/>
      <c r="T80" s="474"/>
      <c r="U80" s="3458"/>
      <c r="V80" s="3217" t="str">
        <f>IF(PDs!P184="","-",PDs!P184)</f>
        <v>-</v>
      </c>
      <c r="W80" s="3217"/>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04"/>
      <c r="AB80" s="3002"/>
      <c r="AC80" s="2932"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06"/>
      <c r="AB81" s="3002"/>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07"/>
      <c r="AB82" s="3002"/>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75" priority="54" stopIfTrue="1" operator="lessThan">
      <formula>0</formula>
    </cfRule>
  </conditionalFormatting>
  <conditionalFormatting sqref="Z23">
    <cfRule type="cellIs" dxfId="874" priority="4" stopIfTrue="1" operator="lessThan">
      <formula>0</formula>
    </cfRule>
  </conditionalFormatting>
  <conditionalFormatting sqref="J32">
    <cfRule type="cellIs" dxfId="873" priority="1777" operator="greaterThan">
      <formula>$U$4+1</formula>
    </cfRule>
    <cfRule type="cellIs" dxfId="872" priority="1778" stopIfTrue="1" operator="lessThan">
      <formula>0</formula>
    </cfRule>
  </conditionalFormatting>
  <conditionalFormatting sqref="U12:V12">
    <cfRule type="expression" dxfId="871" priority="1779" stopIfTrue="1">
      <formula>AND(ISNUMBER($U$12),$U$12&gt;$U$4+3)</formula>
    </cfRule>
  </conditionalFormatting>
  <conditionalFormatting sqref="Y25:Y80">
    <cfRule type="cellIs" dxfId="870"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34" zoomScaleNormal="100" workbookViewId="0">
      <selection activeCell="AS19" sqref="AS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31"/>
      <c r="D3" s="3231"/>
      <c r="E3" s="3231"/>
      <c r="F3" s="3231"/>
      <c r="G3" s="3231"/>
      <c r="H3" s="3231"/>
      <c r="I3" s="7"/>
      <c r="J3" s="7"/>
      <c r="K3" s="7"/>
      <c r="L3" s="7"/>
      <c r="M3" s="7"/>
      <c r="N3" s="7"/>
      <c r="O3" s="7"/>
      <c r="P3" s="7"/>
      <c r="Q3" s="8"/>
      <c r="R3" s="50"/>
      <c r="S3" s="39"/>
      <c r="T3" s="39"/>
      <c r="U3" s="750"/>
      <c r="V3" s="4889"/>
      <c r="W3" s="4890"/>
      <c r="X3" s="4890"/>
      <c r="Y3" s="4890"/>
      <c r="Z3" s="4890"/>
      <c r="AA3" s="4890"/>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31"/>
      <c r="D4" s="3231"/>
      <c r="E4" s="3231"/>
      <c r="F4" s="3231"/>
      <c r="G4" s="3231"/>
      <c r="H4" s="3231"/>
      <c r="I4" s="10"/>
      <c r="J4" s="3232" t="s">
        <v>1595</v>
      </c>
      <c r="K4" s="3232"/>
      <c r="L4" s="3233" t="str">
        <f>IF(OR(General!$F$22="",General!$F$22=0),"",General!$F$22)</f>
        <v/>
      </c>
      <c r="M4" s="3233"/>
      <c r="N4" s="3233"/>
      <c r="O4" s="3233"/>
      <c r="P4" s="3233"/>
      <c r="Q4" s="11"/>
      <c r="R4" s="50"/>
      <c r="S4" s="39"/>
      <c r="T4" s="39"/>
      <c r="U4" s="750"/>
      <c r="V4" s="4891"/>
      <c r="W4" s="3231"/>
      <c r="X4" s="3231"/>
      <c r="Y4" s="3231"/>
      <c r="Z4" s="3231"/>
      <c r="AA4" s="3231"/>
      <c r="AB4" s="10"/>
      <c r="AC4" s="3232" t="s">
        <v>1595</v>
      </c>
      <c r="AD4" s="3232"/>
      <c r="AE4" s="3233" t="str">
        <f>IF(OR(General!$F$22="",General!$F$22=0),"",General!$F$22)</f>
        <v/>
      </c>
      <c r="AF4" s="3233"/>
      <c r="AG4" s="3233"/>
      <c r="AH4" s="3233"/>
      <c r="AI4" s="3233"/>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31"/>
      <c r="D5" s="3231"/>
      <c r="E5" s="3231"/>
      <c r="F5" s="3231"/>
      <c r="G5" s="3231"/>
      <c r="H5" s="3231"/>
      <c r="I5" s="10"/>
      <c r="J5" s="3223" t="s">
        <v>1596</v>
      </c>
      <c r="K5" s="3223"/>
      <c r="L5" s="3224" t="str">
        <f>Principal!$L$5</f>
        <v/>
      </c>
      <c r="M5" s="3224"/>
      <c r="N5" s="3224"/>
      <c r="O5" s="12" t="s">
        <v>1597</v>
      </c>
      <c r="P5" s="13" t="str">
        <f>Principal!$P$5</f>
        <v>0 + 1</v>
      </c>
      <c r="Q5" s="14"/>
      <c r="R5" s="50"/>
      <c r="S5" s="39"/>
      <c r="T5" s="39"/>
      <c r="U5" s="750"/>
      <c r="V5" s="4891"/>
      <c r="W5" s="3231"/>
      <c r="X5" s="3231"/>
      <c r="Y5" s="3231"/>
      <c r="Z5" s="3231"/>
      <c r="AA5" s="3231"/>
      <c r="AB5" s="10"/>
      <c r="AC5" s="3223" t="s">
        <v>1596</v>
      </c>
      <c r="AD5" s="3223"/>
      <c r="AE5" s="3224" t="str">
        <f>Principal!$L$5</f>
        <v/>
      </c>
      <c r="AF5" s="3224"/>
      <c r="AG5" s="3224"/>
      <c r="AH5" s="12" t="s">
        <v>1597</v>
      </c>
      <c r="AI5" s="13" t="str">
        <f>Principal!$P$5</f>
        <v>0 + 1</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31"/>
      <c r="D6" s="3231"/>
      <c r="E6" s="3231"/>
      <c r="F6" s="3231"/>
      <c r="G6" s="3231"/>
      <c r="H6" s="3231"/>
      <c r="I6" s="10"/>
      <c r="J6" s="3225" t="s">
        <v>2070</v>
      </c>
      <c r="K6" s="3225"/>
      <c r="L6" s="3225"/>
      <c r="M6" s="3225"/>
      <c r="N6" s="3225"/>
      <c r="O6" s="3225"/>
      <c r="P6" s="3225"/>
      <c r="Q6" s="14"/>
      <c r="R6" s="50"/>
      <c r="S6" s="39"/>
      <c r="T6" s="39"/>
      <c r="U6" s="750"/>
      <c r="V6" s="4891"/>
      <c r="W6" s="3231"/>
      <c r="X6" s="3231"/>
      <c r="Y6" s="3231"/>
      <c r="Z6" s="3231"/>
      <c r="AA6" s="3231"/>
      <c r="AB6" s="10"/>
      <c r="AC6" s="3225" t="s">
        <v>2071</v>
      </c>
      <c r="AD6" s="3225"/>
      <c r="AE6" s="3225"/>
      <c r="AF6" s="3225"/>
      <c r="AG6" s="3225"/>
      <c r="AH6" s="3225"/>
      <c r="AI6" s="3225"/>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31"/>
      <c r="D7" s="3231"/>
      <c r="E7" s="3231"/>
      <c r="F7" s="3231"/>
      <c r="G7" s="3231"/>
      <c r="H7" s="3231"/>
      <c r="I7" s="10"/>
      <c r="J7" s="3225"/>
      <c r="K7" s="3225"/>
      <c r="L7" s="3225"/>
      <c r="M7" s="3225"/>
      <c r="N7" s="3225"/>
      <c r="O7" s="3225"/>
      <c r="P7" s="3225"/>
      <c r="Q7" s="14"/>
      <c r="R7" s="50"/>
      <c r="S7" s="39"/>
      <c r="T7" s="39"/>
      <c r="U7" s="750"/>
      <c r="V7" s="4891"/>
      <c r="W7" s="3231"/>
      <c r="X7" s="3231"/>
      <c r="Y7" s="3231"/>
      <c r="Z7" s="3231"/>
      <c r="AA7" s="3231"/>
      <c r="AB7" s="10"/>
      <c r="AC7" s="3225"/>
      <c r="AD7" s="3225"/>
      <c r="AE7" s="3225"/>
      <c r="AF7" s="3225"/>
      <c r="AG7" s="3225"/>
      <c r="AH7" s="3225"/>
      <c r="AI7" s="3225"/>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31"/>
      <c r="D8" s="3231"/>
      <c r="E8" s="3231"/>
      <c r="F8" s="3231"/>
      <c r="G8" s="3231"/>
      <c r="H8" s="3231"/>
      <c r="I8" s="15"/>
      <c r="J8" s="15"/>
      <c r="K8" s="15"/>
      <c r="L8" s="15"/>
      <c r="M8" s="15"/>
      <c r="N8" s="15"/>
      <c r="O8" s="15"/>
      <c r="P8" s="15"/>
      <c r="Q8" s="16"/>
      <c r="R8" s="50"/>
      <c r="S8" s="39"/>
      <c r="T8" s="39"/>
      <c r="U8" s="750"/>
      <c r="V8" s="4892"/>
      <c r="W8" s="4893"/>
      <c r="X8" s="4893"/>
      <c r="Y8" s="4893"/>
      <c r="Z8" s="4893"/>
      <c r="AA8" s="4893"/>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94" t="s">
        <v>2072</v>
      </c>
      <c r="D10" s="4894"/>
      <c r="E10" s="4894"/>
      <c r="F10" s="4894"/>
      <c r="G10" s="21"/>
      <c r="H10" s="3188" t="s">
        <v>2073</v>
      </c>
      <c r="I10" s="3189"/>
      <c r="J10" s="3190"/>
      <c r="K10" s="3516"/>
      <c r="L10" s="2253" t="s">
        <v>2074</v>
      </c>
      <c r="M10" s="2254"/>
      <c r="N10" s="49"/>
      <c r="O10" s="3391" t="s">
        <v>2075</v>
      </c>
      <c r="P10" s="3391"/>
      <c r="Q10" s="3391"/>
      <c r="R10" s="50"/>
      <c r="S10" s="39"/>
      <c r="T10" s="39"/>
      <c r="U10" s="750"/>
      <c r="V10" s="3188" t="s">
        <v>2076</v>
      </c>
      <c r="W10" s="3189"/>
      <c r="X10" s="3189"/>
      <c r="Y10" s="3189"/>
      <c r="Z10" s="3189"/>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95" t="s">
        <v>9124</v>
      </c>
      <c r="AE10" s="4896"/>
      <c r="AF10" s="4896"/>
      <c r="AG10" s="4896"/>
      <c r="AH10" s="4897"/>
      <c r="AI10" s="4907" t="s">
        <v>1510</v>
      </c>
      <c r="AJ10" s="4908"/>
      <c r="AK10" s="4909"/>
      <c r="AL10" s="977"/>
      <c r="AM10" s="888"/>
      <c r="AN10" s="2029"/>
      <c r="AO10" s="4916" t="s">
        <v>9558</v>
      </c>
      <c r="AP10" s="4917"/>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83" t="s">
        <v>2078</v>
      </c>
      <c r="D11" s="4883"/>
      <c r="E11" s="4884" t="s">
        <v>2079</v>
      </c>
      <c r="F11" s="4884"/>
      <c r="G11" s="49"/>
      <c r="H11" s="4877">
        <f>IF(VOL=0,0,VLOOKUP(VOL,Tabla_PotPsi,2))+IF(M10=0,0,VLOOKUP(M10,Tabla_PotPsitporCV,2))+J13+Mod_ATA</f>
        <v>0</v>
      </c>
      <c r="I11" s="4878"/>
      <c r="J11" s="2251" t="str">
        <f>IF(J13=0,"","Sumar")</f>
        <v/>
      </c>
      <c r="K11" s="2252" t="str">
        <f>IF(J13=0,"",TRUNC(J13/5,0))</f>
        <v/>
      </c>
      <c r="L11" s="4903" t="str">
        <f>IF(J13=0,"","a la Fatiga")</f>
        <v/>
      </c>
      <c r="M11" s="4904"/>
      <c r="N11" s="49"/>
      <c r="O11" s="203" t="s">
        <v>1666</v>
      </c>
      <c r="P11" s="1467" t="s">
        <v>1839</v>
      </c>
      <c r="Q11" s="18" t="s">
        <v>1968</v>
      </c>
      <c r="R11" s="50"/>
      <c r="S11" s="39"/>
      <c r="T11" s="39"/>
      <c r="U11" s="883">
        <f>IF(V11=0,0,1)</f>
        <v>0</v>
      </c>
      <c r="V11" s="4898"/>
      <c r="W11" s="4899"/>
      <c r="X11" s="4899"/>
      <c r="Y11" s="4899"/>
      <c r="Z11" s="4899"/>
      <c r="AA11" s="4762"/>
      <c r="AB11" s="4873" t="str">
        <f>IF(AA11=0,"",IF(AA11*10&lt;100,AA11*10,100))</f>
        <v/>
      </c>
      <c r="AC11" s="57"/>
      <c r="AD11" s="4898"/>
      <c r="AE11" s="4899"/>
      <c r="AF11" s="4899"/>
      <c r="AG11" s="4899"/>
      <c r="AH11" s="4899"/>
      <c r="AI11" s="4910" t="str">
        <f>IF(AD11="","-",IF(AL11="-","Ventaja no escogida",IF(INDEX(Tabla_Dificultades,MATCH(AL11,INDEX(Tabla_Dificultades,,2),0),1)&lt;INDEX(Tabla_Dificultades,MATCH(AL12,INDEX(Tabla_Dificultades,,2),0),1),"Poder no eligible",AL12)))</f>
        <v>-</v>
      </c>
      <c r="AJ11" s="4911"/>
      <c r="AK11" s="4912"/>
      <c r="AL11" s="1435" t="str">
        <f>IF(Tablas!$G$324&gt;0,"DIF",IF(Tablas!G325&gt;0,"MDIF",IF(Tablas!$G$326&gt;0,"ABS","-")))</f>
        <v>-</v>
      </c>
      <c r="AM11" s="888"/>
      <c r="AN11" s="2029"/>
      <c r="AO11" s="4918"/>
      <c r="AP11" s="4919"/>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74">
        <f>CV_final</f>
        <v>1</v>
      </c>
      <c r="D12" s="4874"/>
      <c r="E12" s="4875">
        <f>F18+F15+F16+F17+F19</f>
        <v>0</v>
      </c>
      <c r="F12" s="4875"/>
      <c r="G12" s="49"/>
      <c r="H12" s="4877"/>
      <c r="I12" s="4878"/>
      <c r="J12" s="4879" t="str">
        <f>IF(SUM(Tablas!$G$451:$G$463)+SUM(Tablas!$H$1347:$H$1359),"+1 grado: Des. Psíquico.","")</f>
        <v/>
      </c>
      <c r="K12" s="4880"/>
      <c r="L12" s="4880"/>
      <c r="M12" s="4881"/>
      <c r="N12" s="49"/>
      <c r="O12" s="4882">
        <f>Turno_Nat_final</f>
        <v>40</v>
      </c>
      <c r="P12" s="4876">
        <f>IF(PDs!E110="Tabla de Proyección Psíquica",Proyecciónpsíquica_final-PDs!V109+PDs!V22,Proyecciónpsíquica_final)</f>
        <v>0</v>
      </c>
      <c r="Q12" s="4885">
        <f>IF(PDs!E110="Tabla de Proyección Psíquica",Proyecciónpsíquica_final-PDs!V109+MAX(PDs!V23,PDs!V24),Proyecciónpsíquica_final)</f>
        <v>0</v>
      </c>
      <c r="R12" s="50"/>
      <c r="S12" s="39"/>
      <c r="T12" s="39"/>
      <c r="U12" s="883"/>
      <c r="V12" s="4857" t="str">
        <f>IF(V11=0,"",VLOOKUP(V11,Tabla_PoderesPsi,2,FALSE))</f>
        <v/>
      </c>
      <c r="W12" s="4858"/>
      <c r="X12" s="4858"/>
      <c r="Y12" s="2321" t="s">
        <v>1597</v>
      </c>
      <c r="Z12" s="2322" t="str">
        <f>IF(V11=0,"",VLOOKUP(V11,Tabla_PoderesPsi,3,FALSE))</f>
        <v/>
      </c>
      <c r="AA12" s="4762"/>
      <c r="AB12" s="4764"/>
      <c r="AC12" s="57"/>
      <c r="AD12" s="4787" t="str">
        <f>IF(AD11=0,"",VLOOKUP(AD11,Tabla_PoderesPsi,2,FALSE))</f>
        <v/>
      </c>
      <c r="AE12" s="3382"/>
      <c r="AF12" s="3382"/>
      <c r="AG12" s="1466" t="s">
        <v>1597</v>
      </c>
      <c r="AH12" s="596" t="str">
        <f>IF(AD11=0,"",VLOOKUP(AD11,Tabla_PoderesPsi,3,FALSE))</f>
        <v/>
      </c>
      <c r="AI12" s="4913"/>
      <c r="AJ12" s="4914"/>
      <c r="AK12" s="4915"/>
      <c r="AL12" s="1435" t="str">
        <f>IF(AD11="","",INDEX('Tablas psiquica'!#REF!,MATCH(AD11,Poderes_psi,0)))</f>
        <v/>
      </c>
      <c r="AM12" s="888"/>
      <c r="AN12" s="2031"/>
      <c r="AO12" s="4051" t="s">
        <v>1651</v>
      </c>
      <c r="AP12" s="4053"/>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74"/>
      <c r="D13" s="4874"/>
      <c r="E13" s="4875"/>
      <c r="F13" s="4875"/>
      <c r="G13" s="49"/>
      <c r="H13" s="3214" t="s">
        <v>2080</v>
      </c>
      <c r="I13" s="3215"/>
      <c r="J13" s="2256"/>
      <c r="K13" s="4886" t="s">
        <v>2081</v>
      </c>
      <c r="L13" s="4887"/>
      <c r="M13" s="2255"/>
      <c r="N13" s="49"/>
      <c r="O13" s="4882"/>
      <c r="P13" s="4876"/>
      <c r="Q13" s="4885"/>
      <c r="R13" s="50"/>
      <c r="S13" s="39"/>
      <c r="T13" s="39"/>
      <c r="U13" s="883">
        <f>IF(V13=0,0,1)</f>
        <v>0</v>
      </c>
      <c r="V13" s="4859"/>
      <c r="W13" s="4860"/>
      <c r="X13" s="4860"/>
      <c r="Y13" s="4860"/>
      <c r="Z13" s="4860"/>
      <c r="AA13" s="4861"/>
      <c r="AB13" s="4863"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00" t="s">
        <v>2082</v>
      </c>
      <c r="D14" s="4900"/>
      <c r="E14" s="4900"/>
      <c r="F14" s="204" t="s">
        <v>2077</v>
      </c>
      <c r="G14" s="49"/>
      <c r="H14" s="57"/>
      <c r="I14" s="57"/>
      <c r="J14" s="57"/>
      <c r="K14" s="57"/>
      <c r="L14" s="57"/>
      <c r="M14" s="57"/>
      <c r="N14" s="49"/>
      <c r="O14" s="49"/>
      <c r="P14" s="49"/>
      <c r="Q14" s="49"/>
      <c r="R14" s="50"/>
      <c r="S14" s="39"/>
      <c r="T14" s="39"/>
      <c r="U14" s="883"/>
      <c r="V14" s="4901" t="str">
        <f>IF(V13=0,"",VLOOKUP(V13,Tabla_PoderesPsi,2,FALSE))</f>
        <v/>
      </c>
      <c r="W14" s="4902"/>
      <c r="X14" s="4902"/>
      <c r="Y14" s="2564" t="s">
        <v>1597</v>
      </c>
      <c r="Z14" s="2565" t="str">
        <f>IF(V13=0,"",VLOOKUP(V13,Tabla_PoderesPsi,3,FALSE))</f>
        <v/>
      </c>
      <c r="AA14" s="4862"/>
      <c r="AB14" s="4864"/>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79" t="s">
        <v>2070</v>
      </c>
      <c r="D15" s="3579"/>
      <c r="E15" s="3579"/>
      <c r="F15" s="112">
        <f>IF(C25=0,0,1)+IF(C27=0,0,1)+IF(C29=0,0,1)+IF(C31=0,0,1)+IF(C33=0,0,1)+IF(C35=0,0,1)</f>
        <v>0</v>
      </c>
      <c r="G15" s="49"/>
      <c r="H15" s="3391" t="s">
        <v>2083</v>
      </c>
      <c r="I15" s="3391"/>
      <c r="J15" s="3391"/>
      <c r="K15" s="3391"/>
      <c r="L15" s="3391"/>
      <c r="M15" s="3391"/>
      <c r="N15" s="49"/>
      <c r="O15" s="3391" t="s">
        <v>2084</v>
      </c>
      <c r="P15" s="3391"/>
      <c r="Q15" s="3391"/>
      <c r="R15" s="50"/>
      <c r="S15" s="39"/>
      <c r="T15" s="39"/>
      <c r="U15" s="883">
        <f>IF(V15=0,0,1)</f>
        <v>0</v>
      </c>
      <c r="V15" s="4760"/>
      <c r="W15" s="4761"/>
      <c r="X15" s="4761"/>
      <c r="Y15" s="4761"/>
      <c r="Z15" s="4761"/>
      <c r="AA15" s="4762"/>
      <c r="AB15" s="4764"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65" t="s">
        <v>2071</v>
      </c>
      <c r="D16" s="4865"/>
      <c r="E16" s="4865"/>
      <c r="F16" s="205">
        <f>SUM(U11:U63)</f>
        <v>0</v>
      </c>
      <c r="G16" s="206"/>
      <c r="H16" s="4869" t="s">
        <v>7961</v>
      </c>
      <c r="I16" s="4870">
        <f>F20-SUM(AI11:AI64)</f>
        <v>1</v>
      </c>
      <c r="J16" s="4872"/>
      <c r="K16" s="4872"/>
      <c r="L16" s="4872"/>
      <c r="M16" s="4872"/>
      <c r="N16" s="49"/>
      <c r="O16" s="3565" t="s">
        <v>1999</v>
      </c>
      <c r="P16" s="3565"/>
      <c r="Q16" s="202" t="s">
        <v>1640</v>
      </c>
      <c r="R16" s="50"/>
      <c r="S16" s="39"/>
      <c r="T16" s="39"/>
      <c r="U16" s="883"/>
      <c r="V16" s="4857" t="str">
        <f>IF(V15=0,"",VLOOKUP(V15,Tabla_PoderesPsi,2,FALSE))</f>
        <v/>
      </c>
      <c r="W16" s="4858"/>
      <c r="X16" s="4858"/>
      <c r="Y16" s="2321" t="s">
        <v>1597</v>
      </c>
      <c r="Z16" s="2322" t="str">
        <f>IF(V15=0,"",VLOOKUP(V15,Tabla_PoderesPsi,3,FALSE))</f>
        <v/>
      </c>
      <c r="AA16" s="4762"/>
      <c r="AB16" s="4764"/>
      <c r="AC16" s="1172"/>
      <c r="AD16" s="3114" t="s">
        <v>7958</v>
      </c>
      <c r="AE16" s="3115"/>
      <c r="AF16" s="3115"/>
      <c r="AG16" s="3115"/>
      <c r="AH16" s="4888"/>
      <c r="AI16" s="2996" t="s">
        <v>2077</v>
      </c>
      <c r="AJ16" s="2996" t="s">
        <v>7075</v>
      </c>
      <c r="AK16" s="2997"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66" t="s">
        <v>2085</v>
      </c>
      <c r="D17" s="4866"/>
      <c r="E17" s="4866"/>
      <c r="F17" s="112">
        <f>SUM(AA11:AA64)</f>
        <v>0</v>
      </c>
      <c r="G17" s="49"/>
      <c r="H17" s="4869"/>
      <c r="I17" s="4871"/>
      <c r="J17" s="4872"/>
      <c r="K17" s="4872"/>
      <c r="L17" s="4872"/>
      <c r="M17" s="4872"/>
      <c r="N17" s="49"/>
      <c r="O17" s="4384" t="s">
        <v>2007</v>
      </c>
      <c r="P17" s="4384"/>
      <c r="Q17" s="207" t="str">
        <f>IF(OR(Tablas!G546&gt;0,Tablas!H1381&gt;0),"+0",IF(AND(Tablas!G444=0,Tablas!H1345=0),"+10","+20"))</f>
        <v>+10</v>
      </c>
      <c r="R17" s="50"/>
      <c r="S17" s="39"/>
      <c r="T17" s="39"/>
      <c r="U17" s="883">
        <f>IF(V17=0,0,1)</f>
        <v>0</v>
      </c>
      <c r="V17" s="4859"/>
      <c r="W17" s="4860"/>
      <c r="X17" s="4860"/>
      <c r="Y17" s="4860"/>
      <c r="Z17" s="4860"/>
      <c r="AA17" s="4861"/>
      <c r="AB17" s="4863" t="str">
        <f>IF(AA17=0,"",IF(AA17*10&lt;100,AA17*10,100))</f>
        <v/>
      </c>
      <c r="AC17" s="1200"/>
      <c r="AD17" s="4752"/>
      <c r="AE17" s="4753"/>
      <c r="AF17" s="4753"/>
      <c r="AG17" s="4753"/>
      <c r="AH17" s="4754"/>
      <c r="AI17" s="4755"/>
      <c r="AJ17" s="4781"/>
      <c r="AK17" s="4783" t="str">
        <f>IF(AD17&lt;&gt;"",INDEX(Tablas!$U$26:$U$38,MAX(MATCH(VLOOKUP(Psíquicos!$AD17,'Tablas psiquica'!$U$7:$AH$110,2,FALSE),Tablas!$U$26:$U$38,0),MAX(SUMPRODUCT(--(Tablas!$T$26:$T$38&lt;=(AL17-20*AI17)))+IF(Tablas!$G$446&gt;0,1,0)+IF(COUNTIF($C$39:$E$50,"Introversión")&gt;0,1,0),SUMPRODUCT(--(Tablas!$T$26:$T$38&lt;=(AL17)))))),"")</f>
        <v/>
      </c>
      <c r="AL17" s="4905">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53" t="s">
        <v>2086</v>
      </c>
      <c r="D18" s="4853"/>
      <c r="E18" s="4853"/>
      <c r="F18" s="205">
        <f>M10</f>
        <v>0</v>
      </c>
      <c r="G18" s="49"/>
      <c r="H18" s="208" t="s">
        <v>2087</v>
      </c>
      <c r="I18" s="1470"/>
      <c r="J18" s="39"/>
      <c r="K18" s="209" t="str">
        <f>IF(AND(Tablas!G445=0,Tablas!H1346=0),"+10 / CV","+20 / CV")</f>
        <v>+10 / CV</v>
      </c>
      <c r="L18" s="4854" t="str">
        <f>IF(AND(Tablas!G445=0,Tablas!H1378=0),"(Max +50)","(Max +100)")</f>
        <v>(Max +50)</v>
      </c>
      <c r="M18" s="4854"/>
      <c r="N18" s="49"/>
      <c r="O18" s="4351" t="s">
        <v>2010</v>
      </c>
      <c r="P18" s="4351"/>
      <c r="Q18" s="207" t="str">
        <f>IF(OR(Tablas!G546&gt;0,Tablas!H1381&gt;0),"+0",IF(AND(Tablas!G444=0,Tablas!H1345=0),"+20","+40"))</f>
        <v>+20</v>
      </c>
      <c r="R18" s="50"/>
      <c r="S18" s="39"/>
      <c r="T18" s="39"/>
      <c r="U18" s="883"/>
      <c r="V18" s="4855" t="str">
        <f>IF(V17=0,"",VLOOKUP(V17,Tabla_PoderesPsi,2,FALSE))</f>
        <v/>
      </c>
      <c r="W18" s="4856"/>
      <c r="X18" s="4856"/>
      <c r="Y18" s="2564" t="s">
        <v>1597</v>
      </c>
      <c r="Z18" s="2565" t="str">
        <f>IF(V17=0,"",VLOOKUP(V17,Tabla_PoderesPsi,3,FALSE))</f>
        <v/>
      </c>
      <c r="AA18" s="4862"/>
      <c r="AB18" s="4864"/>
      <c r="AC18" s="1200"/>
      <c r="AD18" s="4779" t="str">
        <f>IF(AD17=0,"",VLOOKUP(AD17,Tabla_PoderesPsi,2,FALSE))</f>
        <v/>
      </c>
      <c r="AE18" s="4780"/>
      <c r="AF18" s="4780"/>
      <c r="AG18" s="2994" t="s">
        <v>1597</v>
      </c>
      <c r="AH18" s="2995" t="str">
        <f>IF(AD17=0,"",VLOOKUP(AD17,Tabla_PoderesPsi,3,FALSE))</f>
        <v/>
      </c>
      <c r="AI18" s="4756"/>
      <c r="AJ18" s="4782"/>
      <c r="AK18" s="4784"/>
      <c r="AL18" s="4905"/>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49" t="s">
        <v>2088</v>
      </c>
      <c r="D19" s="4849"/>
      <c r="E19" s="4849"/>
      <c r="F19" s="1402">
        <f>2*M13</f>
        <v>0</v>
      </c>
      <c r="G19" s="49"/>
      <c r="H19" s="210" t="s">
        <v>2089</v>
      </c>
      <c r="I19" s="211"/>
      <c r="J19" s="49"/>
      <c r="K19" s="212" t="s">
        <v>2090</v>
      </c>
      <c r="L19" s="4848" t="s">
        <v>2091</v>
      </c>
      <c r="M19" s="4848"/>
      <c r="N19" s="49"/>
      <c r="O19" s="4351" t="s">
        <v>2013</v>
      </c>
      <c r="P19" s="4351"/>
      <c r="Q19" s="207" t="str">
        <f>IF(OR(Tablas!G546&gt;0,Tablas!H1381&gt;0),"+0",IF(AND(Tablas!G444=0,Tablas!H1345=0),"+30","+60"))</f>
        <v>+30</v>
      </c>
      <c r="R19" s="50"/>
      <c r="S19" s="39"/>
      <c r="T19" s="39"/>
      <c r="U19" s="883">
        <f>IF(V19=0,0,1)</f>
        <v>0</v>
      </c>
      <c r="V19" s="4770"/>
      <c r="W19" s="4771"/>
      <c r="X19" s="4771"/>
      <c r="Y19" s="4771"/>
      <c r="Z19" s="4772"/>
      <c r="AA19" s="4762"/>
      <c r="AB19" s="4764" t="str">
        <f>IF(AA19=0,"",IF(AA19*10&lt;100,AA19*10,100))</f>
        <v/>
      </c>
      <c r="AC19" s="1200"/>
      <c r="AD19" s="4752"/>
      <c r="AE19" s="4753"/>
      <c r="AF19" s="4753"/>
      <c r="AG19" s="4753"/>
      <c r="AH19" s="4754"/>
      <c r="AI19" s="4755"/>
      <c r="AJ19" s="4781"/>
      <c r="AK19" s="4783" t="str">
        <f>IF(AD19&lt;&gt;"",INDEX(Tablas!$U$26:$U$38,MAX(MATCH(VLOOKUP(Psíquicos!$AD19,'Tablas psiquica'!$U$7:$AH$110,2,FALSE),Tablas!$U$26:$U$38,0),MAX(SUMPRODUCT(--(Tablas!$T$26:$T$38&lt;=(AL19-20*AI19)))+IF(Tablas!$G$446&gt;0,1,0)+IF(COUNTIF($C$39:$E$50,"Introversión")&gt;0,1,0),SUMPRODUCT(--(Tablas!$T$26:$T$38&lt;=(AL19)))))),"")</f>
        <v/>
      </c>
      <c r="AL19" s="4905">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67" t="s">
        <v>2083</v>
      </c>
      <c r="D20" s="4867"/>
      <c r="E20" s="4867"/>
      <c r="F20" s="4868">
        <f>C12-E12</f>
        <v>1</v>
      </c>
      <c r="G20" s="49"/>
      <c r="H20" s="208" t="s">
        <v>2092</v>
      </c>
      <c r="I20" s="121"/>
      <c r="J20" s="39"/>
      <c r="K20" s="209" t="s">
        <v>2090</v>
      </c>
      <c r="L20" s="4854" t="s">
        <v>2091</v>
      </c>
      <c r="M20" s="4854"/>
      <c r="N20" s="49"/>
      <c r="O20" s="4351" t="s">
        <v>2015</v>
      </c>
      <c r="P20" s="4351"/>
      <c r="Q20" s="207" t="str">
        <f>IF(OR(Tablas!G546&gt;0,Tablas!H1381&gt;0),"+0",IF(AND(Tablas!G444=0,Tablas!H1345=0),"+40","+80"))</f>
        <v>+40</v>
      </c>
      <c r="R20" s="50"/>
      <c r="S20" s="39"/>
      <c r="T20" s="39"/>
      <c r="U20" s="883"/>
      <c r="V20" s="4773" t="str">
        <f>IF(V19=0,"",VLOOKUP(V19,Tabla_PoderesPsi,2,FALSE))</f>
        <v/>
      </c>
      <c r="W20" s="4774"/>
      <c r="X20" s="4774"/>
      <c r="Y20" s="2321" t="s">
        <v>1597</v>
      </c>
      <c r="Z20" s="2322" t="str">
        <f>IF(V19=0,"",VLOOKUP(V19,Tabla_PoderesPsi,3,FALSE))</f>
        <v/>
      </c>
      <c r="AA20" s="4762"/>
      <c r="AB20" s="4764"/>
      <c r="AC20" s="1200"/>
      <c r="AD20" s="4779" t="str">
        <f>IF(AD19=0,"",VLOOKUP(AD19,Tabla_PoderesPsi,2,FALSE))</f>
        <v/>
      </c>
      <c r="AE20" s="4780"/>
      <c r="AF20" s="4780"/>
      <c r="AG20" s="2994" t="s">
        <v>1597</v>
      </c>
      <c r="AH20" s="2995" t="str">
        <f>IF(AD19=0,"",VLOOKUP(AD19,Tabla_PoderesPsi,3,FALSE))</f>
        <v/>
      </c>
      <c r="AI20" s="4756"/>
      <c r="AJ20" s="4782"/>
      <c r="AK20" s="4784"/>
      <c r="AL20" s="4905"/>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67"/>
      <c r="D21" s="4867"/>
      <c r="E21" s="4867"/>
      <c r="F21" s="4868"/>
      <c r="G21" s="49"/>
      <c r="H21" s="210" t="s">
        <v>2093</v>
      </c>
      <c r="I21" s="211"/>
      <c r="J21" s="49"/>
      <c r="K21" s="212" t="s">
        <v>2094</v>
      </c>
      <c r="L21" s="4848" t="s">
        <v>2095</v>
      </c>
      <c r="M21" s="4848"/>
      <c r="N21" s="49"/>
      <c r="O21" s="4850" t="s">
        <v>2018</v>
      </c>
      <c r="P21" s="4850"/>
      <c r="Q21" s="1403" t="str">
        <f>IF(OR(Tablas!G546&gt;0,Tablas!H1381&gt;0),"+0",IF(AND(Tablas!G444=0,Tablas!H1345=0),"+50","+100"))</f>
        <v>+50</v>
      </c>
      <c r="R21" s="50"/>
      <c r="S21" s="39"/>
      <c r="T21" s="39"/>
      <c r="U21" s="883">
        <f>IF(V21=0,0,1)</f>
        <v>0</v>
      </c>
      <c r="V21" s="4767"/>
      <c r="W21" s="4768"/>
      <c r="X21" s="4768"/>
      <c r="Y21" s="4768"/>
      <c r="Z21" s="4769"/>
      <c r="AA21" s="4788"/>
      <c r="AB21" s="4777" t="str">
        <f>IF(AA21=0,"",IF(AA21*10&lt;100,AA21*10,100))</f>
        <v/>
      </c>
      <c r="AC21" s="1200"/>
      <c r="AD21" s="4752"/>
      <c r="AE21" s="4753"/>
      <c r="AF21" s="4753"/>
      <c r="AG21" s="4753"/>
      <c r="AH21" s="4754"/>
      <c r="AI21" s="4755"/>
      <c r="AJ21" s="4781"/>
      <c r="AK21" s="4783" t="str">
        <f>IF(AD21&lt;&gt;"",INDEX(Tablas!$U$26:$U$38,MAX(MATCH(VLOOKUP(Psíquicos!$AD21,'Tablas psiquica'!$U$7:$AH$110,2,FALSE),Tablas!$U$26:$U$38,0),MAX(SUMPRODUCT(--(Tablas!$T$26:$T$38&lt;=(AL21-20*AI21)))+IF(Tablas!$G$446&gt;0,1,0)+IF(COUNTIF($C$39:$E$50,"Introversión")&gt;0,1,0),SUMPRODUCT(--(Tablas!$T$26:$T$38&lt;=(AL21)))))),"")</f>
        <v/>
      </c>
      <c r="AL21" s="4905">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51" t="str">
        <f>IF(F20&lt;0,"Exceso de CVs",IF(AL16&gt;M13,"Exceso de innatos activos",""))</f>
        <v/>
      </c>
      <c r="D22" s="4851"/>
      <c r="E22" s="4851"/>
      <c r="F22" s="4851"/>
      <c r="G22" s="213"/>
      <c r="H22" s="214" t="s">
        <v>2096</v>
      </c>
      <c r="I22" s="215"/>
      <c r="J22" s="74"/>
      <c r="K22" s="216" t="s">
        <v>2094</v>
      </c>
      <c r="L22" s="4081" t="s">
        <v>2097</v>
      </c>
      <c r="M22" s="4081"/>
      <c r="N22" s="49"/>
      <c r="O22" s="4852" t="str">
        <f>IF(OR(Tablas!G546&gt;0,Tablas!H1381&gt;0),"Sin concentración",IF(AND(Tablas!G444=0,Tablas!H1345=0),"","Concentración extrema"))</f>
        <v/>
      </c>
      <c r="P22" s="4852"/>
      <c r="Q22" s="4852"/>
      <c r="R22" s="50"/>
      <c r="S22" s="39"/>
      <c r="T22" s="39"/>
      <c r="U22" s="883"/>
      <c r="V22" s="4775" t="str">
        <f>IF(V21=0,"",VLOOKUP(V21,Tabla_PoderesPsi,2,FALSE))</f>
        <v/>
      </c>
      <c r="W22" s="4776"/>
      <c r="X22" s="4776"/>
      <c r="Y22" s="2566" t="s">
        <v>1597</v>
      </c>
      <c r="Z22" s="2567" t="str">
        <f>IF(V21=0,"",VLOOKUP(V21,Tabla_PoderesPsi,3,FALSE))</f>
        <v/>
      </c>
      <c r="AA22" s="4789"/>
      <c r="AB22" s="4778"/>
      <c r="AC22" s="1200"/>
      <c r="AD22" s="4779" t="str">
        <f>IF(AD21=0,"",VLOOKUP(AD21,Tabla_PoderesPsi,2,FALSE))</f>
        <v/>
      </c>
      <c r="AE22" s="4780"/>
      <c r="AF22" s="4780"/>
      <c r="AG22" s="2994" t="s">
        <v>1597</v>
      </c>
      <c r="AH22" s="2995" t="str">
        <f>IF(AD21=0,"",VLOOKUP(AD21,Tabla_PoderesPsi,3,FALSE))</f>
        <v/>
      </c>
      <c r="AI22" s="4756"/>
      <c r="AJ22" s="4782"/>
      <c r="AK22" s="4784"/>
      <c r="AL22" s="4905"/>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70"/>
      <c r="W23" s="4771"/>
      <c r="X23" s="4771"/>
      <c r="Y23" s="4771"/>
      <c r="Z23" s="4772"/>
      <c r="AA23" s="4762"/>
      <c r="AB23" s="4764" t="str">
        <f>IF(AA23=0,"",IF(AA23*10&lt;100,AA23*10,100))</f>
        <v/>
      </c>
      <c r="AC23" s="1200"/>
      <c r="AD23" s="4752"/>
      <c r="AE23" s="4753"/>
      <c r="AF23" s="4753"/>
      <c r="AG23" s="4753"/>
      <c r="AH23" s="4754"/>
      <c r="AI23" s="4755"/>
      <c r="AJ23" s="4781"/>
      <c r="AK23" s="4783" t="str">
        <f>IF(AD23&lt;&gt;"",INDEX(Tablas!$U$26:$U$38,MAX(MATCH(VLOOKUP(Psíquicos!$AD23,'Tablas psiquica'!$U$7:$AH$110,2,FALSE),Tablas!$U$26:$U$38,0),MAX(SUMPRODUCT(--(Tablas!$T$26:$T$38&lt;=(AL23-20*AI23)))+IF(Tablas!$G$446&gt;0,1,0)+IF(COUNTIF($C$39:$E$50,"Introversión")&gt;0,1,0),SUMPRODUCT(--(Tablas!$T$26:$T$38&lt;=(AL23)))))),"")</f>
        <v/>
      </c>
      <c r="AL23" s="4905">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26" t="s">
        <v>2098</v>
      </c>
      <c r="D24" s="3190"/>
      <c r="E24" s="3190"/>
      <c r="F24" s="4814" t="s">
        <v>2099</v>
      </c>
      <c r="G24" s="4814"/>
      <c r="H24" s="4814"/>
      <c r="I24" s="4814"/>
      <c r="J24" s="4814"/>
      <c r="K24" s="4814"/>
      <c r="L24" s="4814"/>
      <c r="M24" s="4814"/>
      <c r="N24" s="4814"/>
      <c r="O24" s="4814"/>
      <c r="P24" s="4814"/>
      <c r="Q24" s="4815"/>
      <c r="R24" s="50"/>
      <c r="S24" s="39"/>
      <c r="T24" s="39"/>
      <c r="U24" s="883"/>
      <c r="V24" s="4773" t="str">
        <f>IF(V23=0,"",VLOOKUP(V23,Tabla_PoderesPsi,2,FALSE))</f>
        <v/>
      </c>
      <c r="W24" s="4774"/>
      <c r="X24" s="4774"/>
      <c r="Y24" s="2321" t="s">
        <v>1597</v>
      </c>
      <c r="Z24" s="2322" t="str">
        <f>IF(V23=0,"",VLOOKUP(V23,Tabla_PoderesPsi,3,FALSE))</f>
        <v/>
      </c>
      <c r="AA24" s="4762"/>
      <c r="AB24" s="4764"/>
      <c r="AC24" s="1200"/>
      <c r="AD24" s="4779" t="str">
        <f>IF(AD23=0,"",VLOOKUP(AD23,Tabla_PoderesPsi,2,FALSE))</f>
        <v/>
      </c>
      <c r="AE24" s="4780"/>
      <c r="AF24" s="4780"/>
      <c r="AG24" s="2994" t="s">
        <v>1597</v>
      </c>
      <c r="AH24" s="2995" t="str">
        <f>IF(AD23=0,"",VLOOKUP(AD23,Tabla_PoderesPsi,3,FALSE))</f>
        <v/>
      </c>
      <c r="AI24" s="4756"/>
      <c r="AJ24" s="4782"/>
      <c r="AK24" s="4784"/>
      <c r="AL24" s="4905"/>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42"/>
      <c r="D25" s="4843"/>
      <c r="E25" s="4844"/>
      <c r="F25" s="3970" t="str">
        <f>IF(C25=0,"",VLOOKUP(C25,Tabla_DisciplinasPsi,2,FALSE))</f>
        <v/>
      </c>
      <c r="G25" s="4838"/>
      <c r="H25" s="4838"/>
      <c r="I25" s="4838"/>
      <c r="J25" s="4838"/>
      <c r="K25" s="4838"/>
      <c r="L25" s="4838"/>
      <c r="M25" s="4838"/>
      <c r="N25" s="4838"/>
      <c r="O25" s="4838"/>
      <c r="P25" s="4838"/>
      <c r="Q25" s="4839"/>
      <c r="R25" s="50"/>
      <c r="S25" s="39"/>
      <c r="T25" s="39"/>
      <c r="U25" s="883">
        <f>IF(V25=0,0,1)</f>
        <v>0</v>
      </c>
      <c r="V25" s="4767"/>
      <c r="W25" s="4768"/>
      <c r="X25" s="4768"/>
      <c r="Y25" s="4768"/>
      <c r="Z25" s="4769"/>
      <c r="AA25" s="4788"/>
      <c r="AB25" s="4777" t="str">
        <f>IF(AA25=0,"",IF(AA25*10&lt;100,AA25*10,100))</f>
        <v/>
      </c>
      <c r="AC25" s="1200"/>
      <c r="AD25" s="4752"/>
      <c r="AE25" s="4753"/>
      <c r="AF25" s="4753"/>
      <c r="AG25" s="4753"/>
      <c r="AH25" s="4754"/>
      <c r="AI25" s="4755"/>
      <c r="AJ25" s="4781"/>
      <c r="AK25" s="4783" t="str">
        <f>IF(AD25&lt;&gt;"",INDEX(Tablas!$U$26:$U$38,MAX(MATCH(VLOOKUP(Psíquicos!$AD25,'Tablas psiquica'!$U$7:$AH$110,2,FALSE),Tablas!$U$26:$U$38,0),MAX(SUMPRODUCT(--(Tablas!$T$26:$T$38&lt;=(AL25-20*AI25)))+IF(Tablas!$G$446&gt;0,1,0)+IF(COUNTIF($C$39:$E$50,"Introversión")&gt;0,1,0),SUMPRODUCT(--(Tablas!$T$26:$T$38&lt;=(AL25)))))),"")</f>
        <v/>
      </c>
      <c r="AL25" s="4905">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45"/>
      <c r="D26" s="4846"/>
      <c r="E26" s="4847"/>
      <c r="F26" s="3970"/>
      <c r="G26" s="4838"/>
      <c r="H26" s="4838"/>
      <c r="I26" s="4838"/>
      <c r="J26" s="4838"/>
      <c r="K26" s="4838"/>
      <c r="L26" s="4838"/>
      <c r="M26" s="4838"/>
      <c r="N26" s="4838"/>
      <c r="O26" s="4838"/>
      <c r="P26" s="4838"/>
      <c r="Q26" s="4839"/>
      <c r="R26" s="50"/>
      <c r="S26" s="39"/>
      <c r="T26" s="39"/>
      <c r="U26" s="883"/>
      <c r="V26" s="4775" t="str">
        <f>IF(V25=0,"",VLOOKUP(V25,Tabla_PoderesPsi,2,FALSE))</f>
        <v/>
      </c>
      <c r="W26" s="4776"/>
      <c r="X26" s="4776"/>
      <c r="Y26" s="2566" t="s">
        <v>1597</v>
      </c>
      <c r="Z26" s="2567" t="str">
        <f>IF(V25=0,"",VLOOKUP(V25,Tabla_PoderesPsi,3,FALSE))</f>
        <v/>
      </c>
      <c r="AA26" s="4789"/>
      <c r="AB26" s="4778"/>
      <c r="AC26" s="1472"/>
      <c r="AD26" s="4779" t="str">
        <f>IF(AD25=0,"",VLOOKUP(AD25,Tabla_PoderesPsi,2,FALSE))</f>
        <v/>
      </c>
      <c r="AE26" s="4780"/>
      <c r="AF26" s="4780"/>
      <c r="AG26" s="2994" t="s">
        <v>1597</v>
      </c>
      <c r="AH26" s="2995" t="str">
        <f>IF(AD25=0,"",VLOOKUP(AD25,Tabla_PoderesPsi,3,FALSE))</f>
        <v/>
      </c>
      <c r="AI26" s="4756"/>
      <c r="AJ26" s="4782"/>
      <c r="AK26" s="4784"/>
      <c r="AL26" s="4905"/>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24"/>
      <c r="D27" s="4825"/>
      <c r="E27" s="4826"/>
      <c r="F27" s="4797" t="str">
        <f>IF(C27=0,"",VLOOKUP(C27,Tabla_DisciplinasPsi,2,FALSE))</f>
        <v/>
      </c>
      <c r="G27" s="4840"/>
      <c r="H27" s="4840"/>
      <c r="I27" s="4840"/>
      <c r="J27" s="4840"/>
      <c r="K27" s="4840"/>
      <c r="L27" s="4840"/>
      <c r="M27" s="4840"/>
      <c r="N27" s="4840"/>
      <c r="O27" s="4840"/>
      <c r="P27" s="4840"/>
      <c r="Q27" s="4841"/>
      <c r="R27" s="50"/>
      <c r="S27" s="39"/>
      <c r="T27" s="39"/>
      <c r="U27" s="883">
        <f>IF(V27=0,0,1)</f>
        <v>0</v>
      </c>
      <c r="V27" s="4770"/>
      <c r="W27" s="4771"/>
      <c r="X27" s="4771"/>
      <c r="Y27" s="4771"/>
      <c r="Z27" s="4772"/>
      <c r="AA27" s="4762"/>
      <c r="AB27" s="4764" t="str">
        <f>IF(AA27=0,"",IF(AA27*10&lt;100,AA27*10,100))</f>
        <v/>
      </c>
      <c r="AC27" s="1472"/>
      <c r="AD27" s="4752"/>
      <c r="AE27" s="4753"/>
      <c r="AF27" s="4753"/>
      <c r="AG27" s="4753"/>
      <c r="AH27" s="4754"/>
      <c r="AI27" s="4755"/>
      <c r="AJ27" s="4781"/>
      <c r="AK27" s="4783" t="str">
        <f>IF(AD27&lt;&gt;"",INDEX(Tablas!$U$26:$U$38,MAX(MATCH(VLOOKUP(Psíquicos!$AD27,'Tablas psiquica'!$U$7:$AH$110,2,FALSE),Tablas!$U$26:$U$38,0),MAX(SUMPRODUCT(--(Tablas!$T$26:$T$38&lt;=(AL27-20*AI27)))+IF(Tablas!$G$446&gt;0,1,0)+IF(COUNTIF($C$39:$E$50,"Introversión")&gt;0,1,0),SUMPRODUCT(--(Tablas!$T$26:$T$38&lt;=(AL27)))))),"")</f>
        <v/>
      </c>
      <c r="AL27" s="4905">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24"/>
      <c r="D28" s="4825"/>
      <c r="E28" s="4826"/>
      <c r="F28" s="4797"/>
      <c r="G28" s="4840"/>
      <c r="H28" s="4840"/>
      <c r="I28" s="4840"/>
      <c r="J28" s="4840"/>
      <c r="K28" s="4840"/>
      <c r="L28" s="4840"/>
      <c r="M28" s="4840"/>
      <c r="N28" s="4840"/>
      <c r="O28" s="4840"/>
      <c r="P28" s="4840"/>
      <c r="Q28" s="4841"/>
      <c r="R28" s="50"/>
      <c r="S28" s="39"/>
      <c r="T28" s="39"/>
      <c r="U28" s="883"/>
      <c r="V28" s="4773" t="str">
        <f>IF(V27=0,"",VLOOKUP(V27,Tabla_PoderesPsi,2,FALSE))</f>
        <v/>
      </c>
      <c r="W28" s="4774"/>
      <c r="X28" s="4774"/>
      <c r="Y28" s="2321" t="s">
        <v>1597</v>
      </c>
      <c r="Z28" s="2322" t="str">
        <f>IF(V27=0,"",VLOOKUP(V27,Tabla_PoderesPsi,3,FALSE))</f>
        <v/>
      </c>
      <c r="AA28" s="4762"/>
      <c r="AB28" s="4764"/>
      <c r="AC28" s="102"/>
      <c r="AD28" s="4779" t="str">
        <f>IF(AD27=0,"",VLOOKUP(AD27,Tabla_PoderesPsi,2,FALSE))</f>
        <v/>
      </c>
      <c r="AE28" s="4780"/>
      <c r="AF28" s="4780"/>
      <c r="AG28" s="2994" t="s">
        <v>1597</v>
      </c>
      <c r="AH28" s="2995" t="str">
        <f>IF(AD27=0,"",VLOOKUP(AD27,Tabla_PoderesPsi,3,FALSE))</f>
        <v/>
      </c>
      <c r="AI28" s="4756"/>
      <c r="AJ28" s="4782"/>
      <c r="AK28" s="4784"/>
      <c r="AL28" s="4905"/>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35"/>
      <c r="D29" s="4836"/>
      <c r="E29" s="4837"/>
      <c r="F29" s="3970" t="str">
        <f>IF(C29=0,"",VLOOKUP(C29,Tabla_DisciplinasPsi,2,FALSE))</f>
        <v/>
      </c>
      <c r="G29" s="4838"/>
      <c r="H29" s="4838"/>
      <c r="I29" s="4838"/>
      <c r="J29" s="4838"/>
      <c r="K29" s="4838"/>
      <c r="L29" s="4838"/>
      <c r="M29" s="4838"/>
      <c r="N29" s="4838"/>
      <c r="O29" s="4838"/>
      <c r="P29" s="4838"/>
      <c r="Q29" s="4839"/>
      <c r="R29" s="50"/>
      <c r="S29" s="39"/>
      <c r="T29" s="39"/>
      <c r="U29" s="883">
        <f>IF(V29=0,0,1)</f>
        <v>0</v>
      </c>
      <c r="V29" s="4767"/>
      <c r="W29" s="4768"/>
      <c r="X29" s="4768"/>
      <c r="Y29" s="4768"/>
      <c r="Z29" s="4769"/>
      <c r="AA29" s="4788"/>
      <c r="AB29" s="4777" t="str">
        <f>IF(AA29=0,"",IF(AA29*10&lt;100,AA29*10,100))</f>
        <v/>
      </c>
      <c r="AC29" s="1471"/>
      <c r="AD29" s="4752"/>
      <c r="AE29" s="4753"/>
      <c r="AF29" s="4753"/>
      <c r="AG29" s="4753"/>
      <c r="AH29" s="4754"/>
      <c r="AI29" s="4755"/>
      <c r="AJ29" s="4781"/>
      <c r="AK29" s="4783" t="str">
        <f>IF(AD29&lt;&gt;"",INDEX(Tablas!$U$26:$U$38,MAX(MATCH(VLOOKUP(Psíquicos!$AD29,'Tablas psiquica'!$U$7:$AH$110,2,FALSE),Tablas!$U$26:$U$38,0),MAX(SUMPRODUCT(--(Tablas!$T$26:$T$38&lt;=(AL29-20*AI29)))+IF(Tablas!$G$446&gt;0,1,0)+IF(COUNTIF($C$39:$E$50,"Introversión")&gt;0,1,0),SUMPRODUCT(--(Tablas!$T$26:$T$38&lt;=(AL29)))))),"")</f>
        <v/>
      </c>
      <c r="AL29" s="4905">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35"/>
      <c r="D30" s="4836"/>
      <c r="E30" s="4837"/>
      <c r="F30" s="3970"/>
      <c r="G30" s="4838"/>
      <c r="H30" s="4838"/>
      <c r="I30" s="4838"/>
      <c r="J30" s="4838"/>
      <c r="K30" s="4838"/>
      <c r="L30" s="4838"/>
      <c r="M30" s="4838"/>
      <c r="N30" s="4838"/>
      <c r="O30" s="4838"/>
      <c r="P30" s="4838"/>
      <c r="Q30" s="4839"/>
      <c r="R30" s="50"/>
      <c r="S30" s="39"/>
      <c r="T30" s="39"/>
      <c r="U30" s="883"/>
      <c r="V30" s="4775" t="str">
        <f>IF(V29=0,"",VLOOKUP(V29,Tabla_PoderesPsi,2,FALSE))</f>
        <v/>
      </c>
      <c r="W30" s="4776"/>
      <c r="X30" s="4776"/>
      <c r="Y30" s="2566" t="s">
        <v>1597</v>
      </c>
      <c r="Z30" s="2567" t="str">
        <f>IF(V29=0,"",VLOOKUP(V29,Tabla_PoderesPsi,3,FALSE))</f>
        <v/>
      </c>
      <c r="AA30" s="4789"/>
      <c r="AB30" s="4778"/>
      <c r="AC30" s="1472"/>
      <c r="AD30" s="4779" t="str">
        <f>IF(AD29=0,"",VLOOKUP(AD29,Tabla_PoderesPsi,2,FALSE))</f>
        <v/>
      </c>
      <c r="AE30" s="4780"/>
      <c r="AF30" s="4780"/>
      <c r="AG30" s="2994" t="s">
        <v>1597</v>
      </c>
      <c r="AH30" s="2995" t="str">
        <f>IF(AD29=0,"",VLOOKUP(AD29,Tabla_PoderesPsi,3,FALSE))</f>
        <v/>
      </c>
      <c r="AI30" s="4756"/>
      <c r="AJ30" s="4782"/>
      <c r="AK30" s="4784"/>
      <c r="AL30" s="4905"/>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24"/>
      <c r="D31" s="4825"/>
      <c r="E31" s="4826"/>
      <c r="F31" s="4797" t="str">
        <f>IF(C31=0,"",VLOOKUP(C31,Tabla_DisciplinasPsi,2,FALSE))</f>
        <v/>
      </c>
      <c r="G31" s="4840"/>
      <c r="H31" s="4840"/>
      <c r="I31" s="4840"/>
      <c r="J31" s="4840"/>
      <c r="K31" s="4840"/>
      <c r="L31" s="4840"/>
      <c r="M31" s="4840"/>
      <c r="N31" s="4840"/>
      <c r="O31" s="4840"/>
      <c r="P31" s="4840"/>
      <c r="Q31" s="4841"/>
      <c r="R31" s="50"/>
      <c r="S31" s="39"/>
      <c r="T31" s="39"/>
      <c r="U31" s="883">
        <f>IF(V31=0,0,1)</f>
        <v>0</v>
      </c>
      <c r="V31" s="4770"/>
      <c r="W31" s="4771"/>
      <c r="X31" s="4771"/>
      <c r="Y31" s="4771"/>
      <c r="Z31" s="4772"/>
      <c r="AA31" s="4762"/>
      <c r="AB31" s="4764" t="str">
        <f>IF(AA31=0,"",IF(AA31*10&lt;100,AA31*10,100))</f>
        <v/>
      </c>
      <c r="AC31" s="1472"/>
      <c r="AD31" s="4752"/>
      <c r="AE31" s="4753"/>
      <c r="AF31" s="4753"/>
      <c r="AG31" s="4753"/>
      <c r="AH31" s="4754"/>
      <c r="AI31" s="4755"/>
      <c r="AJ31" s="4781"/>
      <c r="AK31" s="4783" t="str">
        <f>IF(AD31&lt;&gt;"",INDEX(Tablas!$U$26:$U$38,MAX(MATCH(VLOOKUP(Psíquicos!$AD31,'Tablas psiquica'!$U$7:$AH$110,2,FALSE),Tablas!$U$26:$U$38,0),MAX(SUMPRODUCT(--(Tablas!$T$26:$T$38&lt;=(AL31-20*AI31)))+IF(Tablas!$G$446&gt;0,1,0)+IF(COUNTIF($C$39:$E$50,"Introversión")&gt;0,1,0),SUMPRODUCT(--(Tablas!$T$26:$T$38&lt;=(AL31)))))),"")</f>
        <v/>
      </c>
      <c r="AL31" s="4905">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24"/>
      <c r="D32" s="4825"/>
      <c r="E32" s="4826"/>
      <c r="F32" s="4797"/>
      <c r="G32" s="4840"/>
      <c r="H32" s="4840"/>
      <c r="I32" s="4840"/>
      <c r="J32" s="4840"/>
      <c r="K32" s="4840"/>
      <c r="L32" s="4840"/>
      <c r="M32" s="4840"/>
      <c r="N32" s="4840"/>
      <c r="O32" s="4840"/>
      <c r="P32" s="4840"/>
      <c r="Q32" s="4841"/>
      <c r="R32" s="50"/>
      <c r="S32" s="39"/>
      <c r="T32" s="39"/>
      <c r="U32" s="883"/>
      <c r="V32" s="4773" t="str">
        <f>IF(V31=0,"",VLOOKUP(V31,Tabla_PoderesPsi,2,FALSE))</f>
        <v/>
      </c>
      <c r="W32" s="4774"/>
      <c r="X32" s="4774"/>
      <c r="Y32" s="2321" t="s">
        <v>1597</v>
      </c>
      <c r="Z32" s="2322" t="str">
        <f>IF(V31=0,"",VLOOKUP(V31,Tabla_PoderesPsi,3,FALSE))</f>
        <v/>
      </c>
      <c r="AA32" s="4762"/>
      <c r="AB32" s="4764"/>
      <c r="AC32" s="119"/>
      <c r="AD32" s="4779" t="str">
        <f>IF(AD31=0,"",VLOOKUP(AD31,Tabla_PoderesPsi,2,FALSE))</f>
        <v/>
      </c>
      <c r="AE32" s="4780"/>
      <c r="AF32" s="4780"/>
      <c r="AG32" s="2994" t="s">
        <v>1597</v>
      </c>
      <c r="AH32" s="2995" t="str">
        <f>IF(AD31=0,"",VLOOKUP(AD31,Tabla_PoderesPsi,3,FALSE))</f>
        <v/>
      </c>
      <c r="AI32" s="4756"/>
      <c r="AJ32" s="4782"/>
      <c r="AK32" s="4784"/>
      <c r="AL32" s="4905"/>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35"/>
      <c r="D33" s="4836"/>
      <c r="E33" s="4837"/>
      <c r="F33" s="3970" t="str">
        <f>IF(C33=0,"",VLOOKUP(C33,Tabla_DisciplinasPsi,2,FALSE))</f>
        <v/>
      </c>
      <c r="G33" s="4838"/>
      <c r="H33" s="4838"/>
      <c r="I33" s="4838"/>
      <c r="J33" s="4838"/>
      <c r="K33" s="4838"/>
      <c r="L33" s="4838"/>
      <c r="M33" s="4838"/>
      <c r="N33" s="4838"/>
      <c r="O33" s="4838"/>
      <c r="P33" s="4838"/>
      <c r="Q33" s="4839"/>
      <c r="R33" s="50"/>
      <c r="S33" s="39"/>
      <c r="T33" s="39"/>
      <c r="U33" s="883">
        <f>IF(V33=0,0,1)</f>
        <v>0</v>
      </c>
      <c r="V33" s="4767"/>
      <c r="W33" s="4768"/>
      <c r="X33" s="4768"/>
      <c r="Y33" s="4768"/>
      <c r="Z33" s="4769"/>
      <c r="AA33" s="4788"/>
      <c r="AB33" s="4777" t="str">
        <f>IF(AA33=0,"",IF(AA33*10&lt;100,AA33*10,100))</f>
        <v/>
      </c>
      <c r="AC33" s="119"/>
      <c r="AD33" s="4752"/>
      <c r="AE33" s="4753"/>
      <c r="AF33" s="4753"/>
      <c r="AG33" s="4753"/>
      <c r="AH33" s="4754"/>
      <c r="AI33" s="4755"/>
      <c r="AJ33" s="4781"/>
      <c r="AK33" s="4783" t="str">
        <f>IF(AD33&lt;&gt;"",INDEX(Tablas!$U$26:$U$38,MAX(MATCH(VLOOKUP(Psíquicos!$AD33,'Tablas psiquica'!$U$7:$AH$110,2,FALSE),Tablas!$U$26:$U$38,0),MAX(SUMPRODUCT(--(Tablas!$T$26:$T$38&lt;=(AL33-20*AI33)))+IF(Tablas!$G$446&gt;0,1,0)+IF(COUNTIF($C$39:$E$50,"Introversión")&gt;0,1,0),SUMPRODUCT(--(Tablas!$T$26:$T$38&lt;=(AL33)))))),"")</f>
        <v/>
      </c>
      <c r="AL33" s="4905">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35"/>
      <c r="D34" s="4836"/>
      <c r="E34" s="4837"/>
      <c r="F34" s="3970"/>
      <c r="G34" s="4838"/>
      <c r="H34" s="4838"/>
      <c r="I34" s="4838"/>
      <c r="J34" s="4838"/>
      <c r="K34" s="4838"/>
      <c r="L34" s="4838"/>
      <c r="M34" s="4838"/>
      <c r="N34" s="4838"/>
      <c r="O34" s="4838"/>
      <c r="P34" s="4838"/>
      <c r="Q34" s="4839"/>
      <c r="R34" s="50"/>
      <c r="S34" s="39"/>
      <c r="T34" s="39"/>
      <c r="U34" s="883"/>
      <c r="V34" s="4775" t="str">
        <f>IF(V33=0,"",VLOOKUP(V33,Tabla_PoderesPsi,2,FALSE))</f>
        <v/>
      </c>
      <c r="W34" s="4776"/>
      <c r="X34" s="4776"/>
      <c r="Y34" s="2566" t="s">
        <v>1597</v>
      </c>
      <c r="Z34" s="2567" t="str">
        <f>IF(V33=0,"",VLOOKUP(V33,Tabla_PoderesPsi,3,FALSE))</f>
        <v/>
      </c>
      <c r="AA34" s="4789"/>
      <c r="AB34" s="4778"/>
      <c r="AC34" s="1200"/>
      <c r="AD34" s="4779" t="str">
        <f>IF(AD33=0,"",VLOOKUP(AD33,Tabla_PoderesPsi,2,FALSE))</f>
        <v/>
      </c>
      <c r="AE34" s="4780"/>
      <c r="AF34" s="4780"/>
      <c r="AG34" s="2994" t="s">
        <v>1597</v>
      </c>
      <c r="AH34" s="2995" t="str">
        <f>IF(AD33=0,"",VLOOKUP(AD33,Tabla_PoderesPsi,3,FALSE))</f>
        <v/>
      </c>
      <c r="AI34" s="4756"/>
      <c r="AJ34" s="4782"/>
      <c r="AK34" s="4784"/>
      <c r="AL34" s="4905"/>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24"/>
      <c r="D35" s="4825"/>
      <c r="E35" s="4826"/>
      <c r="F35" s="4830" t="str">
        <f>IF(C35=0,"",VLOOKUP(C35,Tabla_DisciplinasPsi,2,FALSE))</f>
        <v/>
      </c>
      <c r="G35" s="4831"/>
      <c r="H35" s="4831"/>
      <c r="I35" s="4831"/>
      <c r="J35" s="4831"/>
      <c r="K35" s="4831"/>
      <c r="L35" s="4831"/>
      <c r="M35" s="4831"/>
      <c r="N35" s="4831"/>
      <c r="O35" s="4831"/>
      <c r="P35" s="4831"/>
      <c r="Q35" s="4832"/>
      <c r="R35" s="50"/>
      <c r="S35" s="39"/>
      <c r="T35" s="39"/>
      <c r="U35" s="883">
        <f>IF(V35=0,0,1)</f>
        <v>0</v>
      </c>
      <c r="V35" s="4770"/>
      <c r="W35" s="4771"/>
      <c r="X35" s="4771"/>
      <c r="Y35" s="4771"/>
      <c r="Z35" s="4772"/>
      <c r="AA35" s="4762"/>
      <c r="AB35" s="4764" t="str">
        <f>IF(AA35=0,"",IF(AA35*10&lt;100,AA35*10,100))</f>
        <v/>
      </c>
      <c r="AC35" s="1472"/>
      <c r="AD35" s="4752"/>
      <c r="AE35" s="4753"/>
      <c r="AF35" s="4753"/>
      <c r="AG35" s="4753"/>
      <c r="AH35" s="4754"/>
      <c r="AI35" s="4755"/>
      <c r="AJ35" s="4781"/>
      <c r="AK35" s="4783" t="str">
        <f>IF(AD35&lt;&gt;"",INDEX(Tablas!$U$26:$U$38,MAX(MATCH(VLOOKUP(Psíquicos!$AD35,'Tablas psiquica'!$U$7:$AH$110,2,FALSE),Tablas!$U$26:$U$38,0),MAX(SUMPRODUCT(--(Tablas!$T$26:$T$38&lt;=(AL35-20*AI35)))+IF(Tablas!$G$446&gt;0,1,0)+IF(COUNTIF($C$39:$E$50,"Introversión")&gt;0,1,0),SUMPRODUCT(--(Tablas!$T$26:$T$38&lt;=(AL35)))))),"")</f>
        <v/>
      </c>
      <c r="AL35" s="4905">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27"/>
      <c r="D36" s="4828"/>
      <c r="E36" s="4829"/>
      <c r="F36" s="4806"/>
      <c r="G36" s="4833"/>
      <c r="H36" s="4833"/>
      <c r="I36" s="4833"/>
      <c r="J36" s="4833"/>
      <c r="K36" s="4833"/>
      <c r="L36" s="4833"/>
      <c r="M36" s="4833"/>
      <c r="N36" s="4833"/>
      <c r="O36" s="4833"/>
      <c r="P36" s="4833"/>
      <c r="Q36" s="4834"/>
      <c r="R36" s="50"/>
      <c r="S36" s="39"/>
      <c r="T36" s="39"/>
      <c r="U36" s="883"/>
      <c r="V36" s="4773" t="str">
        <f>IF(V35=0,"",VLOOKUP(V35,Tabla_PoderesPsi,2,FALSE))</f>
        <v/>
      </c>
      <c r="W36" s="4774"/>
      <c r="X36" s="4774"/>
      <c r="Y36" s="2321" t="s">
        <v>1597</v>
      </c>
      <c r="Z36" s="2322" t="str">
        <f>IF(V35=0,"",VLOOKUP(V35,Tabla_PoderesPsi,3,FALSE))</f>
        <v/>
      </c>
      <c r="AA36" s="4762"/>
      <c r="AB36" s="4764"/>
      <c r="AC36" s="1472"/>
      <c r="AD36" s="4779" t="str">
        <f>IF(AD35=0,"",VLOOKUP(AD35,Tabla_PoderesPsi,2,FALSE))</f>
        <v/>
      </c>
      <c r="AE36" s="4780"/>
      <c r="AF36" s="4780"/>
      <c r="AG36" s="2994" t="s">
        <v>1597</v>
      </c>
      <c r="AH36" s="2995" t="str">
        <f>IF(AD35=0,"",VLOOKUP(AD35,Tabla_PoderesPsi,3,FALSE))</f>
        <v/>
      </c>
      <c r="AI36" s="4756"/>
      <c r="AJ36" s="4782"/>
      <c r="AK36" s="4784"/>
      <c r="AL36" s="4905"/>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67"/>
      <c r="W37" s="4768"/>
      <c r="X37" s="4768"/>
      <c r="Y37" s="4768"/>
      <c r="Z37" s="4769"/>
      <c r="AA37" s="4788"/>
      <c r="AB37" s="4777" t="str">
        <f>IF(AA37=0,"",IF(AA37*10&lt;100,AA37*10,100))</f>
        <v/>
      </c>
      <c r="AC37" s="102"/>
      <c r="AD37" s="4752"/>
      <c r="AE37" s="4753"/>
      <c r="AF37" s="4753"/>
      <c r="AG37" s="4753"/>
      <c r="AH37" s="4754"/>
      <c r="AI37" s="4755"/>
      <c r="AJ37" s="4781"/>
      <c r="AK37" s="4783" t="str">
        <f>IF(AD37&lt;&gt;"",INDEX(Tablas!$U$26:$U$38,MAX(MATCH(VLOOKUP(Psíquicos!$AD37,'Tablas psiquica'!$U$7:$AH$110,2,FALSE),Tablas!$U$26:$U$38,0),MAX(SUMPRODUCT(--(Tablas!$T$26:$T$38&lt;=(AL37-20*AI37)))+IF(Tablas!$G$446&gt;0,1,0)+IF(COUNTIF($C$39:$E$50,"Introversión")&gt;0,1,0),SUMPRODUCT(--(Tablas!$T$26:$T$38&lt;=(AL37)))))),"")</f>
        <v/>
      </c>
      <c r="AL37" s="4905">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26" t="s">
        <v>1798</v>
      </c>
      <c r="D38" s="3190"/>
      <c r="E38" s="3190"/>
      <c r="F38" s="4814" t="s">
        <v>2099</v>
      </c>
      <c r="G38" s="4814"/>
      <c r="H38" s="4814"/>
      <c r="I38" s="4814"/>
      <c r="J38" s="4814"/>
      <c r="K38" s="4814"/>
      <c r="L38" s="4814"/>
      <c r="M38" s="4814"/>
      <c r="N38" s="4814"/>
      <c r="O38" s="4814"/>
      <c r="P38" s="4814"/>
      <c r="Q38" s="4815"/>
      <c r="R38" s="50"/>
      <c r="S38" s="39"/>
      <c r="T38" s="39"/>
      <c r="U38" s="883"/>
      <c r="V38" s="4775" t="str">
        <f>IF(V37=0,"",VLOOKUP(V37,Tabla_PoderesPsi,2,FALSE))</f>
        <v/>
      </c>
      <c r="W38" s="4776"/>
      <c r="X38" s="4776"/>
      <c r="Y38" s="2566" t="s">
        <v>1597</v>
      </c>
      <c r="Z38" s="2567" t="str">
        <f>IF(V37=0,"",VLOOKUP(V37,Tabla_PoderesPsi,3,FALSE))</f>
        <v/>
      </c>
      <c r="AA38" s="4789"/>
      <c r="AB38" s="4778"/>
      <c r="AC38" s="1471"/>
      <c r="AD38" s="4779" t="str">
        <f>IF(AD37=0,"",VLOOKUP(AD37,Tabla_PoderesPsi,2,FALSE))</f>
        <v/>
      </c>
      <c r="AE38" s="4780"/>
      <c r="AF38" s="4780"/>
      <c r="AG38" s="2994" t="s">
        <v>1597</v>
      </c>
      <c r="AH38" s="2995" t="str">
        <f>IF(AD37=0,"",VLOOKUP(AD37,Tabla_PoderesPsi,3,FALSE))</f>
        <v/>
      </c>
      <c r="AI38" s="4756"/>
      <c r="AJ38" s="4782"/>
      <c r="AK38" s="4784"/>
      <c r="AL38" s="4905"/>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16" t="str">
        <f>IF(PDs!E111=0,"",PDs!E111)</f>
        <v/>
      </c>
      <c r="D39" s="4817"/>
      <c r="E39" s="4818"/>
      <c r="F39" s="4819" t="str">
        <f>IF(C39="","",VLOOKUP(C39,Tablas!$D$1102:$R$1117,15,FALSE))</f>
        <v/>
      </c>
      <c r="G39" s="4819"/>
      <c r="H39" s="4819"/>
      <c r="I39" s="4819"/>
      <c r="J39" s="4819"/>
      <c r="K39" s="4819"/>
      <c r="L39" s="4819"/>
      <c r="M39" s="4819"/>
      <c r="N39" s="4819"/>
      <c r="O39" s="4819"/>
      <c r="P39" s="4819"/>
      <c r="Q39" s="4820"/>
      <c r="R39" s="50"/>
      <c r="S39" s="39"/>
      <c r="T39" s="39"/>
      <c r="U39" s="883">
        <f>IF(V39=0,0,1)</f>
        <v>0</v>
      </c>
      <c r="V39" s="4770"/>
      <c r="W39" s="4771"/>
      <c r="X39" s="4771"/>
      <c r="Y39" s="4771"/>
      <c r="Z39" s="4772"/>
      <c r="AA39" s="4762"/>
      <c r="AB39" s="4764" t="str">
        <f>IF(AA39=0,"",IF(AA39*10&lt;100,AA39*10,100))</f>
        <v/>
      </c>
      <c r="AC39" s="1472"/>
      <c r="AD39" s="4752"/>
      <c r="AE39" s="4753"/>
      <c r="AF39" s="4753"/>
      <c r="AG39" s="4753"/>
      <c r="AH39" s="4754"/>
      <c r="AI39" s="4755"/>
      <c r="AJ39" s="4781"/>
      <c r="AK39" s="4783" t="str">
        <f>IF(AD39&lt;&gt;"",INDEX(Tablas!$U$26:$U$38,MAX(MATCH(VLOOKUP(Psíquicos!$AD39,'Tablas psiquica'!$U$7:$AH$110,2,FALSE),Tablas!$U$26:$U$38,0),MAX(SUMPRODUCT(--(Tablas!$T$26:$T$38&lt;=(AL39-20*AI39)))+IF(Tablas!$G$446&gt;0,1,0)+IF(COUNTIF($C$39:$E$50,"Introversión")&gt;0,1,0),SUMPRODUCT(--(Tablas!$T$26:$T$38&lt;=(AL39)))))),"")</f>
        <v/>
      </c>
      <c r="AL39" s="4905">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02"/>
      <c r="D40" s="4803"/>
      <c r="E40" s="4804"/>
      <c r="F40" s="3970" t="str">
        <f>IF(C39="","",VLOOKUP(C39,Tablas!$D$1102:$R$1117,7,FALSE))</f>
        <v/>
      </c>
      <c r="G40" s="3970"/>
      <c r="H40" s="3970"/>
      <c r="I40" s="3970"/>
      <c r="J40" s="3970"/>
      <c r="K40" s="3970"/>
      <c r="L40" s="3970"/>
      <c r="M40" s="3970"/>
      <c r="N40" s="3970"/>
      <c r="O40" s="3970"/>
      <c r="P40" s="3970"/>
      <c r="Q40" s="4805"/>
      <c r="R40" s="50"/>
      <c r="S40" s="39"/>
      <c r="T40" s="39"/>
      <c r="U40" s="883"/>
      <c r="V40" s="4773" t="str">
        <f>IF(V39=0,"",VLOOKUP(V39,Tabla_PoderesPsi,2,FALSE))</f>
        <v/>
      </c>
      <c r="W40" s="4774"/>
      <c r="X40" s="4774"/>
      <c r="Y40" s="2321" t="s">
        <v>1597</v>
      </c>
      <c r="Z40" s="2322" t="str">
        <f>IF(V39=0,"",VLOOKUP(V39,Tabla_PoderesPsi,3,FALSE))</f>
        <v/>
      </c>
      <c r="AA40" s="4762"/>
      <c r="AB40" s="4764"/>
      <c r="AC40" s="1472"/>
      <c r="AD40" s="4779" t="str">
        <f>IF(AD39=0,"",VLOOKUP(AD39,Tabla_PoderesPsi,2,FALSE))</f>
        <v/>
      </c>
      <c r="AE40" s="4780"/>
      <c r="AF40" s="4780"/>
      <c r="AG40" s="2994" t="s">
        <v>1597</v>
      </c>
      <c r="AH40" s="2995" t="str">
        <f>IF(AD39=0,"",VLOOKUP(AD39,Tabla_PoderesPsi,3,FALSE))</f>
        <v/>
      </c>
      <c r="AI40" s="4756"/>
      <c r="AJ40" s="4782"/>
      <c r="AK40" s="4784"/>
      <c r="AL40" s="4905"/>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91" t="str">
        <f>IF(PDs!E112=0,"",PDs!E112)</f>
        <v/>
      </c>
      <c r="D41" s="4792"/>
      <c r="E41" s="4793"/>
      <c r="F41" s="4797" t="str">
        <f>IF(C41="","",VLOOKUP(C41,Tablas!$D$1102:$R$1117,15,FALSE))</f>
        <v/>
      </c>
      <c r="G41" s="4797"/>
      <c r="H41" s="4797"/>
      <c r="I41" s="4797"/>
      <c r="J41" s="4797"/>
      <c r="K41" s="4797"/>
      <c r="L41" s="4797"/>
      <c r="M41" s="4797"/>
      <c r="N41" s="4797"/>
      <c r="O41" s="4797"/>
      <c r="P41" s="4797"/>
      <c r="Q41" s="4798"/>
      <c r="R41" s="50"/>
      <c r="S41" s="39"/>
      <c r="T41" s="39"/>
      <c r="U41" s="883">
        <f>IF(V41=0,0,1)</f>
        <v>0</v>
      </c>
      <c r="V41" s="4821"/>
      <c r="W41" s="4822"/>
      <c r="X41" s="4822"/>
      <c r="Y41" s="4822"/>
      <c r="Z41" s="4823"/>
      <c r="AA41" s="4788"/>
      <c r="AB41" s="4777" t="str">
        <f>IF(AA41=0,"",IF(AA41*10&lt;100,AA41*10,100))</f>
        <v/>
      </c>
      <c r="AC41" s="119"/>
      <c r="AD41" s="4752"/>
      <c r="AE41" s="4753"/>
      <c r="AF41" s="4753"/>
      <c r="AG41" s="4753"/>
      <c r="AH41" s="4754"/>
      <c r="AI41" s="4755"/>
      <c r="AJ41" s="4781"/>
      <c r="AK41" s="4783" t="str">
        <f>IF(AD41&lt;&gt;"",INDEX(Tablas!$U$26:$U$38,MAX(MATCH(VLOOKUP(Psíquicos!$AD41,'Tablas psiquica'!$U$7:$AH$110,2,FALSE),Tablas!$U$26:$U$38,0),MAX(SUMPRODUCT(--(Tablas!$T$26:$T$38&lt;=(AL41-20*AI41)))+IF(Tablas!$G$446&gt;0,1,0)+IF(COUNTIF($C$39:$E$50,"Introversión")&gt;0,1,0),SUMPRODUCT(--(Tablas!$T$26:$T$38&lt;=(AL41)))))),"")</f>
        <v/>
      </c>
      <c r="AL41" s="4905">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08"/>
      <c r="D42" s="4809"/>
      <c r="E42" s="4810"/>
      <c r="F42" s="4797" t="str">
        <f>IF(C41="","",VLOOKUP(C41,Tablas!$D$1102:$R$1117,7,FALSE))</f>
        <v/>
      </c>
      <c r="G42" s="4797"/>
      <c r="H42" s="4797"/>
      <c r="I42" s="4797"/>
      <c r="J42" s="4797"/>
      <c r="K42" s="4797"/>
      <c r="L42" s="4797"/>
      <c r="M42" s="4797"/>
      <c r="N42" s="4797"/>
      <c r="O42" s="4797"/>
      <c r="P42" s="4797"/>
      <c r="Q42" s="4798"/>
      <c r="R42" s="50"/>
      <c r="S42" s="39"/>
      <c r="T42" s="39"/>
      <c r="U42" s="883"/>
      <c r="V42" s="4812" t="str">
        <f>IF(V41=0,"",VLOOKUP(V41,Tabla_PoderesPsi,2,FALSE))</f>
        <v/>
      </c>
      <c r="W42" s="4813"/>
      <c r="X42" s="4813"/>
      <c r="Y42" s="2566" t="s">
        <v>1597</v>
      </c>
      <c r="Z42" s="2567" t="str">
        <f>IF(V41=0,"",VLOOKUP(V41,Tabla_PoderesPsi,3,FALSE))</f>
        <v/>
      </c>
      <c r="AA42" s="4789"/>
      <c r="AB42" s="4778"/>
      <c r="AC42" s="119"/>
      <c r="AD42" s="4779" t="str">
        <f>IF(AD41=0,"",VLOOKUP(AD41,Tabla_PoderesPsi,2,FALSE))</f>
        <v/>
      </c>
      <c r="AE42" s="4780"/>
      <c r="AF42" s="4780"/>
      <c r="AG42" s="2994" t="s">
        <v>1597</v>
      </c>
      <c r="AH42" s="2995" t="str">
        <f>IF(AD41=0,"",VLOOKUP(AD41,Tabla_PoderesPsi,3,FALSE))</f>
        <v/>
      </c>
      <c r="AI42" s="4756"/>
      <c r="AJ42" s="4782"/>
      <c r="AK42" s="4784"/>
      <c r="AL42" s="4905"/>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799" t="str">
        <f>IF(PDs!E113=0,"",PDs!E113)</f>
        <v/>
      </c>
      <c r="D43" s="4800"/>
      <c r="E43" s="4801"/>
      <c r="F43" s="3970" t="str">
        <f>IF(C43="","",VLOOKUP(C43,Tablas!$D$1102:$R$1117,15,FALSE))</f>
        <v/>
      </c>
      <c r="G43" s="3970"/>
      <c r="H43" s="3970"/>
      <c r="I43" s="3970"/>
      <c r="J43" s="3970"/>
      <c r="K43" s="3970"/>
      <c r="L43" s="3970"/>
      <c r="M43" s="3970"/>
      <c r="N43" s="3970"/>
      <c r="O43" s="3970"/>
      <c r="P43" s="3970"/>
      <c r="Q43" s="4805"/>
      <c r="R43" s="50"/>
      <c r="S43" s="39"/>
      <c r="T43" s="39"/>
      <c r="U43" s="883">
        <f>IF(V43=0,0,1)</f>
        <v>0</v>
      </c>
      <c r="V43" s="4770"/>
      <c r="W43" s="4771"/>
      <c r="X43" s="4771"/>
      <c r="Y43" s="4771"/>
      <c r="Z43" s="4772"/>
      <c r="AA43" s="4762"/>
      <c r="AB43" s="4764" t="str">
        <f>IF(AA43=0,"",IF(AA43*10&lt;100,AA43*10,100))</f>
        <v/>
      </c>
      <c r="AC43" s="1200"/>
      <c r="AD43" s="4752"/>
      <c r="AE43" s="4753"/>
      <c r="AF43" s="4753"/>
      <c r="AG43" s="4753"/>
      <c r="AH43" s="4754"/>
      <c r="AI43" s="4755"/>
      <c r="AJ43" s="4781"/>
      <c r="AK43" s="4783" t="str">
        <f>IF(AD43&lt;&gt;"",INDEX(Tablas!$U$26:$U$38,MAX(MATCH(VLOOKUP(Psíquicos!$AD43,'Tablas psiquica'!$U$7:$AH$110,2,FALSE),Tablas!$U$26:$U$38,0),MAX(SUMPRODUCT(--(Tablas!$T$26:$T$38&lt;=(AL43-20*AI43)))+IF(Tablas!$G$446&gt;0,1,0)+IF(COUNTIF($C$39:$E$50,"Introversión")&gt;0,1,0),SUMPRODUCT(--(Tablas!$T$26:$T$38&lt;=(AL43)))))),"")</f>
        <v/>
      </c>
      <c r="AL43" s="4905">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02"/>
      <c r="D44" s="4803"/>
      <c r="E44" s="4804"/>
      <c r="F44" s="3970" t="str">
        <f>IF(C43="","",VLOOKUP(C43,Tablas!$D$1102:$R$1117,7,FALSE))</f>
        <v/>
      </c>
      <c r="G44" s="3970"/>
      <c r="H44" s="3970"/>
      <c r="I44" s="3970"/>
      <c r="J44" s="3970"/>
      <c r="K44" s="3970"/>
      <c r="L44" s="3970"/>
      <c r="M44" s="3970"/>
      <c r="N44" s="3970"/>
      <c r="O44" s="3970"/>
      <c r="P44" s="3970"/>
      <c r="Q44" s="4805"/>
      <c r="R44" s="50"/>
      <c r="S44" s="39"/>
      <c r="T44" s="39"/>
      <c r="U44" s="883"/>
      <c r="V44" s="4773" t="str">
        <f>IF(V43=0,"",VLOOKUP(V43,Tabla_PoderesPsi,2,FALSE))</f>
        <v/>
      </c>
      <c r="W44" s="4774"/>
      <c r="X44" s="4774"/>
      <c r="Y44" s="2321" t="s">
        <v>1597</v>
      </c>
      <c r="Z44" s="2322" t="str">
        <f>IF(V43=0,"",VLOOKUP(V43,Tabla_PoderesPsi,3,FALSE))</f>
        <v/>
      </c>
      <c r="AA44" s="4762"/>
      <c r="AB44" s="4764"/>
      <c r="AC44" s="57"/>
      <c r="AD44" s="4779" t="str">
        <f>IF(AD43=0,"",VLOOKUP(AD43,Tabla_PoderesPsi,2,FALSE))</f>
        <v/>
      </c>
      <c r="AE44" s="4780"/>
      <c r="AF44" s="4780"/>
      <c r="AG44" s="2994" t="s">
        <v>1597</v>
      </c>
      <c r="AH44" s="2995" t="str">
        <f>IF(AD43=0,"",VLOOKUP(AD43,Tabla_PoderesPsi,3,FALSE))</f>
        <v/>
      </c>
      <c r="AI44" s="4756"/>
      <c r="AJ44" s="4782"/>
      <c r="AK44" s="4784"/>
      <c r="AL44" s="4905"/>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91" t="str">
        <f>IF(PDs!E114=0,"",PDs!E114)</f>
        <v/>
      </c>
      <c r="D45" s="4792"/>
      <c r="E45" s="4793"/>
      <c r="F45" s="4797" t="str">
        <f>IF(C45="","",VLOOKUP(C45,Tablas!$D$1102:$R$1117,15,FALSE))</f>
        <v/>
      </c>
      <c r="G45" s="4797"/>
      <c r="H45" s="4797"/>
      <c r="I45" s="4797"/>
      <c r="J45" s="4797"/>
      <c r="K45" s="4797"/>
      <c r="L45" s="4797"/>
      <c r="M45" s="4797"/>
      <c r="N45" s="4797"/>
      <c r="O45" s="4797"/>
      <c r="P45" s="4797"/>
      <c r="Q45" s="4798"/>
      <c r="R45" s="50"/>
      <c r="S45" s="39"/>
      <c r="T45" s="39"/>
      <c r="U45" s="883">
        <f>IF(V45=0,0,1)</f>
        <v>0</v>
      </c>
      <c r="V45" s="4767"/>
      <c r="W45" s="4768"/>
      <c r="X45" s="4768"/>
      <c r="Y45" s="4768"/>
      <c r="Z45" s="4769"/>
      <c r="AA45" s="4788"/>
      <c r="AB45" s="4777" t="str">
        <f>IF(AA45=0,"",IF(AA45*10&lt;100,AA45*10,100))</f>
        <v/>
      </c>
      <c r="AC45" s="57"/>
      <c r="AD45" s="4752"/>
      <c r="AE45" s="4753"/>
      <c r="AF45" s="4753"/>
      <c r="AG45" s="4753"/>
      <c r="AH45" s="4754"/>
      <c r="AI45" s="4755"/>
      <c r="AJ45" s="4781"/>
      <c r="AK45" s="4783" t="str">
        <f>IF(AD45&lt;&gt;"",INDEX(Tablas!$U$26:$U$38,MAX(MATCH(VLOOKUP(Psíquicos!$AD45,'Tablas psiquica'!$U$7:$AH$110,2,FALSE),Tablas!$U$26:$U$38,0),MAX(SUMPRODUCT(--(Tablas!$T$26:$T$38&lt;=(AL45-20*AI45)))+IF(Tablas!$G$446&gt;0,1,0)+IF(COUNTIF($C$39:$E$50,"Introversión")&gt;0,1,0),SUMPRODUCT(--(Tablas!$T$26:$T$38&lt;=(AL45)))))),"")</f>
        <v/>
      </c>
      <c r="AL45" s="4905">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08"/>
      <c r="D46" s="4809"/>
      <c r="E46" s="4810"/>
      <c r="F46" s="4797" t="str">
        <f>IF(C45="","",VLOOKUP(C45,Tablas!$D$1102:$R$1117,7,FALSE))</f>
        <v/>
      </c>
      <c r="G46" s="4797"/>
      <c r="H46" s="4797"/>
      <c r="I46" s="4797"/>
      <c r="J46" s="4797"/>
      <c r="K46" s="4797"/>
      <c r="L46" s="4797"/>
      <c r="M46" s="4797"/>
      <c r="N46" s="4797"/>
      <c r="O46" s="4797"/>
      <c r="P46" s="4797"/>
      <c r="Q46" s="4798"/>
      <c r="R46" s="50"/>
      <c r="S46" s="39"/>
      <c r="T46" s="39"/>
      <c r="U46" s="883"/>
      <c r="V46" s="4775" t="str">
        <f>IF(V45=0,"",VLOOKUP(V45,Tabla_PoderesPsi,2,FALSE))</f>
        <v/>
      </c>
      <c r="W46" s="4776"/>
      <c r="X46" s="4776"/>
      <c r="Y46" s="2566" t="s">
        <v>1597</v>
      </c>
      <c r="Z46" s="2567" t="str">
        <f>IF(V45=0,"",VLOOKUP(V45,Tabla_PoderesPsi,3,FALSE))</f>
        <v/>
      </c>
      <c r="AA46" s="4789"/>
      <c r="AB46" s="4778"/>
      <c r="AC46" s="57"/>
      <c r="AD46" s="4779" t="str">
        <f>IF(AD45=0,"",VLOOKUP(AD45,Tabla_PoderesPsi,2,FALSE))</f>
        <v/>
      </c>
      <c r="AE46" s="4780"/>
      <c r="AF46" s="4780"/>
      <c r="AG46" s="2994" t="s">
        <v>1597</v>
      </c>
      <c r="AH46" s="2995" t="str">
        <f>IF(AD45=0,"",VLOOKUP(AD45,Tabla_PoderesPsi,3,FALSE))</f>
        <v/>
      </c>
      <c r="AI46" s="4756"/>
      <c r="AJ46" s="4782"/>
      <c r="AK46" s="4784"/>
      <c r="AL46" s="4905"/>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799" t="str">
        <f>IF(PDs!E115=0,"",PDs!E115)</f>
        <v/>
      </c>
      <c r="D47" s="4800"/>
      <c r="E47" s="4801"/>
      <c r="F47" s="3970" t="str">
        <f>IF(C47="","",VLOOKUP(C47,Tablas!$D$1102:$R$1117,15,FALSE))</f>
        <v/>
      </c>
      <c r="G47" s="3970"/>
      <c r="H47" s="3970"/>
      <c r="I47" s="3970"/>
      <c r="J47" s="3970"/>
      <c r="K47" s="3970"/>
      <c r="L47" s="3970"/>
      <c r="M47" s="3970"/>
      <c r="N47" s="3970"/>
      <c r="O47" s="3970"/>
      <c r="P47" s="3970"/>
      <c r="Q47" s="4805"/>
      <c r="R47" s="50"/>
      <c r="S47" s="39"/>
      <c r="T47" s="39"/>
      <c r="U47" s="883">
        <f>IF(V47=0,0,1)</f>
        <v>0</v>
      </c>
      <c r="V47" s="4770"/>
      <c r="W47" s="4771"/>
      <c r="X47" s="4771"/>
      <c r="Y47" s="4771"/>
      <c r="Z47" s="4772"/>
      <c r="AA47" s="4762"/>
      <c r="AB47" s="4764" t="str">
        <f>IF(AA47=0,"",IF(AA47*10&lt;100,AA47*10,100))</f>
        <v/>
      </c>
      <c r="AC47" s="57"/>
      <c r="AD47" s="4752"/>
      <c r="AE47" s="4753"/>
      <c r="AF47" s="4753"/>
      <c r="AG47" s="4753"/>
      <c r="AH47" s="4754"/>
      <c r="AI47" s="4755"/>
      <c r="AJ47" s="4781"/>
      <c r="AK47" s="4783" t="str">
        <f>IF(AD47&lt;&gt;"",INDEX(Tablas!$U$26:$U$38,MAX(MATCH(VLOOKUP(Psíquicos!$AD47,'Tablas psiquica'!$U$7:$AH$110,2,FALSE),Tablas!$U$26:$U$38,0),MAX(SUMPRODUCT(--(Tablas!$T$26:$T$38&lt;=(AL47-20*AI47)))+IF(Tablas!$G$446&gt;0,1,0)+IF(COUNTIF($C$39:$E$50,"Introversión")&gt;0,1,0),SUMPRODUCT(--(Tablas!$T$26:$T$38&lt;=(AL47)))))),"")</f>
        <v/>
      </c>
      <c r="AL47" s="4905">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02"/>
      <c r="D48" s="4803"/>
      <c r="E48" s="4804"/>
      <c r="F48" s="3970" t="str">
        <f>IF(C47="","",VLOOKUP(C47,Tablas!$D$1102:$R$1117,7,FALSE))</f>
        <v/>
      </c>
      <c r="G48" s="3970"/>
      <c r="H48" s="3970"/>
      <c r="I48" s="3970"/>
      <c r="J48" s="3970"/>
      <c r="K48" s="3970"/>
      <c r="L48" s="3970"/>
      <c r="M48" s="3970"/>
      <c r="N48" s="3970"/>
      <c r="O48" s="3970"/>
      <c r="P48" s="3970"/>
      <c r="Q48" s="4805"/>
      <c r="R48" s="50"/>
      <c r="S48" s="39"/>
      <c r="T48" s="39"/>
      <c r="U48" s="883"/>
      <c r="V48" s="4773" t="str">
        <f>IF(V47=0,"",VLOOKUP(V47,Tabla_PoderesPsi,2,FALSE))</f>
        <v/>
      </c>
      <c r="W48" s="4774"/>
      <c r="X48" s="4774"/>
      <c r="Y48" s="2321" t="s">
        <v>1597</v>
      </c>
      <c r="Z48" s="2322" t="str">
        <f>IF(V47=0,"",VLOOKUP(V47,Tabla_PoderesPsi,3,FALSE))</f>
        <v/>
      </c>
      <c r="AA48" s="4762"/>
      <c r="AB48" s="4764"/>
      <c r="AC48" s="57"/>
      <c r="AD48" s="4779" t="str">
        <f>IF(AD47=0,"",VLOOKUP(AD47,Tabla_PoderesPsi,2,FALSE))</f>
        <v/>
      </c>
      <c r="AE48" s="4780"/>
      <c r="AF48" s="4780"/>
      <c r="AG48" s="2994" t="s">
        <v>1597</v>
      </c>
      <c r="AH48" s="2995" t="str">
        <f>IF(AD47=0,"",VLOOKUP(AD47,Tabla_PoderesPsi,3,FALSE))</f>
        <v/>
      </c>
      <c r="AI48" s="4756"/>
      <c r="AJ48" s="4782"/>
      <c r="AK48" s="4784"/>
      <c r="AL48" s="4905"/>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91" t="str">
        <f>IF(PDs!E116=0,"",PDs!E116)</f>
        <v/>
      </c>
      <c r="D49" s="4792"/>
      <c r="E49" s="4793"/>
      <c r="F49" s="4797" t="str">
        <f>IF(C49="","",VLOOKUP(C49,Tablas!$D$1102:$R$1117,15,FALSE))</f>
        <v/>
      </c>
      <c r="G49" s="4797"/>
      <c r="H49" s="4797"/>
      <c r="I49" s="4797"/>
      <c r="J49" s="4797"/>
      <c r="K49" s="4797"/>
      <c r="L49" s="4797"/>
      <c r="M49" s="4797"/>
      <c r="N49" s="4797"/>
      <c r="O49" s="4797"/>
      <c r="P49" s="4797"/>
      <c r="Q49" s="4798"/>
      <c r="R49" s="50"/>
      <c r="S49" s="39"/>
      <c r="T49" s="39"/>
      <c r="U49" s="883">
        <f>IF(V49=0,0,1)</f>
        <v>0</v>
      </c>
      <c r="V49" s="4767"/>
      <c r="W49" s="4768"/>
      <c r="X49" s="4768"/>
      <c r="Y49" s="4768"/>
      <c r="Z49" s="4769"/>
      <c r="AA49" s="4788"/>
      <c r="AB49" s="4777" t="str">
        <f>IF(AA49=0,"",IF(AA49*10&lt;100,AA49*10,100))</f>
        <v/>
      </c>
      <c r="AC49" s="57"/>
      <c r="AD49" s="4752"/>
      <c r="AE49" s="4753"/>
      <c r="AF49" s="4753"/>
      <c r="AG49" s="4753"/>
      <c r="AH49" s="4754"/>
      <c r="AI49" s="4755"/>
      <c r="AJ49" s="4781"/>
      <c r="AK49" s="4783" t="str">
        <f>IF(AD49&lt;&gt;"",INDEX(Tablas!$U$26:$U$38,MAX(MATCH(VLOOKUP(Psíquicos!$AD49,'Tablas psiquica'!$U$7:$AH$110,2,FALSE),Tablas!$U$26:$U$38,0),MAX(SUMPRODUCT(--(Tablas!$T$26:$T$38&lt;=(AL49-20*AI49)))+IF(Tablas!$G$446&gt;0,1,0)+IF(COUNTIF($C$39:$E$50,"Introversión")&gt;0,1,0),SUMPRODUCT(--(Tablas!$T$26:$T$38&lt;=(AL49)))))),"")</f>
        <v/>
      </c>
      <c r="AL49" s="4905">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94"/>
      <c r="D50" s="4795"/>
      <c r="E50" s="4796"/>
      <c r="F50" s="4806" t="str">
        <f>IF(C49="","",VLOOKUP(C49,Tablas!$D$1102:$R$1117,7,FALSE))</f>
        <v/>
      </c>
      <c r="G50" s="4806"/>
      <c r="H50" s="4806"/>
      <c r="I50" s="4806"/>
      <c r="J50" s="4806"/>
      <c r="K50" s="4806"/>
      <c r="L50" s="4806"/>
      <c r="M50" s="4806"/>
      <c r="N50" s="4806"/>
      <c r="O50" s="4806"/>
      <c r="P50" s="4806"/>
      <c r="Q50" s="4807"/>
      <c r="R50" s="50"/>
      <c r="S50" s="39"/>
      <c r="T50" s="39"/>
      <c r="U50" s="883"/>
      <c r="V50" s="4775" t="str">
        <f>IF(V49=0,"",VLOOKUP(V49,Tabla_PoderesPsi,2,FALSE))</f>
        <v/>
      </c>
      <c r="W50" s="4776"/>
      <c r="X50" s="4776"/>
      <c r="Y50" s="2566" t="s">
        <v>1597</v>
      </c>
      <c r="Z50" s="2567" t="str">
        <f>IF(V49=0,"",VLOOKUP(V49,Tabla_PoderesPsi,3,FALSE))</f>
        <v/>
      </c>
      <c r="AA50" s="4789"/>
      <c r="AB50" s="4778"/>
      <c r="AC50" s="57"/>
      <c r="AD50" s="4779" t="str">
        <f>IF(AD49=0,"",VLOOKUP(AD49,Tabla_PoderesPsi,2,FALSE))</f>
        <v/>
      </c>
      <c r="AE50" s="4780"/>
      <c r="AF50" s="4780"/>
      <c r="AG50" s="2994" t="s">
        <v>1597</v>
      </c>
      <c r="AH50" s="2995" t="str">
        <f>IF(AD49=0,"",VLOOKUP(AD49,Tabla_PoderesPsi,3,FALSE))</f>
        <v/>
      </c>
      <c r="AI50" s="4756"/>
      <c r="AJ50" s="4782"/>
      <c r="AK50" s="4784"/>
      <c r="AL50" s="4905"/>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70"/>
      <c r="W51" s="4771"/>
      <c r="X51" s="4771"/>
      <c r="Y51" s="4771"/>
      <c r="Z51" s="4772"/>
      <c r="AA51" s="4762"/>
      <c r="AB51" s="4764" t="str">
        <f>IF(AA51=0,"",IF(AA51*10&lt;100,AA51*10,100))</f>
        <v/>
      </c>
      <c r="AC51" s="57"/>
      <c r="AD51" s="4752"/>
      <c r="AE51" s="4753"/>
      <c r="AF51" s="4753"/>
      <c r="AG51" s="4753"/>
      <c r="AH51" s="4754"/>
      <c r="AI51" s="4755"/>
      <c r="AJ51" s="4781"/>
      <c r="AK51" s="4783" t="str">
        <f>IF(AD51&lt;&gt;"",INDEX(Tablas!$U$26:$U$38,MAX(MATCH(VLOOKUP(Psíquicos!$AD51,'Tablas psiquica'!$U$7:$AH$110,2,FALSE),Tablas!$U$26:$U$38,0),MAX(SUMPRODUCT(--(Tablas!$T$26:$T$38&lt;=(AL51-20*AI51)))+IF(Tablas!$G$446&gt;0,1,0)+IF(COUNTIF($C$39:$E$50,"Introversión")&gt;0,1,0),SUMPRODUCT(--(Tablas!$T$26:$T$38&lt;=(AL51)))))),"")</f>
        <v/>
      </c>
      <c r="AL51" s="4905">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91" t="s">
        <v>1749</v>
      </c>
      <c r="D52" s="3391"/>
      <c r="E52" s="3391"/>
      <c r="F52" s="3391"/>
      <c r="G52" s="3391"/>
      <c r="H52" s="3391"/>
      <c r="I52" s="49"/>
      <c r="J52" s="4388" t="s">
        <v>1997</v>
      </c>
      <c r="K52" s="4388"/>
      <c r="L52" s="4388"/>
      <c r="M52" s="4389" t="s">
        <v>2075</v>
      </c>
      <c r="N52" s="4389"/>
      <c r="O52" s="4389"/>
      <c r="P52" s="4389"/>
      <c r="Q52" s="4389"/>
      <c r="R52" s="53"/>
      <c r="S52" s="219"/>
      <c r="T52" s="219"/>
      <c r="U52" s="883"/>
      <c r="V52" s="4773" t="str">
        <f>IF(V51=0,"",VLOOKUP(V51,Tabla_PoderesPsi,2,FALSE))</f>
        <v/>
      </c>
      <c r="W52" s="4774"/>
      <c r="X52" s="4774"/>
      <c r="Y52" s="2321" t="s">
        <v>1597</v>
      </c>
      <c r="Z52" s="2322" t="str">
        <f>IF(V51=0,"",VLOOKUP(V51,Tabla_PoderesPsi,3,FALSE))</f>
        <v/>
      </c>
      <c r="AA52" s="4762"/>
      <c r="AB52" s="4764"/>
      <c r="AC52" s="57"/>
      <c r="AD52" s="4779" t="str">
        <f>IF(AD51=0,"",VLOOKUP(AD51,Tabla_PoderesPsi,2,FALSE))</f>
        <v/>
      </c>
      <c r="AE52" s="4780"/>
      <c r="AF52" s="4780"/>
      <c r="AG52" s="2994" t="s">
        <v>1597</v>
      </c>
      <c r="AH52" s="2995" t="str">
        <f>IF(AD51=0,"",VLOOKUP(AD51,Tabla_PoderesPsi,3,FALSE))</f>
        <v/>
      </c>
      <c r="AI52" s="4756"/>
      <c r="AJ52" s="4782"/>
      <c r="AK52" s="4784"/>
      <c r="AL52" s="4905"/>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11"/>
      <c r="D53" s="4811"/>
      <c r="E53" s="4811"/>
      <c r="F53" s="4811"/>
      <c r="G53" s="4811"/>
      <c r="H53" s="4811"/>
      <c r="I53" s="49"/>
      <c r="J53" s="128">
        <v>20</v>
      </c>
      <c r="K53" s="4360" t="s">
        <v>2001</v>
      </c>
      <c r="L53" s="4360"/>
      <c r="M53" s="4387" t="s">
        <v>2002</v>
      </c>
      <c r="N53" s="4387"/>
      <c r="O53" s="4387"/>
      <c r="P53" s="4387"/>
      <c r="Q53" s="4387"/>
      <c r="R53" s="53"/>
      <c r="S53" s="219"/>
      <c r="T53" s="219"/>
      <c r="U53" s="883">
        <f>IF(V53=0,0,1)</f>
        <v>0</v>
      </c>
      <c r="V53" s="4767"/>
      <c r="W53" s="4768"/>
      <c r="X53" s="4768"/>
      <c r="Y53" s="4768"/>
      <c r="Z53" s="4769"/>
      <c r="AA53" s="4788"/>
      <c r="AB53" s="4777" t="str">
        <f>IF(AA53=0,"",IF(AA53*10&lt;100,AA53*10,100))</f>
        <v/>
      </c>
      <c r="AC53" s="57"/>
      <c r="AD53" s="4752"/>
      <c r="AE53" s="4753"/>
      <c r="AF53" s="4753"/>
      <c r="AG53" s="4753"/>
      <c r="AH53" s="4754"/>
      <c r="AI53" s="4755"/>
      <c r="AJ53" s="4781"/>
      <c r="AK53" s="4783" t="str">
        <f>IF(AD53&lt;&gt;"",INDEX(Tablas!$U$26:$U$38,MAX(MATCH(VLOOKUP(Psíquicos!$AD53,'Tablas psiquica'!$U$7:$AH$110,2,FALSE),Tablas!$U$26:$U$38,0),MAX(SUMPRODUCT(--(Tablas!$T$26:$T$38&lt;=(AL53-20*AI53)))+IF(Tablas!$G$446&gt;0,1,0)+IF(COUNTIF($C$39:$E$50,"Introversión")&gt;0,1,0),SUMPRODUCT(--(Tablas!$T$26:$T$38&lt;=(AL53)))))),"")</f>
        <v/>
      </c>
      <c r="AL53" s="4905">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11"/>
      <c r="D54" s="4811"/>
      <c r="E54" s="4811"/>
      <c r="F54" s="4811"/>
      <c r="G54" s="4811"/>
      <c r="H54" s="4811"/>
      <c r="I54" s="49"/>
      <c r="J54" s="128">
        <v>40</v>
      </c>
      <c r="K54" s="4360" t="s">
        <v>2005</v>
      </c>
      <c r="L54" s="4360"/>
      <c r="M54" s="4374" t="s">
        <v>2006</v>
      </c>
      <c r="N54" s="4374"/>
      <c r="O54" s="4374"/>
      <c r="P54" s="4374"/>
      <c r="Q54" s="4374"/>
      <c r="R54" s="53"/>
      <c r="S54" s="219"/>
      <c r="T54" s="219"/>
      <c r="U54" s="883"/>
      <c r="V54" s="4775" t="str">
        <f>IF(V53=0,"",VLOOKUP(V53,Tabla_PoderesPsi,2,FALSE))</f>
        <v/>
      </c>
      <c r="W54" s="4776"/>
      <c r="X54" s="4776"/>
      <c r="Y54" s="2566" t="s">
        <v>1597</v>
      </c>
      <c r="Z54" s="2567" t="str">
        <f>IF(V53=0,"",VLOOKUP(V53,Tabla_PoderesPsi,3,FALSE))</f>
        <v/>
      </c>
      <c r="AA54" s="4789"/>
      <c r="AB54" s="4778"/>
      <c r="AC54" s="57"/>
      <c r="AD54" s="4779" t="str">
        <f>IF(AD53=0,"",VLOOKUP(AD53,Tabla_PoderesPsi,2,FALSE))</f>
        <v/>
      </c>
      <c r="AE54" s="4780"/>
      <c r="AF54" s="4780"/>
      <c r="AG54" s="2994" t="s">
        <v>1597</v>
      </c>
      <c r="AH54" s="2995" t="str">
        <f>IF(AD53=0,"",VLOOKUP(AD53,Tabla_PoderesPsi,3,FALSE))</f>
        <v/>
      </c>
      <c r="AI54" s="4756"/>
      <c r="AJ54" s="4782"/>
      <c r="AK54" s="4784"/>
      <c r="AL54" s="4905"/>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11"/>
      <c r="D55" s="4811"/>
      <c r="E55" s="4811"/>
      <c r="F55" s="4811"/>
      <c r="G55" s="4811"/>
      <c r="H55" s="4811"/>
      <c r="I55" s="49"/>
      <c r="J55" s="128">
        <v>80</v>
      </c>
      <c r="K55" s="4360" t="s">
        <v>2008</v>
      </c>
      <c r="L55" s="4360"/>
      <c r="M55" s="4374" t="s">
        <v>2009</v>
      </c>
      <c r="N55" s="4374"/>
      <c r="O55" s="4374"/>
      <c r="P55" s="4374"/>
      <c r="Q55" s="4374"/>
      <c r="R55" s="53"/>
      <c r="S55" s="219"/>
      <c r="T55" s="219"/>
      <c r="U55" s="883">
        <f>IF(V55=0,0,1)</f>
        <v>0</v>
      </c>
      <c r="V55" s="4770"/>
      <c r="W55" s="4771"/>
      <c r="X55" s="4771"/>
      <c r="Y55" s="4771"/>
      <c r="Z55" s="4772"/>
      <c r="AA55" s="4762"/>
      <c r="AB55" s="4764" t="str">
        <f>IF(AA55=0,"",IF(AA55*10&lt;100,AA55*10,100))</f>
        <v/>
      </c>
      <c r="AC55" s="57"/>
      <c r="AD55" s="4752"/>
      <c r="AE55" s="4753"/>
      <c r="AF55" s="4753"/>
      <c r="AG55" s="4753"/>
      <c r="AH55" s="4754"/>
      <c r="AI55" s="4755"/>
      <c r="AJ55" s="4781"/>
      <c r="AK55" s="4783" t="str">
        <f>IF(AD55&lt;&gt;"",INDEX(Tablas!$U$26:$U$38,MAX(MATCH(VLOOKUP(Psíquicos!$AD55,'Tablas psiquica'!$U$7:$AH$110,2,FALSE),Tablas!$U$26:$U$38,0),MAX(SUMPRODUCT(--(Tablas!$T$26:$T$38&lt;=(AL55-20*AI55)))+IF(Tablas!$G$446&gt;0,1,0)+IF(COUNTIF($C$39:$E$50,"Introversión")&gt;0,1,0),SUMPRODUCT(--(Tablas!$T$26:$T$38&lt;=(AL55)))))),"")</f>
        <v/>
      </c>
      <c r="AL55" s="4905">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11"/>
      <c r="D56" s="4811"/>
      <c r="E56" s="4811"/>
      <c r="F56" s="4811"/>
      <c r="G56" s="4811"/>
      <c r="H56" s="4811"/>
      <c r="I56" s="49"/>
      <c r="J56" s="128">
        <v>120</v>
      </c>
      <c r="K56" s="4360" t="s">
        <v>2012</v>
      </c>
      <c r="L56" s="4360"/>
      <c r="M56" s="4374" t="s">
        <v>2100</v>
      </c>
      <c r="N56" s="4374"/>
      <c r="O56" s="4374"/>
      <c r="P56" s="4374"/>
      <c r="Q56" s="4374"/>
      <c r="R56" s="53"/>
      <c r="S56" s="219"/>
      <c r="T56" s="219"/>
      <c r="U56" s="883"/>
      <c r="V56" s="4773" t="str">
        <f>IF(V55=0,"",VLOOKUP(V55,Tabla_PoderesPsi,2,FALSE))</f>
        <v/>
      </c>
      <c r="W56" s="4774"/>
      <c r="X56" s="4774"/>
      <c r="Y56" s="2321" t="s">
        <v>1597</v>
      </c>
      <c r="Z56" s="2322" t="str">
        <f>IF(V55=0,"",VLOOKUP(V55,Tabla_PoderesPsi,3,FALSE))</f>
        <v/>
      </c>
      <c r="AA56" s="4762"/>
      <c r="AB56" s="4764"/>
      <c r="AC56" s="57"/>
      <c r="AD56" s="4779" t="str">
        <f>IF(AD55=0,"",VLOOKUP(AD55,Tabla_PoderesPsi,2,FALSE))</f>
        <v/>
      </c>
      <c r="AE56" s="4780"/>
      <c r="AF56" s="4780"/>
      <c r="AG56" s="2994" t="s">
        <v>1597</v>
      </c>
      <c r="AH56" s="2995" t="str">
        <f>IF(AD55=0,"",VLOOKUP(AD55,Tabla_PoderesPsi,3,FALSE))</f>
        <v/>
      </c>
      <c r="AI56" s="4756"/>
      <c r="AJ56" s="4782"/>
      <c r="AK56" s="4784"/>
      <c r="AL56" s="4905"/>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11"/>
      <c r="D57" s="4811"/>
      <c r="E57" s="4811"/>
      <c r="F57" s="4811"/>
      <c r="G57" s="4811"/>
      <c r="H57" s="4811"/>
      <c r="I57" s="49"/>
      <c r="J57" s="128">
        <v>140</v>
      </c>
      <c r="K57" s="4360" t="s">
        <v>2014</v>
      </c>
      <c r="L57" s="4360"/>
      <c r="M57" s="4374" t="s">
        <v>2101</v>
      </c>
      <c r="N57" s="4374"/>
      <c r="O57" s="4374"/>
      <c r="P57" s="4374"/>
      <c r="Q57" s="4374"/>
      <c r="R57" s="53"/>
      <c r="S57" s="219"/>
      <c r="T57" s="219"/>
      <c r="U57" s="883">
        <f>IF(V57=0,0,1)</f>
        <v>0</v>
      </c>
      <c r="V57" s="4767"/>
      <c r="W57" s="4768"/>
      <c r="X57" s="4768"/>
      <c r="Y57" s="4768"/>
      <c r="Z57" s="4769"/>
      <c r="AA57" s="4788"/>
      <c r="AB57" s="4777" t="str">
        <f>IF(AA57=0,"",IF(AA57*10&lt;100,AA57*10,100))</f>
        <v/>
      </c>
      <c r="AC57" s="49"/>
      <c r="AD57" s="4752"/>
      <c r="AE57" s="4753"/>
      <c r="AF57" s="4753"/>
      <c r="AG57" s="4753"/>
      <c r="AH57" s="4754"/>
      <c r="AI57" s="4755"/>
      <c r="AJ57" s="4781"/>
      <c r="AK57" s="4783" t="str">
        <f>IF(AD57&lt;&gt;"",INDEX(Tablas!$U$26:$U$38,MAX(MATCH(VLOOKUP(Psíquicos!$AD57,'Tablas psiquica'!$U$7:$AH$110,2,FALSE),Tablas!$U$26:$U$38,0),MAX(SUMPRODUCT(--(Tablas!$T$26:$T$38&lt;=(AL57-20*AI57)))+IF(Tablas!$G$446&gt;0,1,0)+IF(COUNTIF($C$39:$E$50,"Introversión")&gt;0,1,0),SUMPRODUCT(--(Tablas!$T$26:$T$38&lt;=(AL57)))))),"")</f>
        <v/>
      </c>
      <c r="AL57" s="4905">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11"/>
      <c r="D58" s="4811"/>
      <c r="E58" s="4811"/>
      <c r="F58" s="4811"/>
      <c r="G58" s="4811"/>
      <c r="H58" s="4811"/>
      <c r="I58" s="49"/>
      <c r="J58" s="128">
        <v>180</v>
      </c>
      <c r="K58" s="4360" t="s">
        <v>2017</v>
      </c>
      <c r="L58" s="4360"/>
      <c r="M58" s="4374" t="s">
        <v>2102</v>
      </c>
      <c r="N58" s="4374"/>
      <c r="O58" s="4374"/>
      <c r="P58" s="4374"/>
      <c r="Q58" s="4374"/>
      <c r="R58" s="53"/>
      <c r="S58" s="219"/>
      <c r="T58" s="219"/>
      <c r="U58" s="883"/>
      <c r="V58" s="4775" t="str">
        <f>IF(V57=0,"",VLOOKUP(V57,Tabla_PoderesPsi,2,FALSE))</f>
        <v/>
      </c>
      <c r="W58" s="4776"/>
      <c r="X58" s="4776"/>
      <c r="Y58" s="2566" t="s">
        <v>1597</v>
      </c>
      <c r="Z58" s="2567" t="str">
        <f>IF(V57=0,"",VLOOKUP(V57,Tabla_PoderesPsi,3,FALSE))</f>
        <v/>
      </c>
      <c r="AA58" s="4789"/>
      <c r="AB58" s="4778"/>
      <c r="AC58" s="108"/>
      <c r="AD58" s="4779" t="str">
        <f>IF(AD57=0,"",VLOOKUP(AD57,Tabla_PoderesPsi,2,FALSE))</f>
        <v/>
      </c>
      <c r="AE58" s="4780"/>
      <c r="AF58" s="4780"/>
      <c r="AG58" s="2994" t="s">
        <v>1597</v>
      </c>
      <c r="AH58" s="2995" t="str">
        <f>IF(AD57=0,"",VLOOKUP(AD57,Tabla_PoderesPsi,3,FALSE))</f>
        <v/>
      </c>
      <c r="AI58" s="4756"/>
      <c r="AJ58" s="4782"/>
      <c r="AK58" s="4784"/>
      <c r="AL58" s="4905"/>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11"/>
      <c r="D59" s="4811"/>
      <c r="E59" s="4811"/>
      <c r="F59" s="4811"/>
      <c r="G59" s="4811"/>
      <c r="H59" s="4811"/>
      <c r="I59" s="49"/>
      <c r="J59" s="128">
        <v>240</v>
      </c>
      <c r="K59" s="4360" t="s">
        <v>2019</v>
      </c>
      <c r="L59" s="4360"/>
      <c r="M59" s="4374" t="s">
        <v>2103</v>
      </c>
      <c r="N59" s="4374"/>
      <c r="O59" s="4374"/>
      <c r="P59" s="4374"/>
      <c r="Q59" s="4374"/>
      <c r="R59" s="53"/>
      <c r="S59" s="219"/>
      <c r="T59" s="219"/>
      <c r="U59" s="883">
        <f>IF(V59=0,0,1)</f>
        <v>0</v>
      </c>
      <c r="V59" s="4770"/>
      <c r="W59" s="4771"/>
      <c r="X59" s="4771"/>
      <c r="Y59" s="4771"/>
      <c r="Z59" s="4772"/>
      <c r="AA59" s="4762"/>
      <c r="AB59" s="4764" t="str">
        <f>IF(AA59=0,"",IF(AA59*10&lt;100,AA59*10,100))</f>
        <v/>
      </c>
      <c r="AC59" s="49"/>
      <c r="AD59" s="4752"/>
      <c r="AE59" s="4753"/>
      <c r="AF59" s="4753"/>
      <c r="AG59" s="4753"/>
      <c r="AH59" s="4754"/>
      <c r="AI59" s="4755"/>
      <c r="AJ59" s="4781"/>
      <c r="AK59" s="4783" t="str">
        <f>IF(AD59&lt;&gt;"",INDEX(Tablas!$U$26:$U$38,MAX(MATCH(VLOOKUP(Psíquicos!$AD59,'Tablas psiquica'!$U$7:$AH$110,2,FALSE),Tablas!$U$26:$U$38,0),MAX(SUMPRODUCT(--(Tablas!$T$26:$T$38&lt;=(AL59-20*AI59)))+IF(Tablas!$G$446&gt;0,1,0)+IF(COUNTIF($C$39:$E$50,"Introversión")&gt;0,1,0),SUMPRODUCT(--(Tablas!$T$26:$T$38&lt;=(AL59)))))),"")</f>
        <v/>
      </c>
      <c r="AL59" s="4905">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11"/>
      <c r="D60" s="4811"/>
      <c r="E60" s="4811"/>
      <c r="F60" s="4811"/>
      <c r="G60" s="4811"/>
      <c r="H60" s="4811"/>
      <c r="I60" s="49"/>
      <c r="J60" s="128">
        <v>280</v>
      </c>
      <c r="K60" s="4360" t="s">
        <v>2022</v>
      </c>
      <c r="L60" s="4360"/>
      <c r="M60" s="4374" t="s">
        <v>2104</v>
      </c>
      <c r="N60" s="4374"/>
      <c r="O60" s="4374"/>
      <c r="P60" s="4374"/>
      <c r="Q60" s="4374"/>
      <c r="R60" s="53"/>
      <c r="S60" s="219"/>
      <c r="T60" s="219"/>
      <c r="U60" s="883"/>
      <c r="V60" s="4773" t="str">
        <f>IF(V59=0,"",VLOOKUP(V59,Tabla_PoderesPsi,2,FALSE))</f>
        <v/>
      </c>
      <c r="W60" s="4774"/>
      <c r="X60" s="4774"/>
      <c r="Y60" s="2321" t="s">
        <v>1597</v>
      </c>
      <c r="Z60" s="2322" t="str">
        <f>IF(V59=0,"",VLOOKUP(V59,Tabla_PoderesPsi,3,FALSE))</f>
        <v/>
      </c>
      <c r="AA60" s="4762"/>
      <c r="AB60" s="4764"/>
      <c r="AC60" s="49"/>
      <c r="AD60" s="4779" t="str">
        <f>IF(AD59=0,"",VLOOKUP(AD59,Tabla_PoderesPsi,2,FALSE))</f>
        <v/>
      </c>
      <c r="AE60" s="4780"/>
      <c r="AF60" s="4780"/>
      <c r="AG60" s="2994" t="s">
        <v>1597</v>
      </c>
      <c r="AH60" s="2995" t="str">
        <f>IF(AD59=0,"",VLOOKUP(AD59,Tabla_PoderesPsi,3,FALSE))</f>
        <v/>
      </c>
      <c r="AI60" s="4756"/>
      <c r="AJ60" s="4782"/>
      <c r="AK60" s="4784"/>
      <c r="AL60" s="4905"/>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11"/>
      <c r="D61" s="4811"/>
      <c r="E61" s="4811"/>
      <c r="F61" s="4811"/>
      <c r="G61" s="4811"/>
      <c r="H61" s="4811"/>
      <c r="I61" s="49"/>
      <c r="J61" s="128">
        <v>320</v>
      </c>
      <c r="K61" s="4360" t="s">
        <v>2024</v>
      </c>
      <c r="L61" s="4360"/>
      <c r="M61" s="4374" t="s">
        <v>1729</v>
      </c>
      <c r="N61" s="4374"/>
      <c r="O61" s="4374"/>
      <c r="P61" s="4374"/>
      <c r="Q61" s="4374"/>
      <c r="R61" s="53"/>
      <c r="S61" s="219"/>
      <c r="T61" s="219"/>
      <c r="U61" s="883">
        <f>IF(V61=0,0,1)</f>
        <v>0</v>
      </c>
      <c r="V61" s="4767"/>
      <c r="W61" s="4768"/>
      <c r="X61" s="4768"/>
      <c r="Y61" s="4768"/>
      <c r="Z61" s="4769"/>
      <c r="AA61" s="4788"/>
      <c r="AB61" s="4777" t="str">
        <f>IF(AA61=0,"",IF(AA61*10&lt;100,AA61*10,100))</f>
        <v/>
      </c>
      <c r="AC61" s="49"/>
      <c r="AD61" s="4752"/>
      <c r="AE61" s="4753"/>
      <c r="AF61" s="4753"/>
      <c r="AG61" s="4753"/>
      <c r="AH61" s="4754"/>
      <c r="AI61" s="4755"/>
      <c r="AJ61" s="4781"/>
      <c r="AK61" s="4783" t="str">
        <f>IF(AD61&lt;&gt;"",INDEX(Tablas!$U$26:$U$38,MAX(MATCH(VLOOKUP(Psíquicos!$AD61,'Tablas psiquica'!$U$7:$AH$110,2,FALSE),Tablas!$U$26:$U$38,0),MAX(SUMPRODUCT(--(Tablas!$T$26:$T$38&lt;=(AL61-20*AI61)))+IF(Tablas!$G$446&gt;0,1,0)+IF(COUNTIF($C$39:$E$50,"Introversión")&gt;0,1,0),SUMPRODUCT(--(Tablas!$T$26:$T$38&lt;=(AL61)))))),"")</f>
        <v/>
      </c>
      <c r="AL61" s="4905">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11"/>
      <c r="D62" s="4811"/>
      <c r="E62" s="4811"/>
      <c r="F62" s="4811"/>
      <c r="G62" s="4811"/>
      <c r="H62" s="4811"/>
      <c r="I62" s="49"/>
      <c r="J62" s="130">
        <v>440</v>
      </c>
      <c r="K62" s="4766" t="s">
        <v>1958</v>
      </c>
      <c r="L62" s="4766"/>
      <c r="M62" s="4790" t="s">
        <v>1729</v>
      </c>
      <c r="N62" s="4790"/>
      <c r="O62" s="4790"/>
      <c r="P62" s="4790"/>
      <c r="Q62" s="4790"/>
      <c r="R62" s="53"/>
      <c r="S62" s="219"/>
      <c r="T62" s="219"/>
      <c r="U62" s="883"/>
      <c r="V62" s="4775" t="str">
        <f>IF(V61=0,"",VLOOKUP(V61,Tabla_PoderesPsi,2,FALSE))</f>
        <v/>
      </c>
      <c r="W62" s="4776"/>
      <c r="X62" s="4776"/>
      <c r="Y62" s="2566" t="s">
        <v>1597</v>
      </c>
      <c r="Z62" s="2567" t="str">
        <f>IF(V61=0,"",VLOOKUP(V61,Tabla_PoderesPsi,3,FALSE))</f>
        <v/>
      </c>
      <c r="AA62" s="4789"/>
      <c r="AB62" s="4778"/>
      <c r="AC62" s="49"/>
      <c r="AD62" s="4787" t="str">
        <f>IF(AD61=0,"",VLOOKUP(AD61,Tabla_PoderesPsi,2,FALSE))</f>
        <v/>
      </c>
      <c r="AE62" s="3381"/>
      <c r="AF62" s="3381"/>
      <c r="AG62" s="2939" t="s">
        <v>1597</v>
      </c>
      <c r="AH62" s="2998" t="str">
        <f>IF(AD61=0,"",VLOOKUP(AD61,Tabla_PoderesPsi,3,FALSE))</f>
        <v/>
      </c>
      <c r="AI62" s="4785"/>
      <c r="AJ62" s="4906"/>
      <c r="AK62" s="4786"/>
      <c r="AL62" s="4905"/>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11"/>
      <c r="D63" s="4811"/>
      <c r="E63" s="4811"/>
      <c r="F63" s="4811"/>
      <c r="G63" s="4811"/>
      <c r="H63" s="4811"/>
      <c r="I63" s="49"/>
      <c r="J63" s="4759"/>
      <c r="K63" s="4759"/>
      <c r="L63" s="4759"/>
      <c r="M63" s="4759"/>
      <c r="N63" s="4759"/>
      <c r="O63" s="4759"/>
      <c r="P63" s="4759"/>
      <c r="Q63" s="4759"/>
      <c r="R63" s="53"/>
      <c r="S63" s="219"/>
      <c r="T63" s="219"/>
      <c r="U63" s="883">
        <f>IF(V63=0,0,1)</f>
        <v>0</v>
      </c>
      <c r="V63" s="4760"/>
      <c r="W63" s="4761"/>
      <c r="X63" s="4761"/>
      <c r="Y63" s="4761"/>
      <c r="Z63" s="4761"/>
      <c r="AA63" s="4762"/>
      <c r="AB63" s="4764"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11"/>
      <c r="D64" s="4811"/>
      <c r="E64" s="4811"/>
      <c r="F64" s="4811"/>
      <c r="G64" s="4811"/>
      <c r="H64" s="4811"/>
      <c r="I64" s="49"/>
      <c r="J64" s="4759"/>
      <c r="K64" s="4759"/>
      <c r="L64" s="4759"/>
      <c r="M64" s="4759"/>
      <c r="N64" s="4759"/>
      <c r="O64" s="4759"/>
      <c r="P64" s="4759"/>
      <c r="Q64" s="4759"/>
      <c r="R64" s="50"/>
      <c r="S64" s="39"/>
      <c r="T64" s="39"/>
      <c r="U64" s="1161"/>
      <c r="V64" s="4757" t="str">
        <f>IF(V63=0,"",VLOOKUP(V63,Tabla_PoderesPsi,2,FALSE))</f>
        <v/>
      </c>
      <c r="W64" s="4758"/>
      <c r="X64" s="4758"/>
      <c r="Y64" s="2570" t="s">
        <v>1597</v>
      </c>
      <c r="Z64" s="2571" t="str">
        <f>IF(V63=0,"",VLOOKUP(V63,Tabla_PoderesPsi,3,FALSE))</f>
        <v/>
      </c>
      <c r="AA64" s="4763"/>
      <c r="AB64" s="4765"/>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69" priority="179" stopIfTrue="1" operator="greaterThan">
      <formula>$C$12</formula>
    </cfRule>
  </conditionalFormatting>
  <conditionalFormatting sqref="AD12:AF12">
    <cfRule type="expression" dxfId="868" priority="122" stopIfTrue="1">
      <formula>NOT(OR(I1047915=$C$25,I1047915=$C$27,I1047915=$C$29,I1047915=$C$31,I1047915=$C$33,I1047915=$C$35))</formula>
    </cfRule>
  </conditionalFormatting>
  <conditionalFormatting sqref="AI17:AI18">
    <cfRule type="expression" dxfId="867" priority="5995">
      <formula>$AI17&gt;5</formula>
    </cfRule>
  </conditionalFormatting>
  <conditionalFormatting sqref="AN9:AQ13">
    <cfRule type="expression" dxfId="866" priority="7086" stopIfTrue="1">
      <formula>COUNTIF($AD$17:$AH$62,"Incrementar Habilidad")=0</formula>
    </cfRule>
  </conditionalFormatting>
  <conditionalFormatting sqref="AD17:AH17">
    <cfRule type="expression" dxfId="865" priority="68">
      <formula>COUNTIF($V$11:$Z$64,$AD17)=0</formula>
    </cfRule>
  </conditionalFormatting>
  <conditionalFormatting sqref="AK17:AK18">
    <cfRule type="expression" dxfId="864" priority="67" stopIfTrue="1">
      <formula>COUNTIF($V$11:$Z$64,$AD17)=0</formula>
    </cfRule>
  </conditionalFormatting>
  <conditionalFormatting sqref="AI19:AI20">
    <cfRule type="expression" dxfId="863" priority="66">
      <formula>$AI19&gt;5</formula>
    </cfRule>
  </conditionalFormatting>
  <conditionalFormatting sqref="AD19:AH19">
    <cfRule type="expression" dxfId="862" priority="65">
      <formula>COUNTIF($V$11:$Z$64,$AD19)=0</formula>
    </cfRule>
  </conditionalFormatting>
  <conditionalFormatting sqref="AK19:AK20">
    <cfRule type="expression" dxfId="861" priority="64" stopIfTrue="1">
      <formula>COUNTIF($V$11:$Z$64,$AD19)=0</formula>
    </cfRule>
  </conditionalFormatting>
  <conditionalFormatting sqref="AI21:AI22">
    <cfRule type="expression" dxfId="860" priority="63">
      <formula>$AI21&gt;5</formula>
    </cfRule>
  </conditionalFormatting>
  <conditionalFormatting sqref="AD21:AH21">
    <cfRule type="expression" dxfId="859" priority="62">
      <formula>COUNTIF($V$11:$Z$64,$AD21)=0</formula>
    </cfRule>
  </conditionalFormatting>
  <conditionalFormatting sqref="AK21:AK22">
    <cfRule type="expression" dxfId="858" priority="61" stopIfTrue="1">
      <formula>COUNTIF($V$11:$Z$64,$AD21)=0</formula>
    </cfRule>
  </conditionalFormatting>
  <conditionalFormatting sqref="AI23:AI24">
    <cfRule type="expression" dxfId="857" priority="60">
      <formula>$AI23&gt;5</formula>
    </cfRule>
  </conditionalFormatting>
  <conditionalFormatting sqref="AD23:AH23">
    <cfRule type="expression" dxfId="856" priority="59">
      <formula>COUNTIF($V$11:$Z$64,$AD23)=0</formula>
    </cfRule>
  </conditionalFormatting>
  <conditionalFormatting sqref="AK23:AK24">
    <cfRule type="expression" dxfId="855" priority="58" stopIfTrue="1">
      <formula>COUNTIF($V$11:$Z$64,$AD23)=0</formula>
    </cfRule>
  </conditionalFormatting>
  <conditionalFormatting sqref="AI25:AI26">
    <cfRule type="expression" dxfId="854" priority="57">
      <formula>$AI25&gt;5</formula>
    </cfRule>
  </conditionalFormatting>
  <conditionalFormatting sqref="AD25:AH25">
    <cfRule type="expression" dxfId="853" priority="56">
      <formula>COUNTIF($V$11:$Z$64,$AD25)=0</formula>
    </cfRule>
  </conditionalFormatting>
  <conditionalFormatting sqref="AK25:AK26">
    <cfRule type="expression" dxfId="852" priority="55" stopIfTrue="1">
      <formula>COUNTIF($V$11:$Z$64,$AD25)=0</formula>
    </cfRule>
  </conditionalFormatting>
  <conditionalFormatting sqref="AI27:AI28">
    <cfRule type="expression" dxfId="851" priority="54">
      <formula>$AI27&gt;5</formula>
    </cfRule>
  </conditionalFormatting>
  <conditionalFormatting sqref="AD27:AH27">
    <cfRule type="expression" dxfId="850" priority="53">
      <formula>COUNTIF($V$11:$Z$64,$AD27)=0</formula>
    </cfRule>
  </conditionalFormatting>
  <conditionalFormatting sqref="AK27:AK28">
    <cfRule type="expression" dxfId="849" priority="52" stopIfTrue="1">
      <formula>COUNTIF($V$11:$Z$64,$AD27)=0</formula>
    </cfRule>
  </conditionalFormatting>
  <conditionalFormatting sqref="AI29:AI30">
    <cfRule type="expression" dxfId="848" priority="51">
      <formula>$AI29&gt;5</formula>
    </cfRule>
  </conditionalFormatting>
  <conditionalFormatting sqref="AD29:AH29">
    <cfRule type="expression" dxfId="847" priority="50">
      <formula>COUNTIF($V$11:$Z$64,$AD29)=0</formula>
    </cfRule>
  </conditionalFormatting>
  <conditionalFormatting sqref="AK29:AK30">
    <cfRule type="expression" dxfId="846" priority="49" stopIfTrue="1">
      <formula>COUNTIF($V$11:$Z$64,$AD29)=0</formula>
    </cfRule>
  </conditionalFormatting>
  <conditionalFormatting sqref="AI31:AI32">
    <cfRule type="expression" dxfId="845" priority="48">
      <formula>$AI31&gt;5</formula>
    </cfRule>
  </conditionalFormatting>
  <conditionalFormatting sqref="AD31:AH31">
    <cfRule type="expression" dxfId="844" priority="47">
      <formula>COUNTIF($V$11:$Z$64,$AD31)=0</formula>
    </cfRule>
  </conditionalFormatting>
  <conditionalFormatting sqref="AK31:AK32">
    <cfRule type="expression" dxfId="843" priority="46" stopIfTrue="1">
      <formula>COUNTIF($V$11:$Z$64,$AD31)=0</formula>
    </cfRule>
  </conditionalFormatting>
  <conditionalFormatting sqref="AI33:AI34">
    <cfRule type="expression" dxfId="842" priority="45">
      <formula>$AI33&gt;5</formula>
    </cfRule>
  </conditionalFormatting>
  <conditionalFormatting sqref="AD33:AH33">
    <cfRule type="expression" dxfId="841" priority="44">
      <formula>COUNTIF($V$11:$Z$64,$AD33)=0</formula>
    </cfRule>
  </conditionalFormatting>
  <conditionalFormatting sqref="AK33:AK34">
    <cfRule type="expression" dxfId="840" priority="43" stopIfTrue="1">
      <formula>COUNTIF($V$11:$Z$64,$AD33)=0</formula>
    </cfRule>
  </conditionalFormatting>
  <conditionalFormatting sqref="AI35:AI36">
    <cfRule type="expression" dxfId="839" priority="42">
      <formula>$AI35&gt;5</formula>
    </cfRule>
  </conditionalFormatting>
  <conditionalFormatting sqref="AD35:AH35">
    <cfRule type="expression" dxfId="838" priority="41">
      <formula>COUNTIF($V$11:$Z$64,$AD35)=0</formula>
    </cfRule>
  </conditionalFormatting>
  <conditionalFormatting sqref="AK35:AK36">
    <cfRule type="expression" dxfId="837" priority="40" stopIfTrue="1">
      <formula>COUNTIF($V$11:$Z$64,$AD35)=0</formula>
    </cfRule>
  </conditionalFormatting>
  <conditionalFormatting sqref="AI37:AI38">
    <cfRule type="expression" dxfId="836" priority="39">
      <formula>$AI37&gt;5</formula>
    </cfRule>
  </conditionalFormatting>
  <conditionalFormatting sqref="AD37:AH37">
    <cfRule type="expression" dxfId="835" priority="38">
      <formula>COUNTIF($V$11:$Z$64,$AD37)=0</formula>
    </cfRule>
  </conditionalFormatting>
  <conditionalFormatting sqref="AK37:AK38">
    <cfRule type="expression" dxfId="834" priority="37" stopIfTrue="1">
      <formula>COUNTIF($V$11:$Z$64,$AD37)=0</formula>
    </cfRule>
  </conditionalFormatting>
  <conditionalFormatting sqref="AI39:AI40">
    <cfRule type="expression" dxfId="833" priority="36">
      <formula>$AI39&gt;5</formula>
    </cfRule>
  </conditionalFormatting>
  <conditionalFormatting sqref="AD39:AH39">
    <cfRule type="expression" dxfId="832" priority="35">
      <formula>COUNTIF($V$11:$Z$64,$AD39)=0</formula>
    </cfRule>
  </conditionalFormatting>
  <conditionalFormatting sqref="AK39:AK40">
    <cfRule type="expression" dxfId="831" priority="34" stopIfTrue="1">
      <formula>COUNTIF($V$11:$Z$64,$AD39)=0</formula>
    </cfRule>
  </conditionalFormatting>
  <conditionalFormatting sqref="AI41:AI42">
    <cfRule type="expression" dxfId="830" priority="33">
      <formula>$AI41&gt;5</formula>
    </cfRule>
  </conditionalFormatting>
  <conditionalFormatting sqref="AD41:AH41">
    <cfRule type="expression" dxfId="829" priority="32">
      <formula>COUNTIF($V$11:$Z$64,$AD41)=0</formula>
    </cfRule>
  </conditionalFormatting>
  <conditionalFormatting sqref="AK41:AK42">
    <cfRule type="expression" dxfId="828" priority="31" stopIfTrue="1">
      <formula>COUNTIF($V$11:$Z$64,$AD41)=0</formula>
    </cfRule>
  </conditionalFormatting>
  <conditionalFormatting sqref="AI43:AI44">
    <cfRule type="expression" dxfId="827" priority="30">
      <formula>$AI43&gt;5</formula>
    </cfRule>
  </conditionalFormatting>
  <conditionalFormatting sqref="AD43:AH43">
    <cfRule type="expression" dxfId="826" priority="29">
      <formula>COUNTIF($V$11:$Z$64,$AD43)=0</formula>
    </cfRule>
  </conditionalFormatting>
  <conditionalFormatting sqref="AK43:AK44">
    <cfRule type="expression" dxfId="825" priority="28" stopIfTrue="1">
      <formula>COUNTIF($V$11:$Z$64,$AD43)=0</formula>
    </cfRule>
  </conditionalFormatting>
  <conditionalFormatting sqref="AI45:AI46">
    <cfRule type="expression" dxfId="824" priority="27">
      <formula>$AI45&gt;5</formula>
    </cfRule>
  </conditionalFormatting>
  <conditionalFormatting sqref="AD45:AH45">
    <cfRule type="expression" dxfId="823" priority="26">
      <formula>COUNTIF($V$11:$Z$64,$AD45)=0</formula>
    </cfRule>
  </conditionalFormatting>
  <conditionalFormatting sqref="AK45:AK46">
    <cfRule type="expression" dxfId="822" priority="25" stopIfTrue="1">
      <formula>COUNTIF($V$11:$Z$64,$AD45)=0</formula>
    </cfRule>
  </conditionalFormatting>
  <conditionalFormatting sqref="AI47:AI48">
    <cfRule type="expression" dxfId="821" priority="24">
      <formula>$AI47&gt;5</formula>
    </cfRule>
  </conditionalFormatting>
  <conditionalFormatting sqref="AD47:AH47">
    <cfRule type="expression" dxfId="820" priority="23">
      <formula>COUNTIF($V$11:$Z$64,$AD47)=0</formula>
    </cfRule>
  </conditionalFormatting>
  <conditionalFormatting sqref="AK47:AK48">
    <cfRule type="expression" dxfId="819" priority="22" stopIfTrue="1">
      <formula>COUNTIF($V$11:$Z$64,$AD47)=0</formula>
    </cfRule>
  </conditionalFormatting>
  <conditionalFormatting sqref="AI49:AI50">
    <cfRule type="expression" dxfId="818" priority="21">
      <formula>$AI49&gt;5</formula>
    </cfRule>
  </conditionalFormatting>
  <conditionalFormatting sqref="AD49:AH49">
    <cfRule type="expression" dxfId="817" priority="20">
      <formula>COUNTIF($V$11:$Z$64,$AD49)=0</formula>
    </cfRule>
  </conditionalFormatting>
  <conditionalFormatting sqref="AK49:AK50">
    <cfRule type="expression" dxfId="816" priority="19" stopIfTrue="1">
      <formula>COUNTIF($V$11:$Z$64,$AD49)=0</formula>
    </cfRule>
  </conditionalFormatting>
  <conditionalFormatting sqref="AI51:AI52">
    <cfRule type="expression" dxfId="815" priority="18">
      <formula>$AI51&gt;5</formula>
    </cfRule>
  </conditionalFormatting>
  <conditionalFormatting sqref="AD51:AH51">
    <cfRule type="expression" dxfId="814" priority="17">
      <formula>COUNTIF($V$11:$Z$64,$AD51)=0</formula>
    </cfRule>
  </conditionalFormatting>
  <conditionalFormatting sqref="AK51:AK52">
    <cfRule type="expression" dxfId="813" priority="16" stopIfTrue="1">
      <formula>COUNTIF($V$11:$Z$64,$AD51)=0</formula>
    </cfRule>
  </conditionalFormatting>
  <conditionalFormatting sqref="AI53:AI54">
    <cfRule type="expression" dxfId="812" priority="15">
      <formula>$AI53&gt;5</formula>
    </cfRule>
  </conditionalFormatting>
  <conditionalFormatting sqref="AD53:AH53">
    <cfRule type="expression" dxfId="811" priority="14">
      <formula>COUNTIF($V$11:$Z$64,$AD53)=0</formula>
    </cfRule>
  </conditionalFormatting>
  <conditionalFormatting sqref="AK53:AK54">
    <cfRule type="expression" dxfId="810" priority="13" stopIfTrue="1">
      <formula>COUNTIF($V$11:$Z$64,$AD53)=0</formula>
    </cfRule>
  </conditionalFormatting>
  <conditionalFormatting sqref="AI55:AI56">
    <cfRule type="expression" dxfId="809" priority="12">
      <formula>$AI55&gt;5</formula>
    </cfRule>
  </conditionalFormatting>
  <conditionalFormatting sqref="AD55:AH55">
    <cfRule type="expression" dxfId="808" priority="11">
      <formula>COUNTIF($V$11:$Z$64,$AD55)=0</formula>
    </cfRule>
  </conditionalFormatting>
  <conditionalFormatting sqref="AK55:AK56">
    <cfRule type="expression" dxfId="807" priority="10" stopIfTrue="1">
      <formula>COUNTIF($V$11:$Z$64,$AD55)=0</formula>
    </cfRule>
  </conditionalFormatting>
  <conditionalFormatting sqref="AI57:AI58">
    <cfRule type="expression" dxfId="806" priority="9">
      <formula>$AI57&gt;5</formula>
    </cfRule>
  </conditionalFormatting>
  <conditionalFormatting sqref="AD57:AH57">
    <cfRule type="expression" dxfId="805" priority="8">
      <formula>COUNTIF($V$11:$Z$64,$AD57)=0</formula>
    </cfRule>
  </conditionalFormatting>
  <conditionalFormatting sqref="AK57:AK58">
    <cfRule type="expression" dxfId="804" priority="7" stopIfTrue="1">
      <formula>COUNTIF($V$11:$Z$64,$AD57)=0</formula>
    </cfRule>
  </conditionalFormatting>
  <conditionalFormatting sqref="AI59:AI60">
    <cfRule type="expression" dxfId="803" priority="6">
      <formula>$AI59&gt;5</formula>
    </cfRule>
  </conditionalFormatting>
  <conditionalFormatting sqref="AD59:AH59">
    <cfRule type="expression" dxfId="802" priority="5">
      <formula>COUNTIF($V$11:$Z$64,$AD59)=0</formula>
    </cfRule>
  </conditionalFormatting>
  <conditionalFormatting sqref="AK59:AK60">
    <cfRule type="expression" dxfId="801" priority="4" stopIfTrue="1">
      <formula>COUNTIF($V$11:$Z$64,$AD59)=0</formula>
    </cfRule>
  </conditionalFormatting>
  <conditionalFormatting sqref="AI61:AI62">
    <cfRule type="expression" dxfId="800" priority="3">
      <formula>$AI61&gt;5</formula>
    </cfRule>
  </conditionalFormatting>
  <conditionalFormatting sqref="AD61:AH61">
    <cfRule type="expression" dxfId="799" priority="2">
      <formula>COUNTIF($V$11:$Z$64,$AD61)=0</formula>
    </cfRule>
  </conditionalFormatting>
  <conditionalFormatting sqref="AK61:AK62">
    <cfRule type="expression" dxfId="798"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B66"/>
  <sheetViews>
    <sheetView topLeftCell="A46" zoomScaleNormal="100" workbookViewId="0">
      <selection activeCell="V26" sqref="V26:AA26"/>
    </sheetView>
  </sheetViews>
  <sheetFormatPr baseColWidth="10"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36"/>
    <col min="40" max="40" width="7.7109375" style="2932" bestFit="1" customWidth="1"/>
    <col min="41" max="43" width="5.7109375" style="2932"/>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36"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5052"/>
      <c r="D3" s="5053"/>
      <c r="E3" s="5053"/>
      <c r="F3" s="5053"/>
      <c r="G3" s="5053"/>
      <c r="H3" s="5053"/>
      <c r="I3" s="1307"/>
      <c r="J3" s="1307"/>
      <c r="K3" s="1307"/>
      <c r="L3" s="1307"/>
      <c r="M3" s="1307"/>
      <c r="N3" s="1307"/>
      <c r="O3" s="1307"/>
      <c r="P3" s="1307"/>
      <c r="Q3" s="529"/>
      <c r="R3" s="1438"/>
      <c r="S3" s="1184"/>
      <c r="T3" s="1184"/>
      <c r="U3" s="369"/>
      <c r="V3" s="5052"/>
      <c r="W3" s="5053"/>
      <c r="X3" s="5053"/>
      <c r="Y3" s="5053"/>
      <c r="Z3" s="5053"/>
      <c r="AA3" s="5053"/>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5054"/>
      <c r="D4" s="5055"/>
      <c r="E4" s="5055"/>
      <c r="F4" s="5055"/>
      <c r="G4" s="5055"/>
      <c r="H4" s="5055"/>
      <c r="I4" s="1308"/>
      <c r="J4" s="5058" t="s">
        <v>1595</v>
      </c>
      <c r="K4" s="5059"/>
      <c r="L4" s="3233" t="str">
        <f>IF(OR(General!$F$22="",General!$F$22=0),"",General!$F$22)</f>
        <v/>
      </c>
      <c r="M4" s="3233"/>
      <c r="N4" s="3233"/>
      <c r="O4" s="3233"/>
      <c r="P4" s="3233"/>
      <c r="Q4" s="478"/>
      <c r="R4" s="1439"/>
      <c r="S4" s="1184"/>
      <c r="T4" s="1184"/>
      <c r="U4" s="369"/>
      <c r="V4" s="5054"/>
      <c r="W4" s="5055"/>
      <c r="X4" s="5055"/>
      <c r="Y4" s="5055"/>
      <c r="Z4" s="5055"/>
      <c r="AA4" s="5055"/>
      <c r="AB4" s="531"/>
      <c r="AC4" s="5058" t="s">
        <v>1595</v>
      </c>
      <c r="AD4" s="5059"/>
      <c r="AE4" s="3233" t="str">
        <f>IF(OR(General!$F$22="",General!$F$22=0),"",General!$F$22)</f>
        <v/>
      </c>
      <c r="AF4" s="3233"/>
      <c r="AG4" s="3233"/>
      <c r="AH4" s="3233"/>
      <c r="AI4" s="3233"/>
      <c r="AJ4" s="478"/>
      <c r="AK4" s="530"/>
      <c r="AL4" s="524"/>
      <c r="AR4" s="2538"/>
      <c r="AS4" s="2538"/>
      <c r="AT4" s="2538"/>
      <c r="AU4" s="2538"/>
      <c r="AV4" s="2538"/>
      <c r="AW4" s="2538"/>
      <c r="AX4" s="2538"/>
      <c r="AY4" s="2538"/>
      <c r="AZ4" s="2538"/>
      <c r="BA4" s="2538"/>
      <c r="BB4" s="2538"/>
    </row>
    <row r="5" spans="1:54" ht="12" customHeight="1" x14ac:dyDescent="0.2">
      <c r="A5" s="524"/>
      <c r="B5" s="1450"/>
      <c r="C5" s="5054"/>
      <c r="D5" s="5055"/>
      <c r="E5" s="5055"/>
      <c r="F5" s="5055"/>
      <c r="G5" s="5055"/>
      <c r="H5" s="5055"/>
      <c r="I5" s="1308"/>
      <c r="J5" s="5046" t="s">
        <v>1596</v>
      </c>
      <c r="K5" s="5047"/>
      <c r="L5" s="5048" t="str">
        <f>Principal!$L$5</f>
        <v/>
      </c>
      <c r="M5" s="5049"/>
      <c r="N5" s="5049"/>
      <c r="O5" s="532" t="s">
        <v>1597</v>
      </c>
      <c r="P5" s="533" t="str">
        <f>Principal!$P$5</f>
        <v>0 + 1</v>
      </c>
      <c r="Q5" s="534"/>
      <c r="R5" s="1439"/>
      <c r="S5" s="1184"/>
      <c r="T5" s="1184"/>
      <c r="U5" s="369"/>
      <c r="V5" s="5054"/>
      <c r="W5" s="5055"/>
      <c r="X5" s="5055"/>
      <c r="Y5" s="5055"/>
      <c r="Z5" s="5055"/>
      <c r="AA5" s="5055"/>
      <c r="AB5" s="531"/>
      <c r="AC5" s="5046" t="s">
        <v>1596</v>
      </c>
      <c r="AD5" s="5047"/>
      <c r="AE5" s="5048" t="str">
        <f>Principal!$L$5</f>
        <v/>
      </c>
      <c r="AF5" s="5049"/>
      <c r="AG5" s="5049"/>
      <c r="AH5" s="532" t="s">
        <v>1597</v>
      </c>
      <c r="AI5" s="533" t="str">
        <f>Principal!$P$5</f>
        <v>0 + 1</v>
      </c>
      <c r="AJ5" s="534"/>
      <c r="AK5" s="530"/>
      <c r="AL5" s="524"/>
      <c r="AR5" s="2538"/>
      <c r="AS5" s="2538"/>
      <c r="AT5" s="2538"/>
      <c r="AU5" s="2538"/>
      <c r="AV5" s="2538"/>
      <c r="AW5" s="2538"/>
      <c r="AX5" s="2538"/>
      <c r="AY5" s="2538"/>
      <c r="AZ5" s="2538"/>
      <c r="BA5" s="2538"/>
      <c r="BB5" s="2538"/>
    </row>
    <row r="6" spans="1:54" ht="12" customHeight="1" x14ac:dyDescent="0.2">
      <c r="A6" s="524"/>
      <c r="B6" s="1450"/>
      <c r="C6" s="5054"/>
      <c r="D6" s="5055"/>
      <c r="E6" s="5055"/>
      <c r="F6" s="5055"/>
      <c r="G6" s="5055"/>
      <c r="H6" s="5055"/>
      <c r="I6" s="1308"/>
      <c r="J6" s="5050" t="s">
        <v>1858</v>
      </c>
      <c r="K6" s="5051"/>
      <c r="L6" s="5051"/>
      <c r="M6" s="5051"/>
      <c r="N6" s="5051"/>
      <c r="O6" s="5051"/>
      <c r="P6" s="5051"/>
      <c r="Q6" s="534"/>
      <c r="R6" s="1439"/>
      <c r="S6" s="1184"/>
      <c r="T6" s="1184"/>
      <c r="U6" s="369"/>
      <c r="V6" s="5054"/>
      <c r="W6" s="5055"/>
      <c r="X6" s="5055"/>
      <c r="Y6" s="5055"/>
      <c r="Z6" s="5055"/>
      <c r="AA6" s="5055"/>
      <c r="AB6" s="531"/>
      <c r="AC6" s="5050" t="s">
        <v>9340</v>
      </c>
      <c r="AD6" s="5051"/>
      <c r="AE6" s="5051"/>
      <c r="AF6" s="5051"/>
      <c r="AG6" s="5051"/>
      <c r="AH6" s="5051"/>
      <c r="AI6" s="5051"/>
      <c r="AJ6" s="534"/>
      <c r="AK6" s="530"/>
      <c r="AL6" s="524"/>
      <c r="AR6" s="2538"/>
      <c r="AS6" s="2538"/>
      <c r="AT6" s="2538"/>
      <c r="AU6" s="2538"/>
      <c r="AV6" s="2538"/>
      <c r="AW6" s="2538"/>
      <c r="AX6" s="2538"/>
      <c r="AY6" s="2538"/>
      <c r="AZ6" s="2538"/>
      <c r="BA6" s="2538"/>
      <c r="BB6" s="2538"/>
    </row>
    <row r="7" spans="1:54" ht="12" customHeight="1" x14ac:dyDescent="0.2">
      <c r="A7" s="524"/>
      <c r="B7" s="1450"/>
      <c r="C7" s="5054"/>
      <c r="D7" s="5055"/>
      <c r="E7" s="5055"/>
      <c r="F7" s="5055"/>
      <c r="G7" s="5055"/>
      <c r="H7" s="5055"/>
      <c r="I7" s="1308"/>
      <c r="J7" s="5051"/>
      <c r="K7" s="5051"/>
      <c r="L7" s="5051"/>
      <c r="M7" s="5051"/>
      <c r="N7" s="5051"/>
      <c r="O7" s="5051"/>
      <c r="P7" s="5051"/>
      <c r="Q7" s="534"/>
      <c r="R7" s="1439"/>
      <c r="S7" s="1184"/>
      <c r="T7" s="1184"/>
      <c r="U7" s="369"/>
      <c r="V7" s="5054"/>
      <c r="W7" s="5055"/>
      <c r="X7" s="5055"/>
      <c r="Y7" s="5055"/>
      <c r="Z7" s="5055"/>
      <c r="AA7" s="5055"/>
      <c r="AB7" s="531"/>
      <c r="AC7" s="5051"/>
      <c r="AD7" s="5051"/>
      <c r="AE7" s="5051"/>
      <c r="AF7" s="5051"/>
      <c r="AG7" s="5051"/>
      <c r="AH7" s="5051"/>
      <c r="AI7" s="5051"/>
      <c r="AJ7" s="534"/>
      <c r="AK7" s="530"/>
      <c r="AL7" s="524"/>
      <c r="AR7" s="2538"/>
      <c r="AS7" s="2538"/>
      <c r="AT7" s="2538"/>
      <c r="AU7" s="2538"/>
      <c r="AV7" s="2538"/>
      <c r="AW7" s="2538"/>
      <c r="AX7" s="2538"/>
      <c r="AY7" s="2538"/>
      <c r="AZ7" s="2538"/>
      <c r="BA7" s="2538"/>
      <c r="BB7" s="2538"/>
    </row>
    <row r="8" spans="1:54" ht="12" customHeight="1" thickBot="1" x14ac:dyDescent="0.25">
      <c r="A8" s="524"/>
      <c r="B8" s="1450"/>
      <c r="C8" s="5056"/>
      <c r="D8" s="5057"/>
      <c r="E8" s="5057"/>
      <c r="F8" s="5057"/>
      <c r="G8" s="5057"/>
      <c r="H8" s="5057"/>
      <c r="I8" s="1309"/>
      <c r="J8" s="1309"/>
      <c r="K8" s="1309"/>
      <c r="L8" s="1309"/>
      <c r="M8" s="1309"/>
      <c r="N8" s="1309"/>
      <c r="O8" s="1309"/>
      <c r="P8" s="1309"/>
      <c r="Q8" s="536"/>
      <c r="R8" s="1439"/>
      <c r="S8" s="1184"/>
      <c r="T8" s="1184"/>
      <c r="U8" s="369"/>
      <c r="V8" s="5056"/>
      <c r="W8" s="5057"/>
      <c r="X8" s="5057"/>
      <c r="Y8" s="5057"/>
      <c r="Z8" s="5057"/>
      <c r="AA8" s="5057"/>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40" t="str">
        <f>IF(Tablas!G488+Tablas!G489+Tablas!G551+Tablas!G534+Tablas!G552&gt;0,"Empatía hacia elemento: -5 CM al coste de cada efecto relacionado con elemento afín (Coste mínimo 5 CM)","")</f>
        <v/>
      </c>
      <c r="W9" s="5040"/>
      <c r="X9" s="5040"/>
      <c r="Y9" s="5040"/>
      <c r="Z9" s="5040"/>
      <c r="AA9" s="5040"/>
      <c r="AB9" s="5040"/>
      <c r="AC9" s="5040"/>
      <c r="AD9" s="5040"/>
      <c r="AE9" s="5040"/>
      <c r="AF9" s="5040"/>
      <c r="AG9" s="5040"/>
      <c r="AH9" s="5040"/>
      <c r="AI9" s="5040"/>
      <c r="AJ9" s="5040"/>
      <c r="AK9" s="530"/>
      <c r="AL9" s="524"/>
      <c r="AR9" s="2538"/>
      <c r="AS9" s="2538"/>
      <c r="AT9" s="2538"/>
      <c r="AU9" s="2538"/>
      <c r="AV9" s="2538"/>
      <c r="AW9" s="2538"/>
      <c r="AX9" s="2538"/>
      <c r="AY9" s="2538"/>
      <c r="AZ9" s="2538"/>
      <c r="BA9" s="2538"/>
      <c r="BB9" s="2538"/>
    </row>
    <row r="10" spans="1:54" ht="12" customHeight="1" thickBot="1" x14ac:dyDescent="0.25">
      <c r="A10" s="524"/>
      <c r="B10" s="1450"/>
      <c r="C10" s="4966" t="s">
        <v>1860</v>
      </c>
      <c r="D10" s="5045"/>
      <c r="E10" s="5045"/>
      <c r="F10" s="4967"/>
      <c r="G10" s="2752"/>
      <c r="H10" s="2257" t="s">
        <v>9144</v>
      </c>
      <c r="I10" s="2145" t="s">
        <v>2400</v>
      </c>
      <c r="J10" s="1444"/>
      <c r="K10" s="4944" t="s">
        <v>1861</v>
      </c>
      <c r="L10" s="4945"/>
      <c r="M10" s="4945"/>
      <c r="N10" s="4945"/>
      <c r="O10" s="4945"/>
      <c r="P10" s="4948">
        <f>IF(Q10=0,40,"-")</f>
        <v>40</v>
      </c>
      <c r="Q10" s="4950"/>
      <c r="R10" s="5034" t="b">
        <f t="shared" ref="R10:R11" si="0">P10="-"</f>
        <v>0</v>
      </c>
      <c r="S10" s="1184"/>
      <c r="T10" s="1184"/>
      <c r="U10" s="369"/>
      <c r="V10" s="5041" t="s">
        <v>1862</v>
      </c>
      <c r="W10" s="5042"/>
      <c r="X10" s="5042"/>
      <c r="Y10" s="5043"/>
      <c r="Z10" s="564"/>
      <c r="AA10" s="5041" t="s">
        <v>1863</v>
      </c>
      <c r="AB10" s="5042"/>
      <c r="AC10" s="5042"/>
      <c r="AD10" s="5042"/>
      <c r="AE10" s="5042"/>
      <c r="AF10" s="5042"/>
      <c r="AG10" s="5042"/>
      <c r="AH10" s="5042"/>
      <c r="AI10" s="5042"/>
      <c r="AJ10" s="5043"/>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5060" t="s">
        <v>1866</v>
      </c>
      <c r="H11" s="5061"/>
      <c r="I11" s="5062"/>
      <c r="J11" s="1444"/>
      <c r="K11" s="4946"/>
      <c r="L11" s="4947"/>
      <c r="M11" s="4947"/>
      <c r="N11" s="4947"/>
      <c r="O11" s="4947"/>
      <c r="P11" s="4949"/>
      <c r="Q11" s="4951"/>
      <c r="R11" s="5034" t="b">
        <f t="shared" si="0"/>
        <v>0</v>
      </c>
      <c r="S11" s="1184"/>
      <c r="T11" s="1184"/>
      <c r="U11" s="369"/>
      <c r="V11" s="5032" t="s">
        <v>1867</v>
      </c>
      <c r="W11" s="5033"/>
      <c r="X11" s="5019"/>
      <c r="Y11" s="4576"/>
      <c r="Z11" s="578"/>
      <c r="AA11" s="4985" t="s">
        <v>1868</v>
      </c>
      <c r="AB11" s="4986"/>
      <c r="AC11" s="5039"/>
      <c r="AD11" s="4986" t="s">
        <v>1869</v>
      </c>
      <c r="AE11" s="4986"/>
      <c r="AF11" s="4986"/>
      <c r="AG11" s="4986"/>
      <c r="AH11" s="4986"/>
      <c r="AI11" s="4986"/>
      <c r="AJ11" s="5044"/>
      <c r="AK11" s="530"/>
      <c r="AL11" s="524"/>
      <c r="AR11" s="2538"/>
      <c r="AS11" s="2538"/>
      <c r="AT11" s="2538"/>
      <c r="AU11" s="2538"/>
      <c r="AV11" s="2538"/>
      <c r="AW11" s="2538"/>
      <c r="AX11" s="2538"/>
      <c r="AY11" s="2538"/>
      <c r="AZ11" s="2538"/>
      <c r="BA11" s="2538"/>
      <c r="BB11" s="2538"/>
    </row>
    <row r="12" spans="1:54" ht="12" customHeight="1" x14ac:dyDescent="0.2">
      <c r="A12" s="524"/>
      <c r="B12" s="1450"/>
      <c r="C12" s="5035" t="s">
        <v>1646</v>
      </c>
      <c r="D12" s="4987">
        <f>PDs!$AA33</f>
        <v>0</v>
      </c>
      <c r="E12" s="4995">
        <f>CEILING(Ki!D12/2,1)</f>
        <v>0</v>
      </c>
      <c r="F12" s="4989" t="str">
        <f>IF(OR(Tablas!$G$375&gt;0,Tablas!$H$1394&gt;0,$I$10&lt;&gt;"No"),"-",PDs!$AA$27)</f>
        <v>-</v>
      </c>
      <c r="G12" s="2742"/>
      <c r="H12" s="2742"/>
      <c r="I12" s="2743"/>
      <c r="J12" s="1444"/>
      <c r="K12" s="4922" t="s">
        <v>1870</v>
      </c>
      <c r="L12" s="4923"/>
      <c r="M12" s="4923"/>
      <c r="N12" s="4923"/>
      <c r="O12" s="4923"/>
      <c r="P12" s="2045">
        <f>IF(Q12=0,30,"-")</f>
        <v>30</v>
      </c>
      <c r="Q12" s="2259"/>
      <c r="R12" s="2147" t="b">
        <f>P12="-"</f>
        <v>0</v>
      </c>
      <c r="S12" s="1184"/>
      <c r="T12" s="1184"/>
      <c r="U12" s="369"/>
      <c r="V12" s="5003"/>
      <c r="W12" s="5016"/>
      <c r="X12" s="5019"/>
      <c r="Y12" s="4576"/>
      <c r="Z12" s="578"/>
      <c r="AA12" s="5036"/>
      <c r="AB12" s="5037"/>
      <c r="AC12" s="5038"/>
      <c r="AD12" s="5029"/>
      <c r="AE12" s="5030"/>
      <c r="AF12" s="5030"/>
      <c r="AG12" s="5030"/>
      <c r="AH12" s="5030"/>
      <c r="AI12" s="5030"/>
      <c r="AJ12" s="5031"/>
      <c r="AK12" s="530"/>
      <c r="AL12" s="524"/>
      <c r="AR12" s="2538"/>
      <c r="AS12" s="2538"/>
      <c r="AT12" s="2538"/>
      <c r="AU12" s="2538"/>
      <c r="AV12" s="2538"/>
      <c r="AW12" s="2538"/>
      <c r="AX12" s="2538"/>
      <c r="AY12" s="2538"/>
      <c r="AZ12" s="2538"/>
      <c r="BA12" s="2538"/>
      <c r="BB12" s="2538"/>
    </row>
    <row r="13" spans="1:54" ht="12" customHeight="1" x14ac:dyDescent="0.2">
      <c r="A13" s="524"/>
      <c r="B13" s="1450"/>
      <c r="C13" s="5003"/>
      <c r="D13" s="5004"/>
      <c r="E13" s="5006"/>
      <c r="F13" s="5005"/>
      <c r="G13" s="2744"/>
      <c r="H13" s="2744"/>
      <c r="I13" s="2745"/>
      <c r="J13" s="1444"/>
      <c r="K13" s="579" t="s">
        <v>1871</v>
      </c>
      <c r="L13" s="5009" t="s">
        <v>1872</v>
      </c>
      <c r="M13" s="5009"/>
      <c r="N13" s="5009"/>
      <c r="O13" s="5009"/>
      <c r="P13" s="2045">
        <f>IF(Q13=0,20,"-")</f>
        <v>20</v>
      </c>
      <c r="Q13" s="2260"/>
      <c r="R13" s="2147" t="b">
        <f t="shared" ref="R13:R62" si="1">P13="-"</f>
        <v>0</v>
      </c>
      <c r="S13" s="1184"/>
      <c r="T13" s="1184"/>
      <c r="U13" s="369"/>
      <c r="V13" s="5003" t="s">
        <v>1873</v>
      </c>
      <c r="W13" s="5016"/>
      <c r="X13" s="5019"/>
      <c r="Y13" s="4576"/>
      <c r="Z13" s="475"/>
      <c r="AA13" s="3410"/>
      <c r="AB13" s="3411"/>
      <c r="AC13" s="5013"/>
      <c r="AD13" s="5014"/>
      <c r="AE13" s="3412"/>
      <c r="AF13" s="3412"/>
      <c r="AG13" s="3412"/>
      <c r="AH13" s="3412"/>
      <c r="AI13" s="3412"/>
      <c r="AJ13" s="5015"/>
      <c r="AK13" s="530"/>
      <c r="AL13" s="524"/>
      <c r="AR13" s="2538"/>
      <c r="AS13" s="2538"/>
      <c r="AT13" s="2538"/>
      <c r="AU13" s="2538"/>
      <c r="AV13" s="2538"/>
      <c r="AW13" s="2538"/>
      <c r="AX13" s="2538"/>
      <c r="AY13" s="2538"/>
      <c r="AZ13" s="2538"/>
      <c r="BA13" s="2538"/>
      <c r="BB13" s="2538"/>
    </row>
    <row r="14" spans="1:54" ht="12" customHeight="1" x14ac:dyDescent="0.2">
      <c r="A14" s="524"/>
      <c r="B14" s="1450"/>
      <c r="C14" s="4997" t="s">
        <v>1772</v>
      </c>
      <c r="D14" s="4999">
        <f>PDs!$AA34</f>
        <v>0</v>
      </c>
      <c r="E14" s="5007">
        <f>CEILING(Ki!D14/2,1)</f>
        <v>0</v>
      </c>
      <c r="F14" s="5001" t="str">
        <f>IF(OR(Tablas!$G$375&gt;0,Tablas!$H$1394&gt;0,$I$10&lt;&gt;"No"),"-",PDs!$AA$28)</f>
        <v>-</v>
      </c>
      <c r="G14" s="2746"/>
      <c r="H14" s="2746"/>
      <c r="I14" s="2747"/>
      <c r="J14" s="1444"/>
      <c r="K14" s="579" t="s">
        <v>1874</v>
      </c>
      <c r="L14" s="580" t="s">
        <v>1875</v>
      </c>
      <c r="M14" s="4965" t="s">
        <v>1876</v>
      </c>
      <c r="N14" s="4965"/>
      <c r="O14" s="4965"/>
      <c r="P14" s="2045">
        <f>IF(Q14=0,10,"-")</f>
        <v>10</v>
      </c>
      <c r="Q14" s="2260"/>
      <c r="R14" s="2147" t="b">
        <f t="shared" si="1"/>
        <v>0</v>
      </c>
      <c r="S14" s="1184"/>
      <c r="T14" s="1184"/>
      <c r="U14" s="369"/>
      <c r="V14" s="5003"/>
      <c r="W14" s="5016"/>
      <c r="X14" s="5019"/>
      <c r="Y14" s="4576"/>
      <c r="Z14" s="567"/>
      <c r="AA14" s="3410"/>
      <c r="AB14" s="3411"/>
      <c r="AC14" s="5013"/>
      <c r="AD14" s="5014"/>
      <c r="AE14" s="3412"/>
      <c r="AF14" s="3412"/>
      <c r="AG14" s="3412"/>
      <c r="AH14" s="3412"/>
      <c r="AI14" s="3412"/>
      <c r="AJ14" s="5015"/>
      <c r="AK14" s="530"/>
      <c r="AL14" s="524"/>
      <c r="AR14" s="2538"/>
      <c r="AS14" s="2538"/>
      <c r="AT14" s="2538"/>
      <c r="AU14" s="2538"/>
      <c r="AV14" s="2538"/>
      <c r="AW14" s="2538"/>
      <c r="AX14" s="2538"/>
      <c r="AY14" s="2538"/>
      <c r="AZ14" s="2538"/>
      <c r="BA14" s="2538"/>
      <c r="BB14" s="2538"/>
    </row>
    <row r="15" spans="1:54" ht="12" customHeight="1" x14ac:dyDescent="0.2">
      <c r="A15" s="524"/>
      <c r="B15" s="1450"/>
      <c r="C15" s="4997"/>
      <c r="D15" s="4999"/>
      <c r="E15" s="5007"/>
      <c r="F15" s="5001"/>
      <c r="G15" s="2746"/>
      <c r="H15" s="2746"/>
      <c r="I15" s="2747"/>
      <c r="J15" s="1444"/>
      <c r="K15" s="579" t="s">
        <v>1871</v>
      </c>
      <c r="L15" s="4965" t="s">
        <v>1877</v>
      </c>
      <c r="M15" s="4965"/>
      <c r="N15" s="4965"/>
      <c r="O15" s="4965"/>
      <c r="P15" s="2045">
        <f>IF(Q15=0,40,"-")</f>
        <v>40</v>
      </c>
      <c r="Q15" s="2260"/>
      <c r="R15" s="2147" t="b">
        <f t="shared" si="1"/>
        <v>0</v>
      </c>
      <c r="S15" s="1184"/>
      <c r="T15" s="1184"/>
      <c r="U15" s="369"/>
      <c r="V15" s="5003" t="s">
        <v>1878</v>
      </c>
      <c r="W15" s="5016"/>
      <c r="X15" s="5019"/>
      <c r="Y15" s="4576"/>
      <c r="Z15" s="581"/>
      <c r="AA15" s="3410"/>
      <c r="AB15" s="3411"/>
      <c r="AC15" s="5013"/>
      <c r="AD15" s="5014"/>
      <c r="AE15" s="3412"/>
      <c r="AF15" s="3412"/>
      <c r="AG15" s="3412"/>
      <c r="AH15" s="3412"/>
      <c r="AI15" s="3412"/>
      <c r="AJ15" s="5015"/>
      <c r="AK15" s="530"/>
      <c r="AL15" s="524"/>
      <c r="AR15" s="2538"/>
      <c r="AS15" s="2538"/>
      <c r="AT15" s="2538"/>
      <c r="AU15" s="2538"/>
      <c r="AV15" s="2538"/>
      <c r="AW15" s="2538"/>
      <c r="AX15" s="2538"/>
      <c r="AY15" s="2538"/>
      <c r="AZ15" s="2538"/>
      <c r="BA15" s="2538"/>
      <c r="BB15" s="2538"/>
    </row>
    <row r="16" spans="1:54" ht="12" customHeight="1" x14ac:dyDescent="0.2">
      <c r="A16" s="524"/>
      <c r="B16" s="1450"/>
      <c r="C16" s="5003" t="s">
        <v>1651</v>
      </c>
      <c r="D16" s="5004">
        <f>PDs!$AA35</f>
        <v>0</v>
      </c>
      <c r="E16" s="5006">
        <f>CEILING(Ki!D16/2,1)</f>
        <v>0</v>
      </c>
      <c r="F16" s="5005" t="str">
        <f>IF(OR(Tablas!$G$375&gt;0,Tablas!$H$1394&gt;0,$I$10&lt;&gt;"No"),"-",PDs!$AA$29)</f>
        <v>-</v>
      </c>
      <c r="G16" s="2744"/>
      <c r="H16" s="2744"/>
      <c r="I16" s="2745"/>
      <c r="J16" s="1444"/>
      <c r="K16" s="579" t="s">
        <v>1871</v>
      </c>
      <c r="L16" s="4965" t="s">
        <v>1879</v>
      </c>
      <c r="M16" s="4965"/>
      <c r="N16" s="4965"/>
      <c r="O16" s="4965"/>
      <c r="P16" s="2045">
        <f>IF(Q16=0,10,"-")</f>
        <v>10</v>
      </c>
      <c r="Q16" s="2260"/>
      <c r="R16" s="2147" t="b">
        <f t="shared" si="1"/>
        <v>0</v>
      </c>
      <c r="S16" s="1184"/>
      <c r="T16" s="1184"/>
      <c r="U16" s="369"/>
      <c r="V16" s="5003"/>
      <c r="W16" s="5016"/>
      <c r="X16" s="5019"/>
      <c r="Y16" s="4576"/>
      <c r="Z16" s="581"/>
      <c r="AA16" s="3410"/>
      <c r="AB16" s="3411"/>
      <c r="AC16" s="5013"/>
      <c r="AD16" s="5014"/>
      <c r="AE16" s="3412"/>
      <c r="AF16" s="3412"/>
      <c r="AG16" s="3412"/>
      <c r="AH16" s="3412"/>
      <c r="AI16" s="3412"/>
      <c r="AJ16" s="5015"/>
      <c r="AK16" s="530"/>
      <c r="AL16" s="524"/>
      <c r="AR16" s="2538"/>
      <c r="AS16" s="2538"/>
      <c r="AT16" s="2538"/>
      <c r="AU16" s="2538"/>
      <c r="AV16" s="2538"/>
      <c r="AW16" s="2538"/>
      <c r="AX16" s="2538"/>
      <c r="AY16" s="2538"/>
      <c r="AZ16" s="2538"/>
      <c r="BA16" s="2538"/>
      <c r="BB16" s="2538"/>
    </row>
    <row r="17" spans="1:54" ht="12" customHeight="1" x14ac:dyDescent="0.2">
      <c r="A17" s="524"/>
      <c r="B17" s="1450"/>
      <c r="C17" s="5003"/>
      <c r="D17" s="5004"/>
      <c r="E17" s="5006"/>
      <c r="F17" s="5005"/>
      <c r="G17" s="2744"/>
      <c r="H17" s="2744"/>
      <c r="I17" s="2745"/>
      <c r="J17" s="1444"/>
      <c r="K17" s="579" t="s">
        <v>1874</v>
      </c>
      <c r="L17" s="582" t="s">
        <v>1871</v>
      </c>
      <c r="M17" s="5009" t="s">
        <v>1880</v>
      </c>
      <c r="N17" s="5009"/>
      <c r="O17" s="5009"/>
      <c r="P17" s="2045">
        <f>IF(Q17=0,30,"-")</f>
        <v>30</v>
      </c>
      <c r="Q17" s="2260"/>
      <c r="R17" s="2147" t="b">
        <f t="shared" si="1"/>
        <v>0</v>
      </c>
      <c r="S17" s="1184"/>
      <c r="T17" s="1184"/>
      <c r="U17" s="369"/>
      <c r="V17" s="5003" t="s">
        <v>1881</v>
      </c>
      <c r="W17" s="5016"/>
      <c r="X17" s="5019"/>
      <c r="Y17" s="4576"/>
      <c r="Z17" s="583"/>
      <c r="AA17" s="3410"/>
      <c r="AB17" s="3411"/>
      <c r="AC17" s="5013"/>
      <c r="AD17" s="5014"/>
      <c r="AE17" s="3412"/>
      <c r="AF17" s="3412"/>
      <c r="AG17" s="3412"/>
      <c r="AH17" s="3412"/>
      <c r="AI17" s="3412"/>
      <c r="AJ17" s="5015"/>
      <c r="AK17" s="530"/>
      <c r="AL17" s="524"/>
      <c r="AR17" s="2538"/>
      <c r="AS17" s="2538"/>
      <c r="AT17" s="2538"/>
      <c r="AU17" s="2538"/>
      <c r="AV17" s="2538"/>
      <c r="AW17" s="2538"/>
      <c r="AX17" s="2538"/>
      <c r="AY17" s="2538"/>
      <c r="AZ17" s="2538"/>
      <c r="BA17" s="2538"/>
      <c r="BB17" s="2538"/>
    </row>
    <row r="18" spans="1:54" ht="12" customHeight="1" x14ac:dyDescent="0.2">
      <c r="A18" s="524"/>
      <c r="B18" s="1450"/>
      <c r="C18" s="4997" t="s">
        <v>1656</v>
      </c>
      <c r="D18" s="4999">
        <f>PDs!$AA36</f>
        <v>0</v>
      </c>
      <c r="E18" s="5007">
        <f>CEILING(Ki!D18/2,1)</f>
        <v>0</v>
      </c>
      <c r="F18" s="5001" t="str">
        <f>IF(OR(Tablas!$G$375&gt;0,Tablas!$H$1394&gt;0,$I$10&lt;&gt;"No"),"-",PDs!$AA$30)</f>
        <v>-</v>
      </c>
      <c r="G18" s="2746"/>
      <c r="H18" s="2746"/>
      <c r="I18" s="2747"/>
      <c r="J18" s="1444"/>
      <c r="K18" s="579" t="s">
        <v>1874</v>
      </c>
      <c r="L18" s="582" t="s">
        <v>1874</v>
      </c>
      <c r="M18" s="582" t="s">
        <v>1882</v>
      </c>
      <c r="N18" s="5028" t="s">
        <v>1883</v>
      </c>
      <c r="O18" s="5028"/>
      <c r="P18" s="2045">
        <f>IF(Q18=0,20,"-")</f>
        <v>20</v>
      </c>
      <c r="Q18" s="2260"/>
      <c r="R18" s="2147" t="b">
        <f t="shared" si="1"/>
        <v>0</v>
      </c>
      <c r="S18" s="1184"/>
      <c r="T18" s="1184"/>
      <c r="U18" s="369"/>
      <c r="V18" s="5003"/>
      <c r="W18" s="5016"/>
      <c r="X18" s="5019"/>
      <c r="Y18" s="4576"/>
      <c r="Z18" s="584"/>
      <c r="AA18" s="3410"/>
      <c r="AB18" s="3411"/>
      <c r="AC18" s="5013"/>
      <c r="AD18" s="5014"/>
      <c r="AE18" s="3412"/>
      <c r="AF18" s="3412"/>
      <c r="AG18" s="3412"/>
      <c r="AH18" s="3412"/>
      <c r="AI18" s="3412"/>
      <c r="AJ18" s="5015"/>
      <c r="AK18" s="530"/>
      <c r="AL18" s="524"/>
      <c r="AR18" s="2538"/>
      <c r="AS18" s="2538"/>
      <c r="AT18" s="2538"/>
      <c r="AU18" s="2538"/>
      <c r="AV18" s="2538"/>
      <c r="AW18" s="2538"/>
      <c r="AX18" s="2538"/>
      <c r="AY18" s="2538"/>
      <c r="AZ18" s="2538"/>
      <c r="BA18" s="2538"/>
      <c r="BB18" s="2538"/>
    </row>
    <row r="19" spans="1:54" ht="12" customHeight="1" x14ac:dyDescent="0.2">
      <c r="A19" s="524"/>
      <c r="B19" s="1450"/>
      <c r="C19" s="4997"/>
      <c r="D19" s="4999"/>
      <c r="E19" s="5007"/>
      <c r="F19" s="5001"/>
      <c r="G19" s="2746"/>
      <c r="H19" s="2746"/>
      <c r="I19" s="2747"/>
      <c r="J19" s="1444"/>
      <c r="K19" s="579" t="s">
        <v>1874</v>
      </c>
      <c r="L19" s="582" t="s">
        <v>1871</v>
      </c>
      <c r="M19" s="5009" t="s">
        <v>1884</v>
      </c>
      <c r="N19" s="5009"/>
      <c r="O19" s="5009"/>
      <c r="P19" s="2045">
        <f>IF(Q19=0,30,"-")</f>
        <v>30</v>
      </c>
      <c r="Q19" s="2260"/>
      <c r="R19" s="2147" t="b">
        <f t="shared" si="1"/>
        <v>0</v>
      </c>
      <c r="S19" s="1184"/>
      <c r="T19" s="1184"/>
      <c r="U19" s="369"/>
      <c r="V19" s="5003" t="s">
        <v>1885</v>
      </c>
      <c r="W19" s="5016"/>
      <c r="X19" s="5019"/>
      <c r="Y19" s="4576"/>
      <c r="Z19" s="584"/>
      <c r="AA19" s="3410"/>
      <c r="AB19" s="3411"/>
      <c r="AC19" s="5013"/>
      <c r="AD19" s="5014"/>
      <c r="AE19" s="3412"/>
      <c r="AF19" s="3412"/>
      <c r="AG19" s="3412"/>
      <c r="AH19" s="3412"/>
      <c r="AI19" s="3412"/>
      <c r="AJ19" s="5015"/>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5003" t="s">
        <v>1664</v>
      </c>
      <c r="D20" s="5004">
        <f>PDs!$AA37</f>
        <v>0</v>
      </c>
      <c r="E20" s="5006">
        <f>CEILING(Ki!D20/2,1)</f>
        <v>0</v>
      </c>
      <c r="F20" s="5005" t="str">
        <f>IF(OR(Tablas!$G$375&gt;0,Tablas!$H$1394&gt;0,$I$10&lt;&gt;"No"),"-",PDs!$AA$31)</f>
        <v>-</v>
      </c>
      <c r="G20" s="2744"/>
      <c r="H20" s="2744"/>
      <c r="I20" s="2745"/>
      <c r="J20" s="1444"/>
      <c r="K20" s="579" t="s">
        <v>1874</v>
      </c>
      <c r="L20" s="582" t="s">
        <v>1874</v>
      </c>
      <c r="M20" s="582" t="s">
        <v>1871</v>
      </c>
      <c r="N20" s="4965" t="s">
        <v>1886</v>
      </c>
      <c r="O20" s="4965"/>
      <c r="P20" s="2045">
        <f>IF(Q20=0,30,"-")</f>
        <v>30</v>
      </c>
      <c r="Q20" s="2260"/>
      <c r="R20" s="2147" t="b">
        <f t="shared" si="1"/>
        <v>0</v>
      </c>
      <c r="S20" s="1184"/>
      <c r="T20" s="1184"/>
      <c r="U20" s="369"/>
      <c r="V20" s="5017"/>
      <c r="W20" s="5018"/>
      <c r="X20" s="5020"/>
      <c r="Y20" s="4568"/>
      <c r="Z20" s="584"/>
      <c r="AA20" s="5010"/>
      <c r="AB20" s="5011"/>
      <c r="AC20" s="5012"/>
      <c r="AD20" s="5025"/>
      <c r="AE20" s="5026"/>
      <c r="AF20" s="5026"/>
      <c r="AG20" s="5026"/>
      <c r="AH20" s="5026"/>
      <c r="AI20" s="5026"/>
      <c r="AJ20" s="5027"/>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5003"/>
      <c r="D21" s="5004"/>
      <c r="E21" s="5006"/>
      <c r="F21" s="5005"/>
      <c r="G21" s="2744"/>
      <c r="H21" s="2744"/>
      <c r="I21" s="2745"/>
      <c r="J21" s="1444"/>
      <c r="K21" s="579" t="s">
        <v>1874</v>
      </c>
      <c r="L21" s="582" t="s">
        <v>1874</v>
      </c>
      <c r="M21" s="582" t="s">
        <v>1874</v>
      </c>
      <c r="N21" s="5009" t="s">
        <v>1887</v>
      </c>
      <c r="O21" s="5009"/>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97" t="s">
        <v>1665</v>
      </c>
      <c r="D22" s="4999">
        <f>PDs!$AA38</f>
        <v>0</v>
      </c>
      <c r="E22" s="5007">
        <f>CEILING(Ki!D22/2,1)</f>
        <v>0</v>
      </c>
      <c r="F22" s="5001" t="str">
        <f>IF(OR(Tablas!$G$375&gt;0,Tablas!$H$1394&gt;0,$I$10&lt;&gt;"No"),"-",PDs!$AA$32)</f>
        <v>-</v>
      </c>
      <c r="G22" s="2746"/>
      <c r="H22" s="2746"/>
      <c r="I22" s="2747"/>
      <c r="J22" s="1444"/>
      <c r="K22" s="579" t="s">
        <v>1874</v>
      </c>
      <c r="L22" s="582" t="s">
        <v>1874</v>
      </c>
      <c r="M22" s="582" t="s">
        <v>1882</v>
      </c>
      <c r="N22" s="4965" t="s">
        <v>1888</v>
      </c>
      <c r="O22" s="4965"/>
      <c r="P22" s="2045">
        <f>IF(Q22=0,30,"-")</f>
        <v>30</v>
      </c>
      <c r="Q22" s="2260"/>
      <c r="R22" s="2147" t="b">
        <f t="shared" si="1"/>
        <v>0</v>
      </c>
      <c r="S22" s="1184"/>
      <c r="T22" s="1184"/>
      <c r="U22" s="369"/>
      <c r="V22" s="4581" t="s">
        <v>1911</v>
      </c>
      <c r="W22" s="4582"/>
      <c r="X22" s="4583"/>
      <c r="Y22" s="5021"/>
      <c r="Z22" s="5022"/>
      <c r="AA22" s="5023"/>
      <c r="AB22" s="5022"/>
      <c r="AC22" s="5023"/>
      <c r="AD22" s="5022"/>
      <c r="AE22" s="5023"/>
      <c r="AF22" s="5022"/>
      <c r="AG22" s="5023"/>
      <c r="AH22" s="5022"/>
      <c r="AI22" s="5023"/>
      <c r="AJ22" s="5024"/>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98"/>
      <c r="D23" s="5000"/>
      <c r="E23" s="5008"/>
      <c r="F23" s="5002"/>
      <c r="G23" s="2748"/>
      <c r="H23" s="2748"/>
      <c r="I23" s="2749"/>
      <c r="J23" s="1444"/>
      <c r="K23" s="579" t="s">
        <v>1874</v>
      </c>
      <c r="L23" s="582" t="s">
        <v>1874</v>
      </c>
      <c r="M23" s="585"/>
      <c r="N23" s="5009" t="s">
        <v>1889</v>
      </c>
      <c r="O23" s="5009"/>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87">
        <f>D12+D14+D16+D18+D20+D22</f>
        <v>0</v>
      </c>
      <c r="E24" s="4995">
        <f>E12+E14+E16+E18+E20+E22</f>
        <v>0</v>
      </c>
      <c r="F24" s="4989">
        <f>IF(OR(Tablas!$G$375&gt;0,Tablas!$H$1394&gt;0),((PDs!W31*6)+(PDs!V27+PDs!V28+PDs!V29+PDs!V30+PDs!V31+PDs!V32)),SUM(PDs!$AA$27:$AA$32))</f>
        <v>0</v>
      </c>
      <c r="G24" s="4991" t="str">
        <f>IF(I10&lt;&gt;"no","Con Unificación del Ki no se unifican las acumulaciones","")</f>
        <v>Con Unificación del Ki no se unifican las acumulaciones</v>
      </c>
      <c r="H24" s="4991"/>
      <c r="I24" s="4992"/>
      <c r="J24" s="1444"/>
      <c r="K24" s="579" t="s">
        <v>1874</v>
      </c>
      <c r="L24" s="582" t="s">
        <v>1882</v>
      </c>
      <c r="M24" s="4965" t="s">
        <v>1891</v>
      </c>
      <c r="N24" s="4965"/>
      <c r="O24" s="4965"/>
      <c r="P24" s="2045">
        <f>IF(Q24=0,20,"-")</f>
        <v>20</v>
      </c>
      <c r="Q24" s="2260"/>
      <c r="R24" s="2147" t="b">
        <f t="shared" si="1"/>
        <v>0</v>
      </c>
      <c r="S24" s="1184"/>
      <c r="T24" s="1184"/>
      <c r="U24" s="586"/>
      <c r="V24" s="4581" t="s">
        <v>1859</v>
      </c>
      <c r="W24" s="4582"/>
      <c r="X24" s="4582"/>
      <c r="Y24" s="4582"/>
      <c r="Z24" s="4582"/>
      <c r="AA24" s="4582"/>
      <c r="AB24" s="4582"/>
      <c r="AC24" s="4582"/>
      <c r="AD24" s="4582"/>
      <c r="AE24" s="4582"/>
      <c r="AF24" s="4582"/>
      <c r="AG24" s="4582"/>
      <c r="AH24" s="4582"/>
      <c r="AI24" s="4582"/>
      <c r="AJ24" s="4583"/>
      <c r="AK24" s="530"/>
      <c r="AL24" s="524"/>
      <c r="AM24" s="2936" t="s">
        <v>10222</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88"/>
      <c r="E25" s="4996"/>
      <c r="F25" s="4990"/>
      <c r="G25" s="4993"/>
      <c r="H25" s="4993"/>
      <c r="I25" s="4994"/>
      <c r="J25" s="1444"/>
      <c r="K25" s="579" t="s">
        <v>1871</v>
      </c>
      <c r="L25" s="4965" t="s">
        <v>1892</v>
      </c>
      <c r="M25" s="4965"/>
      <c r="N25" s="4965"/>
      <c r="O25" s="4965"/>
      <c r="P25" s="2045">
        <f>IF(Q25=0,50,"-")</f>
        <v>50</v>
      </c>
      <c r="Q25" s="2260"/>
      <c r="R25" s="2147" t="b">
        <f t="shared" si="1"/>
        <v>0</v>
      </c>
      <c r="S25" s="1184"/>
      <c r="T25" s="1184"/>
      <c r="U25" s="586">
        <f>IF(V26=0,0,1)</f>
        <v>0</v>
      </c>
      <c r="AK25" s="530"/>
      <c r="AL25" s="524"/>
      <c r="AM25" s="2936" t="s">
        <v>1638</v>
      </c>
      <c r="AN25" s="2932"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65" t="s">
        <v>1893</v>
      </c>
      <c r="M26" s="4965"/>
      <c r="N26" s="4965"/>
      <c r="O26" s="4965"/>
      <c r="P26" s="2045">
        <f>IF(Q26=0,20,"-")</f>
        <v>20</v>
      </c>
      <c r="Q26" s="2260"/>
      <c r="R26" s="2147" t="b">
        <f t="shared" si="1"/>
        <v>0</v>
      </c>
      <c r="S26" s="1184"/>
      <c r="T26" s="1184"/>
      <c r="U26" s="586"/>
      <c r="V26" s="4933"/>
      <c r="W26" s="4934"/>
      <c r="X26" s="4934"/>
      <c r="Y26" s="4934"/>
      <c r="Z26" s="4934"/>
      <c r="AA26" s="4935"/>
      <c r="AB26" s="2937" t="s">
        <v>1774</v>
      </c>
      <c r="AD26" s="4933"/>
      <c r="AE26" s="4934"/>
      <c r="AF26" s="4934"/>
      <c r="AG26" s="4934"/>
      <c r="AH26" s="4934"/>
      <c r="AI26" s="4935"/>
      <c r="AJ26" s="2937" t="s">
        <v>1774</v>
      </c>
      <c r="AK26" s="530"/>
      <c r="AL26" s="524"/>
      <c r="AM26" s="293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36" t="str">
        <f>IFERROR(LEFT(AM26,LEN(AM26)-2),"")</f>
        <v/>
      </c>
      <c r="AO26" s="2936"/>
      <c r="AP26" s="2936"/>
      <c r="AQ26" s="2936"/>
      <c r="AR26" s="2936"/>
      <c r="AS26" s="2936"/>
      <c r="AT26" s="2936"/>
      <c r="AU26" s="2936"/>
      <c r="AV26" s="2936"/>
      <c r="AW26" s="2936"/>
      <c r="AX26" s="2936"/>
      <c r="AY26" s="2936" t="str">
        <f t="shared" ref="AY26" si="2">IF(AH26="","",AH26&amp;" ("&amp;AH27&amp;"), ")&amp;IF(AH34="","",AH34&amp;" ("&amp;AH35&amp;"), ")&amp;IF(AH42="","",AH42&amp;" ("&amp;AH43&amp;"), ")&amp;IF(AH50="","",AH50&amp;" ("&amp;AH51&amp;"), ")&amp;IF(AH58="","",AH58&amp;" ("&amp;AH59&amp;"), ")</f>
        <v/>
      </c>
      <c r="AZ26" s="2936"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581" t="s">
        <v>1894</v>
      </c>
      <c r="D27" s="4582"/>
      <c r="E27" s="4582"/>
      <c r="F27" s="4583"/>
      <c r="G27" s="1138"/>
      <c r="H27" s="4966" t="s">
        <v>1895</v>
      </c>
      <c r="I27" s="4967"/>
      <c r="J27" s="1444"/>
      <c r="K27" s="4922" t="s">
        <v>1896</v>
      </c>
      <c r="L27" s="4924"/>
      <c r="M27" s="4924"/>
      <c r="N27" s="4924"/>
      <c r="O27" s="4924"/>
      <c r="P27" s="2045">
        <f>IF(Q27=0,10,"-")</f>
        <v>10</v>
      </c>
      <c r="Q27" s="2260"/>
      <c r="R27" s="2147" t="b">
        <f t="shared" si="1"/>
        <v>0</v>
      </c>
      <c r="S27" s="1184"/>
      <c r="T27" s="1184"/>
      <c r="U27" s="586">
        <f>IF(V28=0,0,1)</f>
        <v>1</v>
      </c>
      <c r="V27" s="4931" t="str">
        <f>IF(V26="","",VLOOKUP(V26,'Tablas Técnicas'!$C$649:$M$832,5,FALSE))</f>
        <v/>
      </c>
      <c r="W27" s="4932"/>
      <c r="X27" s="4932"/>
      <c r="Y27" s="4932"/>
      <c r="Z27" s="2898" t="s">
        <v>1597</v>
      </c>
      <c r="AA27" s="2572" t="str">
        <f>IF(V26="","",VLOOKUP(V26,'Tablas Técnicas'!$C$649:$M$832,3,FALSE))</f>
        <v/>
      </c>
      <c r="AB27" s="2938">
        <f>IF(V26="",0,VLOOKUP(V26,'Tablas Técnicas'!$C$649:$M$832,4,FALSE))</f>
        <v>0</v>
      </c>
      <c r="AD27" s="4931" t="str">
        <f>IF(AD26="","",VLOOKUP(AD26,'Tablas Técnicas'!$C$649:$M$832,5,FALSE))</f>
        <v/>
      </c>
      <c r="AE27" s="4932"/>
      <c r="AF27" s="4932"/>
      <c r="AG27" s="4932"/>
      <c r="AH27" s="2898" t="s">
        <v>1597</v>
      </c>
      <c r="AI27" s="2572" t="str">
        <f>IF(AD26="","",VLOOKUP(AD26,'Tablas Técnicas'!$C$649:$M$832,3,FALSE))</f>
        <v/>
      </c>
      <c r="AJ27" s="2938">
        <f>IF(AD26="",0,VLOOKUP(AD26,'Tablas Técnicas'!$C$649:$M$832,4,FALSE))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74" t="s">
        <v>1897</v>
      </c>
      <c r="D28" s="4975"/>
      <c r="E28" s="4976" t="s">
        <v>1898</v>
      </c>
      <c r="F28" s="4977"/>
      <c r="G28" s="1578">
        <f>Tablas!H977</f>
        <v>0</v>
      </c>
      <c r="H28" s="4978"/>
      <c r="I28" s="4979"/>
      <c r="J28" s="1444"/>
      <c r="K28" s="579" t="s">
        <v>1882</v>
      </c>
      <c r="L28" s="4965" t="s">
        <v>1899</v>
      </c>
      <c r="M28" s="4965"/>
      <c r="N28" s="4965"/>
      <c r="O28" s="4965"/>
      <c r="P28" s="2045">
        <f>IF(Q28=0,20,"-")</f>
        <v>20</v>
      </c>
      <c r="Q28" s="2260"/>
      <c r="R28" s="2147" t="b">
        <f t="shared" si="1"/>
        <v>0</v>
      </c>
      <c r="S28" s="1184"/>
      <c r="T28" s="1184"/>
      <c r="U28" s="586"/>
      <c r="V28" s="4925" t="str">
        <f>IFERROR(VLOOKUP(V26,'Tablas Técnicas'!$C$649:$N$832,6,FALSE),"")</f>
        <v/>
      </c>
      <c r="W28" s="4926"/>
      <c r="X28" s="4926"/>
      <c r="Y28" s="4926"/>
      <c r="Z28" s="4926"/>
      <c r="AA28" s="4926"/>
      <c r="AB28" s="4927"/>
      <c r="AD28" s="4925" t="str">
        <f>IFERROR(VLOOKUP(AD26,'Tablas Técnicas'!$C$649:$N$832,6,FALSE),"")</f>
        <v/>
      </c>
      <c r="AE28" s="4926"/>
      <c r="AF28" s="4926"/>
      <c r="AG28" s="4926"/>
      <c r="AH28" s="4926"/>
      <c r="AI28" s="4926"/>
      <c r="AJ28" s="4927"/>
      <c r="AK28" s="530"/>
      <c r="AL28" s="524"/>
      <c r="AR28" s="2538"/>
      <c r="AS28" s="2538"/>
      <c r="AT28" s="2538"/>
      <c r="AU28" s="2538"/>
      <c r="AV28" s="2538"/>
      <c r="AW28" s="2538"/>
      <c r="AX28" s="2538"/>
      <c r="AY28" s="2538"/>
      <c r="AZ28" s="2538"/>
      <c r="BA28" s="2538"/>
      <c r="BB28" s="2538"/>
    </row>
    <row r="29" spans="1:54" ht="12" customHeight="1" x14ac:dyDescent="0.2">
      <c r="A29" s="524"/>
      <c r="B29" s="1450"/>
      <c r="C29" s="4968">
        <f>CM_final</f>
        <v>0</v>
      </c>
      <c r="D29" s="4969"/>
      <c r="E29" s="496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72"/>
      <c r="G29" s="1138"/>
      <c r="H29" s="4957"/>
      <c r="I29" s="4958"/>
      <c r="J29" s="1444"/>
      <c r="K29" s="588"/>
      <c r="L29" s="582" t="s">
        <v>1871</v>
      </c>
      <c r="M29" s="4965" t="s">
        <v>1900</v>
      </c>
      <c r="N29" s="4965"/>
      <c r="O29" s="4965"/>
      <c r="P29" s="2045">
        <f>IF(Q29=0,10,"-")</f>
        <v>10</v>
      </c>
      <c r="Q29" s="2260"/>
      <c r="R29" s="2147" t="b">
        <f t="shared" si="1"/>
        <v>0</v>
      </c>
      <c r="S29" s="1184"/>
      <c r="T29" s="1184"/>
      <c r="U29" s="586">
        <f>IF(V30=0,0,1)</f>
        <v>0</v>
      </c>
      <c r="V29" s="4925"/>
      <c r="W29" s="4926"/>
      <c r="X29" s="4926"/>
      <c r="Y29" s="4926"/>
      <c r="Z29" s="4926"/>
      <c r="AA29" s="4926"/>
      <c r="AB29" s="4927"/>
      <c r="AD29" s="4925"/>
      <c r="AE29" s="4926"/>
      <c r="AF29" s="4926"/>
      <c r="AG29" s="4926"/>
      <c r="AH29" s="4926"/>
      <c r="AI29" s="4926"/>
      <c r="AJ29" s="4927"/>
      <c r="AK29" s="530"/>
      <c r="AL29" s="524"/>
      <c r="AR29" s="2538"/>
      <c r="AS29" s="2538"/>
      <c r="AT29" s="2538"/>
      <c r="AU29" s="2538"/>
      <c r="AV29" s="2538"/>
      <c r="AW29" s="2538"/>
      <c r="AX29" s="2538"/>
      <c r="AY29" s="2538"/>
      <c r="AZ29" s="2538"/>
      <c r="BA29" s="2538"/>
      <c r="BB29" s="2538"/>
    </row>
    <row r="30" spans="1:54" ht="12" customHeight="1" x14ac:dyDescent="0.2">
      <c r="A30" s="524"/>
      <c r="B30" s="1450"/>
      <c r="C30" s="4970"/>
      <c r="D30" s="4971"/>
      <c r="E30" s="4971"/>
      <c r="F30" s="4973"/>
      <c r="G30" s="1138"/>
      <c r="H30" s="4954"/>
      <c r="I30" s="4955"/>
      <c r="J30" s="1444"/>
      <c r="K30" s="588"/>
      <c r="L30" s="582" t="s">
        <v>1874</v>
      </c>
      <c r="M30" s="582" t="s">
        <v>1882</v>
      </c>
      <c r="N30" s="2046" t="s">
        <v>9140</v>
      </c>
      <c r="O30" s="2046"/>
      <c r="P30" s="2045">
        <f>IF(Q30=0,20,"-")</f>
        <v>20</v>
      </c>
      <c r="Q30" s="2260"/>
      <c r="R30" s="2147" t="b">
        <f t="shared" si="1"/>
        <v>0</v>
      </c>
      <c r="S30" s="1184"/>
      <c r="T30" s="1184"/>
      <c r="U30" s="586"/>
      <c r="V30" s="4925"/>
      <c r="W30" s="4926"/>
      <c r="X30" s="4926"/>
      <c r="Y30" s="4926"/>
      <c r="Z30" s="4926"/>
      <c r="AA30" s="4926"/>
      <c r="AB30" s="4927"/>
      <c r="AD30" s="4925"/>
      <c r="AE30" s="4926"/>
      <c r="AF30" s="4926"/>
      <c r="AG30" s="4926"/>
      <c r="AH30" s="4926"/>
      <c r="AI30" s="4926"/>
      <c r="AJ30" s="4927"/>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62" t="str">
        <f>IF(E29&gt;C29,"Exceso de CM",IF(Tablas!$X$21,IF(E29&gt;C29*VLOOKUP(Nivel_Sobrenatural,Tablas!$S$9:$X$12,4,FALSE),"Exceso de CM inicial",""),""))</f>
        <v/>
      </c>
      <c r="D31" s="4963"/>
      <c r="E31" s="4963"/>
      <c r="F31" s="4964"/>
      <c r="G31" s="1138"/>
      <c r="H31" s="4954"/>
      <c r="I31" s="4955"/>
      <c r="J31" s="1444"/>
      <c r="K31" s="588"/>
      <c r="L31" s="582" t="s">
        <v>1882</v>
      </c>
      <c r="M31" s="4965" t="s">
        <v>1901</v>
      </c>
      <c r="N31" s="4965"/>
      <c r="O31" s="4965"/>
      <c r="P31" s="2045">
        <f>IF(Q31=0,20,"-")</f>
        <v>20</v>
      </c>
      <c r="Q31" s="2260"/>
      <c r="R31" s="2147" t="b">
        <f t="shared" si="1"/>
        <v>0</v>
      </c>
      <c r="S31" s="1184"/>
      <c r="T31" s="1184"/>
      <c r="U31" s="586">
        <f>IF(V32=0,0,1)</f>
        <v>0</v>
      </c>
      <c r="V31" s="4925" t="str">
        <f>IFERROR(IF(VLOOKUP(V26,'Tablas Técnicas'!$C$649:$N$832,7,FALSE)="","",VLOOKUP(V26,'Tablas Técnicas'!$C$649:$N$832,7,FALSE)),"")</f>
        <v/>
      </c>
      <c r="W31" s="4926"/>
      <c r="X31" s="4926"/>
      <c r="Y31" s="4926"/>
      <c r="Z31" s="4926"/>
      <c r="AA31" s="4926"/>
      <c r="AB31" s="4927"/>
      <c r="AD31" s="4925" t="str">
        <f>IFERROR(IF(VLOOKUP(AD26,'Tablas Técnicas'!$C$649:$N$832,7,FALSE)="","",VLOOKUP(AD26,'Tablas Técnicas'!$C$649:$N$832,7,FALSE)),"")</f>
        <v/>
      </c>
      <c r="AE31" s="4926"/>
      <c r="AF31" s="4926"/>
      <c r="AG31" s="4926"/>
      <c r="AH31" s="4926"/>
      <c r="AI31" s="4926"/>
      <c r="AJ31" s="4927"/>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57"/>
      <c r="I32" s="4958"/>
      <c r="J32" s="1444"/>
      <c r="K32" s="4922" t="s">
        <v>1902</v>
      </c>
      <c r="L32" s="4923"/>
      <c r="M32" s="4923"/>
      <c r="N32" s="4923"/>
      <c r="O32" s="4923"/>
      <c r="P32" s="2045">
        <f>IF(Q32=0,10,"-")</f>
        <v>10</v>
      </c>
      <c r="Q32" s="2260"/>
      <c r="R32" s="2147" t="b">
        <f t="shared" si="1"/>
        <v>0</v>
      </c>
      <c r="S32" s="1184"/>
      <c r="T32" s="1184"/>
      <c r="U32" s="586"/>
      <c r="V32" s="4928"/>
      <c r="W32" s="4929"/>
      <c r="X32" s="4929"/>
      <c r="Y32" s="4929"/>
      <c r="Z32" s="4929"/>
      <c r="AA32" s="4929"/>
      <c r="AB32" s="4930"/>
      <c r="AD32" s="4928"/>
      <c r="AE32" s="4929"/>
      <c r="AF32" s="4929"/>
      <c r="AG32" s="4929"/>
      <c r="AH32" s="4929"/>
      <c r="AI32" s="4929"/>
      <c r="AJ32" s="4930"/>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616" t="s">
        <v>1903</v>
      </c>
      <c r="D33" s="4617"/>
      <c r="E33" s="4617"/>
      <c r="F33" s="4618"/>
      <c r="G33" s="1138"/>
      <c r="H33" s="4957"/>
      <c r="I33" s="4958"/>
      <c r="J33" s="1444"/>
      <c r="K33" s="579" t="s">
        <v>1871</v>
      </c>
      <c r="L33" s="4924" t="s">
        <v>1904</v>
      </c>
      <c r="M33" s="4923"/>
      <c r="N33" s="4923"/>
      <c r="O33" s="4923"/>
      <c r="P33" s="2045">
        <f t="shared" ref="P33:P40" si="4">IF(Q33=0,10,"-")</f>
        <v>10</v>
      </c>
      <c r="Q33" s="2260"/>
      <c r="R33" s="2147" t="b">
        <f t="shared" si="1"/>
        <v>0</v>
      </c>
      <c r="S33" s="1184"/>
      <c r="T33" s="1184"/>
      <c r="U33" s="586">
        <f>IF(V34=0,0,1)</f>
        <v>0</v>
      </c>
      <c r="V33" s="2931"/>
      <c r="W33" s="2931"/>
      <c r="X33" s="2931"/>
      <c r="Y33" s="2931"/>
      <c r="Z33" s="2933"/>
      <c r="AA33" s="2934"/>
      <c r="AB33" s="2935"/>
      <c r="AD33" s="2931"/>
      <c r="AE33" s="2931"/>
      <c r="AF33" s="2931"/>
      <c r="AG33" s="2931"/>
      <c r="AH33" s="2933"/>
      <c r="AI33" s="2934"/>
      <c r="AJ33" s="2935"/>
      <c r="AK33" s="530"/>
      <c r="AL33" s="524"/>
      <c r="AR33" s="2538"/>
      <c r="AS33" s="2538"/>
      <c r="AT33" s="2538"/>
      <c r="AU33" s="2538"/>
      <c r="AV33" s="2538"/>
      <c r="AW33" s="2538"/>
      <c r="AX33" s="2538"/>
      <c r="AY33" s="2538"/>
      <c r="AZ33" s="2538"/>
      <c r="BA33" s="2538"/>
      <c r="BB33" s="2538"/>
    </row>
    <row r="34" spans="1:54" ht="12" customHeight="1" x14ac:dyDescent="0.2">
      <c r="A34" s="524"/>
      <c r="B34" s="1450"/>
      <c r="C34" s="4985" t="s">
        <v>1648</v>
      </c>
      <c r="D34" s="4986"/>
      <c r="E34" s="2262" t="s">
        <v>1691</v>
      </c>
      <c r="F34" s="2263" t="s">
        <v>1622</v>
      </c>
      <c r="G34" s="1138"/>
      <c r="H34" s="4954"/>
      <c r="I34" s="4955"/>
      <c r="J34" s="1444"/>
      <c r="K34" s="579" t="s">
        <v>1905</v>
      </c>
      <c r="L34" s="582" t="s">
        <v>1882</v>
      </c>
      <c r="M34" s="4924" t="s">
        <v>1906</v>
      </c>
      <c r="N34" s="4924"/>
      <c r="O34" s="4924"/>
      <c r="P34" s="2045">
        <f t="shared" si="4"/>
        <v>10</v>
      </c>
      <c r="Q34" s="2260"/>
      <c r="R34" s="2147" t="b">
        <f t="shared" si="1"/>
        <v>0</v>
      </c>
      <c r="S34" s="1184"/>
      <c r="T34" s="1184"/>
      <c r="U34" s="586"/>
      <c r="V34" s="4933"/>
      <c r="W34" s="4934"/>
      <c r="X34" s="4934"/>
      <c r="Y34" s="4934"/>
      <c r="Z34" s="4934"/>
      <c r="AA34" s="4935"/>
      <c r="AB34" s="2937" t="s">
        <v>1774</v>
      </c>
      <c r="AD34" s="4933"/>
      <c r="AE34" s="4934"/>
      <c r="AF34" s="4934"/>
      <c r="AG34" s="4934"/>
      <c r="AH34" s="4934"/>
      <c r="AI34" s="4935"/>
      <c r="AJ34" s="2937"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52" t="s">
        <v>1907</v>
      </c>
      <c r="D35" s="4953"/>
      <c r="E35" s="2573"/>
      <c r="F35" s="2575" t="str">
        <f>IF(Ki!P13="-",TRUNC((Ki!C29+Advertir_final)/2+E35+Tablas!$CD$225+IF(Tablas!$G$379&gt;0,10*PDs!$R$15,0),0),"-")</f>
        <v>-</v>
      </c>
      <c r="G35" s="1138"/>
      <c r="H35" s="4954"/>
      <c r="I35" s="4955"/>
      <c r="J35" s="1446"/>
      <c r="K35" s="579" t="s">
        <v>1905</v>
      </c>
      <c r="L35" s="589"/>
      <c r="M35" s="582" t="s">
        <v>1882</v>
      </c>
      <c r="N35" s="4956" t="s">
        <v>1908</v>
      </c>
      <c r="O35" s="4956"/>
      <c r="P35" s="2045">
        <f t="shared" si="4"/>
        <v>10</v>
      </c>
      <c r="Q35" s="2260"/>
      <c r="R35" s="2147" t="b">
        <f t="shared" si="1"/>
        <v>0</v>
      </c>
      <c r="S35" s="1184"/>
      <c r="T35" s="1184"/>
      <c r="U35" s="586">
        <f>IF(V36=0,0,1)</f>
        <v>1</v>
      </c>
      <c r="V35" s="4931" t="str">
        <f>IF(V34="","",VLOOKUP(V34,'Tablas Técnicas'!$C$649:$M$832,5,FALSE))</f>
        <v/>
      </c>
      <c r="W35" s="4932"/>
      <c r="X35" s="4932"/>
      <c r="Y35" s="4932"/>
      <c r="Z35" s="2898" t="s">
        <v>1597</v>
      </c>
      <c r="AA35" s="2572" t="str">
        <f>IF(V34="","",VLOOKUP(V34,'Tablas Técnicas'!$C$649:$M$832,3,FALSE))</f>
        <v/>
      </c>
      <c r="AB35" s="2938">
        <f>IF(V34="",0,VLOOKUP(V34,'Tablas Técnicas'!$C$649:$M$832,4,FALSE))</f>
        <v>0</v>
      </c>
      <c r="AD35" s="4931" t="str">
        <f>IF(AD34="","",VLOOKUP(AD34,'Tablas Técnicas'!$C$649:$M$832,5,FALSE))</f>
        <v/>
      </c>
      <c r="AE35" s="4932"/>
      <c r="AF35" s="4932"/>
      <c r="AG35" s="4932"/>
      <c r="AH35" s="2898" t="s">
        <v>1597</v>
      </c>
      <c r="AI35" s="2572" t="str">
        <f>IF(AD34="","",VLOOKUP(AD34,'Tablas Técnicas'!$C$649:$M$832,3,FALSE))</f>
        <v/>
      </c>
      <c r="AJ35" s="2938">
        <f>IF(AD34="",0,VLOOKUP(AD34,'Tablas Técnicas'!$C$649:$M$832,4,FALSE))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52" t="s">
        <v>1909</v>
      </c>
      <c r="D36" s="4953"/>
      <c r="E36" s="2574"/>
      <c r="F36" s="2576" t="str">
        <f>IF(OcultacióndelKi,TRUNC((Ocultarse_final+Ki!$C$29)/2+E36+IF(Raza="D'Anjayni",50,0)+IF(Raza="Nephilim D'Anjayni",30,0)+Tablas!$CE$225+IF(Tablas!$G$374&gt;0,10*PDs!$R$15,0),0),"-")</f>
        <v>-</v>
      </c>
      <c r="G36" s="1138"/>
      <c r="H36" s="4957"/>
      <c r="I36" s="4958"/>
      <c r="J36" s="1446"/>
      <c r="K36" s="579" t="s">
        <v>1871</v>
      </c>
      <c r="L36" s="4924" t="s">
        <v>1910</v>
      </c>
      <c r="M36" s="4923"/>
      <c r="N36" s="4923"/>
      <c r="O36" s="4923"/>
      <c r="P36" s="2045">
        <f t="shared" si="4"/>
        <v>10</v>
      </c>
      <c r="Q36" s="2260"/>
      <c r="R36" s="2147" t="b">
        <f t="shared" si="1"/>
        <v>0</v>
      </c>
      <c r="S36" s="1184"/>
      <c r="T36" s="1184"/>
      <c r="U36" s="586"/>
      <c r="V36" s="4925" t="str">
        <f>IFERROR(VLOOKUP(V34,'Tablas Técnicas'!$C$649:$N$832,6,FALSE),"")</f>
        <v/>
      </c>
      <c r="W36" s="4926"/>
      <c r="X36" s="4926"/>
      <c r="Y36" s="4926"/>
      <c r="Z36" s="4926"/>
      <c r="AA36" s="4926"/>
      <c r="AB36" s="4927"/>
      <c r="AD36" s="4925" t="str">
        <f>IFERROR(VLOOKUP(AD34,'Tablas Técnicas'!$C$649:$N$832,6,FALSE),"")</f>
        <v/>
      </c>
      <c r="AE36" s="4926"/>
      <c r="AF36" s="4926"/>
      <c r="AG36" s="4926"/>
      <c r="AH36" s="4926"/>
      <c r="AI36" s="4926"/>
      <c r="AJ36" s="4927"/>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80"/>
      <c r="D37" s="4981"/>
      <c r="E37" s="4981"/>
      <c r="F37" s="4982"/>
      <c r="G37" s="1138"/>
      <c r="H37" s="4983"/>
      <c r="I37" s="4984"/>
      <c r="J37" s="1446"/>
      <c r="K37" s="579" t="s">
        <v>1905</v>
      </c>
      <c r="L37" s="582" t="s">
        <v>1871</v>
      </c>
      <c r="M37" s="4924" t="s">
        <v>1911</v>
      </c>
      <c r="N37" s="4924"/>
      <c r="O37" s="4924"/>
      <c r="P37" s="2045">
        <f t="shared" si="4"/>
        <v>10</v>
      </c>
      <c r="Q37" s="2260"/>
      <c r="R37" s="2147" t="b">
        <f t="shared" si="1"/>
        <v>0</v>
      </c>
      <c r="S37" s="1184"/>
      <c r="T37" s="1184"/>
      <c r="U37" s="586">
        <f>IF(V38=0,0,1)</f>
        <v>0</v>
      </c>
      <c r="V37" s="4925"/>
      <c r="W37" s="4926"/>
      <c r="X37" s="4926"/>
      <c r="Y37" s="4926"/>
      <c r="Z37" s="4926"/>
      <c r="AA37" s="4926"/>
      <c r="AB37" s="4927"/>
      <c r="AD37" s="4925"/>
      <c r="AE37" s="4926"/>
      <c r="AF37" s="4926"/>
      <c r="AG37" s="4926"/>
      <c r="AH37" s="4926"/>
      <c r="AI37" s="4926"/>
      <c r="AJ37" s="4927"/>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924" t="s">
        <v>1912</v>
      </c>
      <c r="N38" s="4924"/>
      <c r="O38" s="4924"/>
      <c r="P38" s="2045">
        <f t="shared" si="4"/>
        <v>10</v>
      </c>
      <c r="Q38" s="2260"/>
      <c r="R38" s="2147" t="b">
        <f t="shared" si="1"/>
        <v>0</v>
      </c>
      <c r="S38" s="1184"/>
      <c r="T38" s="1184"/>
      <c r="U38" s="586"/>
      <c r="V38" s="4925"/>
      <c r="W38" s="4926"/>
      <c r="X38" s="4926"/>
      <c r="Y38" s="4926"/>
      <c r="Z38" s="4926"/>
      <c r="AA38" s="4926"/>
      <c r="AB38" s="4927"/>
      <c r="AD38" s="4925"/>
      <c r="AE38" s="4926"/>
      <c r="AF38" s="4926"/>
      <c r="AG38" s="4926"/>
      <c r="AH38" s="4926"/>
      <c r="AI38" s="4926"/>
      <c r="AJ38" s="4927"/>
      <c r="AK38" s="530"/>
      <c r="AL38" s="524"/>
      <c r="AR38" s="2538"/>
      <c r="AS38" s="2538"/>
      <c r="AT38" s="2538"/>
      <c r="AU38" s="2538"/>
      <c r="AV38" s="2538"/>
      <c r="AW38" s="2538"/>
      <c r="AX38" s="2538"/>
      <c r="AY38" s="2538"/>
      <c r="AZ38" s="2538"/>
      <c r="BA38" s="2538"/>
      <c r="BB38" s="2538"/>
    </row>
    <row r="39" spans="1:54" ht="12" customHeight="1" x14ac:dyDescent="0.2">
      <c r="A39" s="524"/>
      <c r="B39" s="1450"/>
      <c r="C39" s="4939" t="s">
        <v>1913</v>
      </c>
      <c r="D39" s="4940"/>
      <c r="E39" s="4940"/>
      <c r="F39" s="4941"/>
      <c r="G39" s="4942" t="s">
        <v>1914</v>
      </c>
      <c r="H39" s="4943"/>
      <c r="I39" s="2258">
        <f>IF(Tablas!$G$535&gt;0,2,1)-IF(Ki!C40="",0,1)-IF(Ki!C41="",0,1)</f>
        <v>1</v>
      </c>
      <c r="J39" s="1446"/>
      <c r="K39" s="579" t="s">
        <v>1905</v>
      </c>
      <c r="L39" s="582" t="s">
        <v>1871</v>
      </c>
      <c r="M39" s="4924" t="str">
        <f>"Alcance incrementado"</f>
        <v>Alcance incrementado</v>
      </c>
      <c r="N39" s="4924"/>
      <c r="O39" s="4924"/>
      <c r="P39" s="2045">
        <f t="shared" si="4"/>
        <v>10</v>
      </c>
      <c r="Q39" s="2260"/>
      <c r="R39" s="2147" t="b">
        <f t="shared" si="1"/>
        <v>0</v>
      </c>
      <c r="S39" s="1184"/>
      <c r="T39" s="1184"/>
      <c r="U39" s="586">
        <f>IF(V40=0,0,1)</f>
        <v>0</v>
      </c>
      <c r="V39" s="4925" t="str">
        <f>IFERROR(IF(VLOOKUP(V34,'Tablas Técnicas'!$C$649:$N$832,7,FALSE)="","",VLOOKUP(V34,'Tablas Técnicas'!$C$649:$N$832,7,FALSE)),"")</f>
        <v/>
      </c>
      <c r="W39" s="4926"/>
      <c r="X39" s="4926"/>
      <c r="Y39" s="4926"/>
      <c r="Z39" s="4926"/>
      <c r="AA39" s="4926"/>
      <c r="AB39" s="4927"/>
      <c r="AD39" s="4925" t="str">
        <f>IFERROR(IF(VLOOKUP(AD34,'Tablas Técnicas'!$C$649:$N$832,7,FALSE)="","",VLOOKUP(AD34,'Tablas Técnicas'!$C$649:$N$832,7,FALSE)),"")</f>
        <v/>
      </c>
      <c r="AE39" s="4926"/>
      <c r="AF39" s="4926"/>
      <c r="AG39" s="4926"/>
      <c r="AH39" s="4926"/>
      <c r="AI39" s="4926"/>
      <c r="AJ39" s="4927"/>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36"/>
      <c r="D40" s="4937"/>
      <c r="E40" s="4937"/>
      <c r="F40" s="4937"/>
      <c r="G40" s="4937"/>
      <c r="H40" s="4938"/>
      <c r="I40" s="2043" t="str">
        <f>IF(C40=0,"",VLOOKUP(C40,Tablas!$D$1023:$M$1029,2))</f>
        <v/>
      </c>
      <c r="J40" s="1446"/>
      <c r="K40" s="579" t="s">
        <v>1905</v>
      </c>
      <c r="L40" s="582" t="s">
        <v>1882</v>
      </c>
      <c r="M40" s="4924" t="s">
        <v>1915</v>
      </c>
      <c r="N40" s="4924"/>
      <c r="O40" s="4924"/>
      <c r="P40" s="2045">
        <f t="shared" si="4"/>
        <v>10</v>
      </c>
      <c r="Q40" s="2260"/>
      <c r="R40" s="2147" t="b">
        <f t="shared" si="1"/>
        <v>0</v>
      </c>
      <c r="S40" s="1184"/>
      <c r="T40" s="1184"/>
      <c r="U40" s="586"/>
      <c r="V40" s="4928"/>
      <c r="W40" s="4929"/>
      <c r="X40" s="4929"/>
      <c r="Y40" s="4929"/>
      <c r="Z40" s="4929"/>
      <c r="AA40" s="4929"/>
      <c r="AB40" s="4930"/>
      <c r="AD40" s="4928"/>
      <c r="AE40" s="4929"/>
      <c r="AF40" s="4929"/>
      <c r="AG40" s="4929"/>
      <c r="AH40" s="4929"/>
      <c r="AI40" s="4929"/>
      <c r="AJ40" s="4930"/>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59"/>
      <c r="D41" s="4960"/>
      <c r="E41" s="4960"/>
      <c r="F41" s="4960"/>
      <c r="G41" s="4960"/>
      <c r="H41" s="4961"/>
      <c r="I41" s="2044" t="str">
        <f>IF(C41=0,"",VLOOKUP(C41,Tablas!$D$1023:$M$1029,2))</f>
        <v/>
      </c>
      <c r="J41" s="1446"/>
      <c r="K41" s="579" t="s">
        <v>1871</v>
      </c>
      <c r="L41" s="4924" t="s">
        <v>1916</v>
      </c>
      <c r="M41" s="4923"/>
      <c r="N41" s="4923"/>
      <c r="O41" s="4923"/>
      <c r="P41" s="2045">
        <f>IF(Q41=0,20,"-")</f>
        <v>20</v>
      </c>
      <c r="Q41" s="2260"/>
      <c r="R41" s="2147" t="b">
        <f t="shared" si="1"/>
        <v>0</v>
      </c>
      <c r="S41" s="1184"/>
      <c r="T41" s="1184"/>
      <c r="U41" s="586">
        <f>IF(V42=0,0,1)</f>
        <v>0</v>
      </c>
      <c r="V41" s="2931"/>
      <c r="W41" s="2931"/>
      <c r="X41" s="2931"/>
      <c r="Y41" s="2931"/>
      <c r="Z41" s="2933"/>
      <c r="AA41" s="2934"/>
      <c r="AB41" s="2935"/>
      <c r="AD41" s="2931"/>
      <c r="AE41" s="2931"/>
      <c r="AF41" s="2931"/>
      <c r="AG41" s="2931"/>
      <c r="AH41" s="2933"/>
      <c r="AI41" s="2934"/>
      <c r="AJ41" s="2935"/>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924" t="s">
        <v>1917</v>
      </c>
      <c r="M42" s="4923"/>
      <c r="N42" s="4923"/>
      <c r="O42" s="4923"/>
      <c r="P42" s="2045">
        <f>IF(Q42=0,30,"-")</f>
        <v>30</v>
      </c>
      <c r="Q42" s="2260"/>
      <c r="R42" s="2147" t="b">
        <f t="shared" si="1"/>
        <v>0</v>
      </c>
      <c r="S42" s="1184"/>
      <c r="T42" s="1184"/>
      <c r="U42" s="586"/>
      <c r="V42" s="4933"/>
      <c r="W42" s="4934"/>
      <c r="X42" s="4934"/>
      <c r="Y42" s="4934"/>
      <c r="Z42" s="4934"/>
      <c r="AA42" s="4935"/>
      <c r="AB42" s="2937" t="s">
        <v>1774</v>
      </c>
      <c r="AD42" s="4933"/>
      <c r="AE42" s="4934"/>
      <c r="AF42" s="4934"/>
      <c r="AG42" s="4934"/>
      <c r="AH42" s="4934"/>
      <c r="AI42" s="4935"/>
      <c r="AJ42" s="2937"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44" t="s">
        <v>1918</v>
      </c>
      <c r="D43" s="4945"/>
      <c r="E43" s="4945"/>
      <c r="F43" s="4945"/>
      <c r="G43" s="4945"/>
      <c r="H43" s="4948">
        <f>IF(I43=0,70,"-")</f>
        <v>70</v>
      </c>
      <c r="I43" s="4950"/>
      <c r="J43" s="1447"/>
      <c r="K43" s="579" t="s">
        <v>1882</v>
      </c>
      <c r="L43" s="4924" t="s">
        <v>1919</v>
      </c>
      <c r="M43" s="4923"/>
      <c r="N43" s="4923"/>
      <c r="O43" s="4923"/>
      <c r="P43" s="2045">
        <f>IF(Q43=0,10,"-")</f>
        <v>10</v>
      </c>
      <c r="Q43" s="2260"/>
      <c r="R43" s="2147" t="b">
        <f t="shared" si="1"/>
        <v>0</v>
      </c>
      <c r="S43" s="1184"/>
      <c r="T43" s="1184"/>
      <c r="U43" s="586">
        <f>IF(V44=0,0,1)</f>
        <v>1</v>
      </c>
      <c r="V43" s="4931" t="str">
        <f>IF(V42="","",VLOOKUP(V42,'Tablas Técnicas'!$C$649:$M$832,5,FALSE))</f>
        <v/>
      </c>
      <c r="W43" s="4932"/>
      <c r="X43" s="4932"/>
      <c r="Y43" s="4932"/>
      <c r="Z43" s="2898" t="s">
        <v>1597</v>
      </c>
      <c r="AA43" s="2572" t="str">
        <f>IF(V42="","",VLOOKUP(V42,'Tablas Técnicas'!$C$649:$M$832,3,FALSE))</f>
        <v/>
      </c>
      <c r="AB43" s="2938">
        <f>IF(V42="",0,VLOOKUP(V42,'Tablas Técnicas'!$C$649:$M$832,4,FALSE))</f>
        <v>0</v>
      </c>
      <c r="AD43" s="4931" t="str">
        <f>IF(AD42="","",VLOOKUP(AD42,'Tablas Técnicas'!$C$649:$M$832,5,FALSE))</f>
        <v/>
      </c>
      <c r="AE43" s="4932"/>
      <c r="AF43" s="4932"/>
      <c r="AG43" s="4932"/>
      <c r="AH43" s="2898" t="s">
        <v>1597</v>
      </c>
      <c r="AI43" s="2572" t="str">
        <f>IF(AD42="","",VLOOKUP(AD42,'Tablas Técnicas'!$C$649:$M$832,3,FALSE))</f>
        <v/>
      </c>
      <c r="AJ43" s="2938">
        <f>IF(AD42="",0,VLOOKUP(AD42,'Tablas Técnicas'!$C$649:$M$832,4,FALSE))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46"/>
      <c r="D44" s="4947"/>
      <c r="E44" s="4947"/>
      <c r="F44" s="4947"/>
      <c r="G44" s="4947"/>
      <c r="H44" s="4949"/>
      <c r="I44" s="4951"/>
      <c r="J44" s="1447"/>
      <c r="K44" s="4922" t="s">
        <v>1920</v>
      </c>
      <c r="L44" s="4923"/>
      <c r="M44" s="4923"/>
      <c r="N44" s="4923"/>
      <c r="O44" s="4923"/>
      <c r="P44" s="2045">
        <f t="shared" ref="P44:P53" si="5">IF(Q44=0,10,"-")</f>
        <v>10</v>
      </c>
      <c r="Q44" s="2260"/>
      <c r="R44" s="2147" t="b">
        <f t="shared" si="1"/>
        <v>0</v>
      </c>
      <c r="S44" s="1184"/>
      <c r="T44" s="1184"/>
      <c r="U44" s="586"/>
      <c r="V44" s="4925" t="str">
        <f>IFERROR(VLOOKUP(V42,'Tablas Técnicas'!$C$649:$N$832,6,FALSE),"")</f>
        <v/>
      </c>
      <c r="W44" s="4926"/>
      <c r="X44" s="4926"/>
      <c r="Y44" s="4926"/>
      <c r="Z44" s="4926"/>
      <c r="AA44" s="4926"/>
      <c r="AB44" s="4927"/>
      <c r="AD44" s="4925" t="str">
        <f>IFERROR(VLOOKUP(AD42,'Tablas Técnicas'!$C$649:$N$832,6,FALSE),"")</f>
        <v/>
      </c>
      <c r="AE44" s="4926"/>
      <c r="AF44" s="4926"/>
      <c r="AG44" s="4926"/>
      <c r="AH44" s="4926"/>
      <c r="AI44" s="4926"/>
      <c r="AJ44" s="4927"/>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22" t="s">
        <v>1921</v>
      </c>
      <c r="D45" s="4923"/>
      <c r="E45" s="4923"/>
      <c r="F45" s="4923"/>
      <c r="G45" s="4923"/>
      <c r="H45" s="2045">
        <f>IF(I45=0,20,"-")</f>
        <v>20</v>
      </c>
      <c r="I45" s="2259"/>
      <c r="J45" s="474"/>
      <c r="K45" s="579" t="s">
        <v>1871</v>
      </c>
      <c r="L45" s="4924" t="s">
        <v>1922</v>
      </c>
      <c r="M45" s="4923"/>
      <c r="N45" s="4923"/>
      <c r="O45" s="4923"/>
      <c r="P45" s="2045">
        <f t="shared" si="5"/>
        <v>10</v>
      </c>
      <c r="Q45" s="2260"/>
      <c r="R45" s="2147" t="b">
        <f t="shared" si="1"/>
        <v>0</v>
      </c>
      <c r="S45" s="1184"/>
      <c r="T45" s="1184"/>
      <c r="U45" s="586">
        <f>IF(V46=0,0,1)</f>
        <v>0</v>
      </c>
      <c r="V45" s="4925"/>
      <c r="W45" s="4926"/>
      <c r="X45" s="4926"/>
      <c r="Y45" s="4926"/>
      <c r="Z45" s="4926"/>
      <c r="AA45" s="4926"/>
      <c r="AB45" s="4927"/>
      <c r="AD45" s="4925"/>
      <c r="AE45" s="4926"/>
      <c r="AF45" s="4926"/>
      <c r="AG45" s="4926"/>
      <c r="AH45" s="4926"/>
      <c r="AI45" s="4926"/>
      <c r="AJ45" s="4927"/>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924" t="s">
        <v>1923</v>
      </c>
      <c r="E46" s="4923"/>
      <c r="F46" s="4923"/>
      <c r="G46" s="4923"/>
      <c r="H46" s="2045">
        <f>IF(I46=0,30,"-")</f>
        <v>30</v>
      </c>
      <c r="I46" s="2260"/>
      <c r="J46" s="474"/>
      <c r="K46" s="579" t="s">
        <v>1905</v>
      </c>
      <c r="L46" s="582" t="s">
        <v>1871</v>
      </c>
      <c r="M46" s="4924" t="s">
        <v>1924</v>
      </c>
      <c r="N46" s="4924"/>
      <c r="O46" s="4924"/>
      <c r="P46" s="2045">
        <f t="shared" si="5"/>
        <v>10</v>
      </c>
      <c r="Q46" s="2260"/>
      <c r="R46" s="2147" t="b">
        <f t="shared" si="1"/>
        <v>0</v>
      </c>
      <c r="S46" s="1184"/>
      <c r="T46" s="1184"/>
      <c r="U46" s="586"/>
      <c r="V46" s="4925"/>
      <c r="W46" s="4926"/>
      <c r="X46" s="4926"/>
      <c r="Y46" s="4926"/>
      <c r="Z46" s="4926"/>
      <c r="AA46" s="4926"/>
      <c r="AB46" s="4927"/>
      <c r="AD46" s="4925"/>
      <c r="AE46" s="4926"/>
      <c r="AF46" s="4926"/>
      <c r="AG46" s="4926"/>
      <c r="AH46" s="4926"/>
      <c r="AI46" s="4926"/>
      <c r="AJ46" s="4927"/>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22" t="s">
        <v>1925</v>
      </c>
      <c r="D47" s="4924"/>
      <c r="E47" s="4924"/>
      <c r="F47" s="4924"/>
      <c r="G47" s="4924"/>
      <c r="H47" s="2045">
        <f>IF(I47=0,30,"-")</f>
        <v>30</v>
      </c>
      <c r="I47" s="2260"/>
      <c r="J47" s="474"/>
      <c r="K47" s="579" t="s">
        <v>1905</v>
      </c>
      <c r="L47" s="582" t="s">
        <v>1882</v>
      </c>
      <c r="M47" s="4924" t="s">
        <v>1926</v>
      </c>
      <c r="N47" s="4924"/>
      <c r="O47" s="4924"/>
      <c r="P47" s="2045">
        <f t="shared" si="5"/>
        <v>10</v>
      </c>
      <c r="Q47" s="2260"/>
      <c r="R47" s="2147" t="b">
        <f t="shared" si="1"/>
        <v>0</v>
      </c>
      <c r="S47" s="1184"/>
      <c r="T47" s="1184"/>
      <c r="U47" s="586">
        <f>IF(V48=0,0,1)</f>
        <v>0</v>
      </c>
      <c r="V47" s="4925" t="str">
        <f>IFERROR(IF(VLOOKUP(V42,'Tablas Técnicas'!$C$649:$N$832,7,FALSE)="","",VLOOKUP(V42,'Tablas Técnicas'!$C$649:$N$832,7,FALSE)),"")</f>
        <v/>
      </c>
      <c r="W47" s="4926"/>
      <c r="X47" s="4926"/>
      <c r="Y47" s="4926"/>
      <c r="Z47" s="4926"/>
      <c r="AA47" s="4926"/>
      <c r="AB47" s="4927"/>
      <c r="AD47" s="4925" t="str">
        <f>IFERROR(IF(VLOOKUP(AD42,'Tablas Técnicas'!$C$649:$N$832,7,FALSE)="","",VLOOKUP(AD42,'Tablas Técnicas'!$C$649:$N$832,7,FALSE)),"")</f>
        <v/>
      </c>
      <c r="AE47" s="4926"/>
      <c r="AF47" s="4926"/>
      <c r="AG47" s="4926"/>
      <c r="AH47" s="4926"/>
      <c r="AI47" s="4926"/>
      <c r="AJ47" s="4927"/>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924" t="s">
        <v>1927</v>
      </c>
      <c r="E48" s="4924"/>
      <c r="F48" s="4924"/>
      <c r="G48" s="4924"/>
      <c r="H48" s="2045">
        <f>IF(I48=0,20,"-")</f>
        <v>20</v>
      </c>
      <c r="I48" s="2260"/>
      <c r="J48" s="474"/>
      <c r="K48" s="579" t="s">
        <v>1882</v>
      </c>
      <c r="L48" s="4924" t="s">
        <v>1928</v>
      </c>
      <c r="M48" s="4923"/>
      <c r="N48" s="4923"/>
      <c r="O48" s="4923"/>
      <c r="P48" s="2045">
        <f t="shared" si="5"/>
        <v>10</v>
      </c>
      <c r="Q48" s="2260"/>
      <c r="R48" s="2147" t="b">
        <f t="shared" si="1"/>
        <v>0</v>
      </c>
      <c r="S48" s="1184"/>
      <c r="T48" s="1184"/>
      <c r="U48" s="586"/>
      <c r="V48" s="4928"/>
      <c r="W48" s="4929"/>
      <c r="X48" s="4929"/>
      <c r="Y48" s="4929"/>
      <c r="Z48" s="4929"/>
      <c r="AA48" s="4929"/>
      <c r="AB48" s="4930"/>
      <c r="AD48" s="4928"/>
      <c r="AE48" s="4929"/>
      <c r="AF48" s="4929"/>
      <c r="AG48" s="4929"/>
      <c r="AH48" s="4929"/>
      <c r="AI48" s="4929"/>
      <c r="AJ48" s="4930"/>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22" t="s">
        <v>1929</v>
      </c>
      <c r="D49" s="4924"/>
      <c r="E49" s="4924"/>
      <c r="F49" s="4924"/>
      <c r="G49" s="4924"/>
      <c r="H49" s="2045">
        <f>IF(I49=0,30,"-")</f>
        <v>30</v>
      </c>
      <c r="I49" s="2260"/>
      <c r="J49" s="474"/>
      <c r="K49" s="4922" t="s">
        <v>1930</v>
      </c>
      <c r="L49" s="4923"/>
      <c r="M49" s="4923"/>
      <c r="N49" s="4923"/>
      <c r="O49" s="4923"/>
      <c r="P49" s="2045">
        <f t="shared" si="5"/>
        <v>10</v>
      </c>
      <c r="Q49" s="2260"/>
      <c r="R49" s="2147" t="b">
        <f t="shared" si="1"/>
        <v>0</v>
      </c>
      <c r="S49" s="1184"/>
      <c r="T49" s="1184"/>
      <c r="U49" s="586">
        <f>IF(V50=0,0,1)</f>
        <v>0</v>
      </c>
      <c r="V49" s="2931"/>
      <c r="W49" s="2931"/>
      <c r="X49" s="2931"/>
      <c r="Y49" s="2931"/>
      <c r="Z49" s="2933"/>
      <c r="AA49" s="2934"/>
      <c r="AB49" s="2935"/>
      <c r="AD49" s="2931"/>
      <c r="AE49" s="2931"/>
      <c r="AF49" s="2931"/>
      <c r="AG49" s="2931"/>
      <c r="AH49" s="2933"/>
      <c r="AI49" s="2934"/>
      <c r="AJ49" s="2935"/>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924" t="s">
        <v>1931</v>
      </c>
      <c r="E50" s="4924"/>
      <c r="F50" s="4924"/>
      <c r="G50" s="4924"/>
      <c r="H50" s="2045">
        <f>IF(I50=0,20,"-")</f>
        <v>20</v>
      </c>
      <c r="I50" s="2260"/>
      <c r="J50" s="474"/>
      <c r="K50" s="579" t="s">
        <v>1871</v>
      </c>
      <c r="L50" s="4924" t="s">
        <v>1932</v>
      </c>
      <c r="M50" s="4923"/>
      <c r="N50" s="4923"/>
      <c r="O50" s="4923"/>
      <c r="P50" s="2045">
        <f>IF(AND(Q50=0,NOT(Raza="D'Anjayni"),NOT(Nephilim="Nephilim D'Anjayni")),10,"-")</f>
        <v>10</v>
      </c>
      <c r="Q50" s="2260"/>
      <c r="R50" s="2147" t="b">
        <f>P50="-"</f>
        <v>0</v>
      </c>
      <c r="S50" s="1184"/>
      <c r="T50" s="1184"/>
      <c r="U50" s="586"/>
      <c r="V50" s="4933"/>
      <c r="W50" s="4934"/>
      <c r="X50" s="4934"/>
      <c r="Y50" s="4934"/>
      <c r="Z50" s="4934"/>
      <c r="AA50" s="4935"/>
      <c r="AB50" s="2937" t="s">
        <v>1774</v>
      </c>
      <c r="AD50" s="4933"/>
      <c r="AE50" s="4934"/>
      <c r="AF50" s="4934"/>
      <c r="AG50" s="4934"/>
      <c r="AH50" s="4934"/>
      <c r="AI50" s="4935"/>
      <c r="AJ50" s="2937"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22" t="s">
        <v>1933</v>
      </c>
      <c r="D51" s="4924"/>
      <c r="E51" s="4924"/>
      <c r="F51" s="4924"/>
      <c r="G51" s="4924"/>
      <c r="H51" s="2045">
        <f>IF(I51=0,30,"-")</f>
        <v>30</v>
      </c>
      <c r="I51" s="2260"/>
      <c r="J51" s="474"/>
      <c r="K51" s="579" t="s">
        <v>1905</v>
      </c>
      <c r="L51" s="582" t="s">
        <v>1871</v>
      </c>
      <c r="M51" s="4924" t="s">
        <v>1934</v>
      </c>
      <c r="N51" s="4924"/>
      <c r="O51" s="4924"/>
      <c r="P51" s="2045">
        <f t="shared" si="5"/>
        <v>10</v>
      </c>
      <c r="Q51" s="2260"/>
      <c r="R51" s="2147" t="b">
        <f t="shared" si="1"/>
        <v>0</v>
      </c>
      <c r="S51" s="1184"/>
      <c r="T51" s="1184"/>
      <c r="U51" s="586">
        <f>IF(V52=0,0,1)</f>
        <v>1</v>
      </c>
      <c r="V51" s="4931" t="str">
        <f>IF(V50="","",VLOOKUP(V50,'Tablas Técnicas'!$C$649:$M$832,5,FALSE))</f>
        <v/>
      </c>
      <c r="W51" s="4932"/>
      <c r="X51" s="4932"/>
      <c r="Y51" s="4932"/>
      <c r="Z51" s="2898" t="s">
        <v>1597</v>
      </c>
      <c r="AA51" s="2572" t="str">
        <f>IF(V50="","",VLOOKUP(V50,'Tablas Técnicas'!$C$649:$M$832,3,FALSE))</f>
        <v/>
      </c>
      <c r="AB51" s="2938">
        <f>IF(V50="",0,VLOOKUP(V50,'Tablas Técnicas'!$C$649:$M$832,4,FALSE))</f>
        <v>0</v>
      </c>
      <c r="AD51" s="4931" t="str">
        <f>IF(AD50="","",VLOOKUP(AD50,'Tablas Técnicas'!$C$649:$M$832,5,FALSE))</f>
        <v/>
      </c>
      <c r="AE51" s="4932"/>
      <c r="AF51" s="4932"/>
      <c r="AG51" s="4932"/>
      <c r="AH51" s="2898" t="s">
        <v>1597</v>
      </c>
      <c r="AI51" s="2572" t="str">
        <f>IF(AD50="","",VLOOKUP(AD50,'Tablas Técnicas'!$C$649:$M$832,3,FALSE))</f>
        <v/>
      </c>
      <c r="AJ51" s="2938">
        <f>IF(AD50="",0,VLOOKUP(AD50,'Tablas Técnicas'!$C$649:$M$832,4,FALSE))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924" t="s">
        <v>1935</v>
      </c>
      <c r="E52" s="4924"/>
      <c r="F52" s="4924"/>
      <c r="G52" s="4924"/>
      <c r="H52" s="2045">
        <f>IF(I52=0,20,"-")</f>
        <v>20</v>
      </c>
      <c r="I52" s="2260"/>
      <c r="J52" s="474"/>
      <c r="K52" s="579" t="s">
        <v>1905</v>
      </c>
      <c r="L52" s="582" t="s">
        <v>1882</v>
      </c>
      <c r="M52" s="4924" t="s">
        <v>1936</v>
      </c>
      <c r="N52" s="4924"/>
      <c r="O52" s="4924"/>
      <c r="P52" s="2045">
        <f t="shared" si="5"/>
        <v>10</v>
      </c>
      <c r="Q52" s="2260"/>
      <c r="R52" s="2147" t="b">
        <f t="shared" si="1"/>
        <v>0</v>
      </c>
      <c r="S52" s="1184"/>
      <c r="T52" s="1184"/>
      <c r="U52" s="586"/>
      <c r="V52" s="4925" t="str">
        <f>IFERROR(VLOOKUP(V50,'Tablas Técnicas'!$C$649:$N$832,6,FALSE),"")</f>
        <v/>
      </c>
      <c r="W52" s="4926"/>
      <c r="X52" s="4926"/>
      <c r="Y52" s="4926"/>
      <c r="Z52" s="4926"/>
      <c r="AA52" s="4926"/>
      <c r="AB52" s="4927"/>
      <c r="AD52" s="4925" t="str">
        <f>IFERROR(VLOOKUP(AD50,'Tablas Técnicas'!$C$649:$N$832,6,FALSE),"")</f>
        <v/>
      </c>
      <c r="AE52" s="4926"/>
      <c r="AF52" s="4926"/>
      <c r="AG52" s="4926"/>
      <c r="AH52" s="4926"/>
      <c r="AI52" s="4926"/>
      <c r="AJ52" s="4927"/>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22" t="s">
        <v>1937</v>
      </c>
      <c r="D53" s="4923"/>
      <c r="E53" s="4923"/>
      <c r="F53" s="4923"/>
      <c r="G53" s="4923"/>
      <c r="H53" s="2045">
        <f>IF(I53=0,30,"-")</f>
        <v>30</v>
      </c>
      <c r="I53" s="2260"/>
      <c r="J53" s="474"/>
      <c r="K53" s="579" t="s">
        <v>1871</v>
      </c>
      <c r="L53" s="4924" t="s">
        <v>1938</v>
      </c>
      <c r="M53" s="4923"/>
      <c r="N53" s="4923"/>
      <c r="O53" s="4923"/>
      <c r="P53" s="2045">
        <f t="shared" si="5"/>
        <v>10</v>
      </c>
      <c r="Q53" s="2260"/>
      <c r="R53" s="2147" t="b">
        <f t="shared" si="1"/>
        <v>0</v>
      </c>
      <c r="S53" s="1184"/>
      <c r="T53" s="1184"/>
      <c r="U53" s="586">
        <f>IF(V54=0,0,1)</f>
        <v>0</v>
      </c>
      <c r="V53" s="4925"/>
      <c r="W53" s="4926"/>
      <c r="X53" s="4926"/>
      <c r="Y53" s="4926"/>
      <c r="Z53" s="4926"/>
      <c r="AA53" s="4926"/>
      <c r="AB53" s="4927"/>
      <c r="AD53" s="4925"/>
      <c r="AE53" s="4926"/>
      <c r="AF53" s="4926"/>
      <c r="AG53" s="4926"/>
      <c r="AH53" s="4926"/>
      <c r="AI53" s="4926"/>
      <c r="AJ53" s="4927"/>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22" t="s">
        <v>1939</v>
      </c>
      <c r="D54" s="4923"/>
      <c r="E54" s="4923"/>
      <c r="F54" s="4923"/>
      <c r="G54" s="4923"/>
      <c r="H54" s="2045">
        <f>IF(I54=0,30,"-")</f>
        <v>30</v>
      </c>
      <c r="I54" s="2260"/>
      <c r="J54" s="474"/>
      <c r="K54" s="579" t="s">
        <v>1905</v>
      </c>
      <c r="L54" s="582" t="s">
        <v>1871</v>
      </c>
      <c r="M54" s="4924" t="s">
        <v>1940</v>
      </c>
      <c r="N54" s="4924"/>
      <c r="O54" s="4924"/>
      <c r="P54" s="2045">
        <f>IF(Q54=0,20,"-")</f>
        <v>20</v>
      </c>
      <c r="Q54" s="2260"/>
      <c r="R54" s="2147" t="b">
        <f t="shared" si="1"/>
        <v>0</v>
      </c>
      <c r="S54" s="1184"/>
      <c r="T54" s="1184"/>
      <c r="U54" s="586"/>
      <c r="V54" s="4925"/>
      <c r="W54" s="4926"/>
      <c r="X54" s="4926"/>
      <c r="Y54" s="4926"/>
      <c r="Z54" s="4926"/>
      <c r="AA54" s="4926"/>
      <c r="AB54" s="4927"/>
      <c r="AD54" s="4925"/>
      <c r="AE54" s="4926"/>
      <c r="AF54" s="4926"/>
      <c r="AG54" s="4926"/>
      <c r="AH54" s="4926"/>
      <c r="AI54" s="4926"/>
      <c r="AJ54" s="4927"/>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924" t="s">
        <v>1941</v>
      </c>
      <c r="E55" s="4923"/>
      <c r="F55" s="4923"/>
      <c r="G55" s="4923"/>
      <c r="H55" s="2045">
        <f>IF(I55=0,30,"-")</f>
        <v>30</v>
      </c>
      <c r="I55" s="2260"/>
      <c r="J55" s="474"/>
      <c r="K55" s="579" t="s">
        <v>1905</v>
      </c>
      <c r="L55" s="582" t="s">
        <v>1871</v>
      </c>
      <c r="M55" s="4924" t="s">
        <v>1942</v>
      </c>
      <c r="N55" s="4924"/>
      <c r="O55" s="4924"/>
      <c r="P55" s="2045">
        <f>IF(Q55=0,20,"-")</f>
        <v>20</v>
      </c>
      <c r="Q55" s="2260"/>
      <c r="R55" s="2147" t="b">
        <f t="shared" si="1"/>
        <v>0</v>
      </c>
      <c r="S55" s="1184"/>
      <c r="T55" s="1184"/>
      <c r="U55" s="586">
        <f>IF(V56=0,0,1)</f>
        <v>0</v>
      </c>
      <c r="V55" s="4925" t="str">
        <f>IFERROR(IF(VLOOKUP(V50,'Tablas Técnicas'!$C$649:$N$832,7,FALSE)="","",VLOOKUP(V50,'Tablas Técnicas'!$C$649:$N$832,7,FALSE)),"")</f>
        <v/>
      </c>
      <c r="W55" s="4926"/>
      <c r="X55" s="4926"/>
      <c r="Y55" s="4926"/>
      <c r="Z55" s="4926"/>
      <c r="AA55" s="4926"/>
      <c r="AB55" s="4927"/>
      <c r="AD55" s="4925" t="str">
        <f>IFERROR(IF(VLOOKUP(AD50,'Tablas Técnicas'!$C$649:$N$832,7,FALSE)="","",VLOOKUP(AD50,'Tablas Técnicas'!$C$649:$N$832,7,FALSE)),"")</f>
        <v/>
      </c>
      <c r="AE55" s="4926"/>
      <c r="AF55" s="4926"/>
      <c r="AG55" s="4926"/>
      <c r="AH55" s="4926"/>
      <c r="AI55" s="4926"/>
      <c r="AJ55" s="4927"/>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22" t="s">
        <v>1943</v>
      </c>
      <c r="D56" s="4923"/>
      <c r="E56" s="4923"/>
      <c r="F56" s="4923"/>
      <c r="G56" s="4923"/>
      <c r="H56" s="2045">
        <f>IF(I56=0,10,"-")</f>
        <v>10</v>
      </c>
      <c r="I56" s="2260"/>
      <c r="J56" s="474"/>
      <c r="K56" s="579" t="s">
        <v>1905</v>
      </c>
      <c r="L56" s="582" t="s">
        <v>1882</v>
      </c>
      <c r="M56" s="4924" t="s">
        <v>1944</v>
      </c>
      <c r="N56" s="4924"/>
      <c r="O56" s="4924"/>
      <c r="P56" s="2045">
        <f>IF(Q56=0,20,"-")</f>
        <v>20</v>
      </c>
      <c r="Q56" s="2260"/>
      <c r="R56" s="2147" t="b">
        <f t="shared" si="1"/>
        <v>0</v>
      </c>
      <c r="S56" s="1184"/>
      <c r="T56" s="1184"/>
      <c r="U56" s="586"/>
      <c r="V56" s="4928"/>
      <c r="W56" s="4929"/>
      <c r="X56" s="4929"/>
      <c r="Y56" s="4929"/>
      <c r="Z56" s="4929"/>
      <c r="AA56" s="4929"/>
      <c r="AB56" s="4930"/>
      <c r="AD56" s="4928"/>
      <c r="AE56" s="4929"/>
      <c r="AF56" s="4929"/>
      <c r="AG56" s="4929"/>
      <c r="AH56" s="4929"/>
      <c r="AI56" s="4929"/>
      <c r="AJ56" s="4930"/>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924" t="s">
        <v>1945</v>
      </c>
      <c r="E57" s="4923"/>
      <c r="F57" s="4923"/>
      <c r="G57" s="4923"/>
      <c r="H57" s="2045">
        <f>IF(I57=0,10,"-")</f>
        <v>10</v>
      </c>
      <c r="I57" s="2260"/>
      <c r="J57" s="474"/>
      <c r="K57" s="579" t="s">
        <v>1871</v>
      </c>
      <c r="L57" s="4924" t="s">
        <v>1946</v>
      </c>
      <c r="M57" s="4923"/>
      <c r="N57" s="4923"/>
      <c r="O57" s="4923"/>
      <c r="P57" s="2045">
        <f>IF(Q57=0,20,"-")</f>
        <v>20</v>
      </c>
      <c r="Q57" s="2260"/>
      <c r="R57" s="2147" t="b">
        <f t="shared" si="1"/>
        <v>0</v>
      </c>
      <c r="S57" s="1184"/>
      <c r="T57" s="1184"/>
      <c r="U57" s="586">
        <f>IF(V58=0,0,1)</f>
        <v>0</v>
      </c>
      <c r="V57" s="2931"/>
      <c r="W57" s="2931"/>
      <c r="X57" s="2931"/>
      <c r="Y57" s="2931"/>
      <c r="Z57" s="2933"/>
      <c r="AA57" s="2934"/>
      <c r="AB57" s="2935"/>
      <c r="AD57" s="2931"/>
      <c r="AE57" s="2931"/>
      <c r="AF57" s="2931"/>
      <c r="AG57" s="2931"/>
      <c r="AH57" s="2933"/>
      <c r="AI57" s="2934"/>
      <c r="AJ57" s="2935"/>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924" t="s">
        <v>1947</v>
      </c>
      <c r="E58" s="4923"/>
      <c r="F58" s="4923"/>
      <c r="G58" s="4923"/>
      <c r="H58" s="2045">
        <f>IF(I58=0,20,"-")</f>
        <v>20</v>
      </c>
      <c r="I58" s="2260"/>
      <c r="J58" s="474"/>
      <c r="K58" s="579" t="s">
        <v>1905</v>
      </c>
      <c r="L58" s="582" t="s">
        <v>1882</v>
      </c>
      <c r="M58" s="4924" t="s">
        <v>1948</v>
      </c>
      <c r="N58" s="4924"/>
      <c r="O58" s="4924"/>
      <c r="P58" s="2045">
        <f>IF(Q58=0,20,"-")</f>
        <v>20</v>
      </c>
      <c r="Q58" s="2260"/>
      <c r="R58" s="2147" t="b">
        <f t="shared" si="1"/>
        <v>0</v>
      </c>
      <c r="S58" s="1184"/>
      <c r="T58" s="1184"/>
      <c r="U58" s="586"/>
      <c r="V58" s="4933"/>
      <c r="W58" s="4934"/>
      <c r="X58" s="4934"/>
      <c r="Y58" s="4934"/>
      <c r="Z58" s="4934"/>
      <c r="AA58" s="4935"/>
      <c r="AB58" s="2937" t="s">
        <v>1774</v>
      </c>
      <c r="AD58" s="4933"/>
      <c r="AE58" s="4934"/>
      <c r="AF58" s="4934"/>
      <c r="AG58" s="4934"/>
      <c r="AH58" s="4934"/>
      <c r="AI58" s="4935"/>
      <c r="AJ58" s="2937"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924" t="s">
        <v>1949</v>
      </c>
      <c r="E59" s="4923"/>
      <c r="F59" s="4923"/>
      <c r="G59" s="4923"/>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31" t="str">
        <f>IF(V58="","",VLOOKUP(V58,'Tablas Técnicas'!$C$649:$M$832,5,FALSE))</f>
        <v/>
      </c>
      <c r="W59" s="4932"/>
      <c r="X59" s="4932"/>
      <c r="Y59" s="4932"/>
      <c r="Z59" s="2898" t="s">
        <v>1597</v>
      </c>
      <c r="AA59" s="2572" t="str">
        <f>IF(V58="","",VLOOKUP(V58,'Tablas Técnicas'!$C$649:$M$832,3,FALSE))</f>
        <v/>
      </c>
      <c r="AB59" s="2938">
        <f>IF(V58="",0,VLOOKUP(V58,'Tablas Técnicas'!$C$649:$M$832,4,FALSE))</f>
        <v>0</v>
      </c>
      <c r="AD59" s="4931" t="str">
        <f>IF(AD58="","",VLOOKUP(AD58,'Tablas Técnicas'!$C$649:$M$832,5,FALSE))</f>
        <v/>
      </c>
      <c r="AE59" s="4932"/>
      <c r="AF59" s="4932"/>
      <c r="AG59" s="4932"/>
      <c r="AH59" s="2898" t="s">
        <v>1597</v>
      </c>
      <c r="AI59" s="2572" t="str">
        <f>IF(AD58="","",VLOOKUP(AD58,'Tablas Técnicas'!$C$649:$M$832,3,FALSE))</f>
        <v/>
      </c>
      <c r="AJ59" s="2938">
        <f>IF(AD58="",0,VLOOKUP(AD58,'Tablas Técnicas'!$C$649:$M$832,4,FALSE))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924" t="s">
        <v>1951</v>
      </c>
      <c r="F60" s="4924"/>
      <c r="G60" s="4924"/>
      <c r="H60" s="2045">
        <f>IF(I60=0,40,"-")</f>
        <v>40</v>
      </c>
      <c r="I60" s="2260"/>
      <c r="J60" s="474"/>
      <c r="K60" s="579" t="s">
        <v>1882</v>
      </c>
      <c r="L60" s="4924" t="s">
        <v>1952</v>
      </c>
      <c r="M60" s="4924"/>
      <c r="N60" s="4924"/>
      <c r="O60" s="4924"/>
      <c r="P60" s="2045">
        <f>IF(Q60=0,20,"-")</f>
        <v>20</v>
      </c>
      <c r="Q60" s="2260"/>
      <c r="R60" s="2147" t="b">
        <f t="shared" si="1"/>
        <v>0</v>
      </c>
      <c r="S60" s="1184"/>
      <c r="T60" s="1184"/>
      <c r="U60" s="586"/>
      <c r="V60" s="4925" t="str">
        <f>IFERROR(VLOOKUP(V58,'Tablas Técnicas'!$C$649:$N$832,6,FALSE),"")</f>
        <v/>
      </c>
      <c r="W60" s="4926"/>
      <c r="X60" s="4926"/>
      <c r="Y60" s="4926"/>
      <c r="Z60" s="4926"/>
      <c r="AA60" s="4926"/>
      <c r="AB60" s="4927"/>
      <c r="AD60" s="4925" t="str">
        <f>IFERROR(VLOOKUP(AD58,'Tablas Técnicas'!$C$649:$N$832,6,FALSE),"")</f>
        <v/>
      </c>
      <c r="AE60" s="4926"/>
      <c r="AF60" s="4926"/>
      <c r="AG60" s="4926"/>
      <c r="AH60" s="4926"/>
      <c r="AI60" s="4926"/>
      <c r="AJ60" s="4927"/>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22" t="s">
        <v>1953</v>
      </c>
      <c r="D61" s="4923"/>
      <c r="E61" s="4923"/>
      <c r="F61" s="4923"/>
      <c r="G61" s="4923"/>
      <c r="H61" s="2045">
        <f>IF(I61=0,30,"-")</f>
        <v>30</v>
      </c>
      <c r="I61" s="2260"/>
      <c r="J61" s="474"/>
      <c r="K61" s="591"/>
      <c r="L61" s="582" t="s">
        <v>1882</v>
      </c>
      <c r="M61" s="4924" t="s">
        <v>1954</v>
      </c>
      <c r="N61" s="4924"/>
      <c r="O61" s="4924"/>
      <c r="P61" s="2045">
        <f>IF(Q61=0,20,"-")</f>
        <v>20</v>
      </c>
      <c r="Q61" s="2260"/>
      <c r="R61" s="2147" t="b">
        <f t="shared" si="1"/>
        <v>0</v>
      </c>
      <c r="S61" s="1184"/>
      <c r="T61" s="1184"/>
      <c r="U61" s="586">
        <f>IF(V62=0,0,1)</f>
        <v>0</v>
      </c>
      <c r="V61" s="4925"/>
      <c r="W61" s="4926"/>
      <c r="X61" s="4926"/>
      <c r="Y61" s="4926"/>
      <c r="Z61" s="4926"/>
      <c r="AA61" s="4926"/>
      <c r="AB61" s="4927"/>
      <c r="AD61" s="4925"/>
      <c r="AE61" s="4926"/>
      <c r="AF61" s="4926"/>
      <c r="AG61" s="4926"/>
      <c r="AH61" s="4926"/>
      <c r="AI61" s="4926"/>
      <c r="AJ61" s="4927"/>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22" t="s">
        <v>1955</v>
      </c>
      <c r="D62" s="4923"/>
      <c r="E62" s="4923"/>
      <c r="F62" s="4923"/>
      <c r="G62" s="4923"/>
      <c r="H62" s="2045">
        <f>IF(I62=0,10,"-")</f>
        <v>10</v>
      </c>
      <c r="I62" s="2260"/>
      <c r="J62" s="474"/>
      <c r="K62" s="4922" t="s">
        <v>1956</v>
      </c>
      <c r="L62" s="4923"/>
      <c r="M62" s="4923"/>
      <c r="N62" s="4923"/>
      <c r="O62" s="4923"/>
      <c r="P62" s="2045">
        <f>IF(Q62=0,50,"-")</f>
        <v>50</v>
      </c>
      <c r="Q62" s="2260"/>
      <c r="R62" s="2147" t="b">
        <f t="shared" si="1"/>
        <v>0</v>
      </c>
      <c r="S62" s="1184"/>
      <c r="T62" s="1184"/>
      <c r="U62" s="586"/>
      <c r="V62" s="4925"/>
      <c r="W62" s="4926"/>
      <c r="X62" s="4926"/>
      <c r="Y62" s="4926"/>
      <c r="Z62" s="4926"/>
      <c r="AA62" s="4926"/>
      <c r="AB62" s="4927"/>
      <c r="AD62" s="4925"/>
      <c r="AE62" s="4926"/>
      <c r="AF62" s="4926"/>
      <c r="AG62" s="4926"/>
      <c r="AH62" s="4926"/>
      <c r="AI62" s="4926"/>
      <c r="AJ62" s="4927"/>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22" t="s">
        <v>1957</v>
      </c>
      <c r="D63" s="4923"/>
      <c r="E63" s="4923"/>
      <c r="F63" s="4923"/>
      <c r="G63" s="4923"/>
      <c r="H63" s="2045">
        <f>IF(I63=0,20,"-")</f>
        <v>20</v>
      </c>
      <c r="I63" s="2260"/>
      <c r="J63" s="474"/>
      <c r="K63" s="4922" t="s">
        <v>1957</v>
      </c>
      <c r="L63" s="4924"/>
      <c r="M63" s="4924"/>
      <c r="N63" s="4924"/>
      <c r="O63" s="4924"/>
      <c r="P63" s="2045">
        <f>IF(Q63=0,30,"-")</f>
        <v>30</v>
      </c>
      <c r="Q63" s="2260"/>
      <c r="R63" s="2147" t="b">
        <f>OR(Ki!$P63="-",Ki!$H63="-",Tablas!$H$1266&gt;0,Raza="Duk'zarist",Tablas!$P$258&gt;0,Tablas!P259&gt;0)</f>
        <v>0</v>
      </c>
      <c r="S63" s="1184"/>
      <c r="T63" s="1184"/>
      <c r="U63" s="586">
        <f>IF(V64=0,0,1)</f>
        <v>0</v>
      </c>
      <c r="V63" s="4925" t="str">
        <f>IFERROR(IF(VLOOKUP(V58,'Tablas Técnicas'!$C$649:$N$832,7,FALSE)="","",VLOOKUP(V58,'Tablas Técnicas'!$C$649:$N$832,7,FALSE)),"")</f>
        <v/>
      </c>
      <c r="W63" s="4926"/>
      <c r="X63" s="4926"/>
      <c r="Y63" s="4926"/>
      <c r="Z63" s="4926"/>
      <c r="AA63" s="4926"/>
      <c r="AB63" s="4927"/>
      <c r="AD63" s="4925" t="str">
        <f>IFERROR(IF(VLOOKUP(AD58,'Tablas Técnicas'!$C$649:$N$832,7,FALSE)="","",VLOOKUP(AD58,'Tablas Técnicas'!$C$649:$N$832,7,FALSE)),"")</f>
        <v/>
      </c>
      <c r="AE63" s="4926"/>
      <c r="AF63" s="4926"/>
      <c r="AG63" s="4926"/>
      <c r="AH63" s="4926"/>
      <c r="AI63" s="4926"/>
      <c r="AJ63" s="4927"/>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920" t="s">
        <v>1958</v>
      </c>
      <c r="E64" s="4921"/>
      <c r="F64" s="4921"/>
      <c r="G64" s="4921"/>
      <c r="H64" s="2146">
        <f>IF(I64=0,40,"-")</f>
        <v>40</v>
      </c>
      <c r="I64" s="2261"/>
      <c r="J64" s="474"/>
      <c r="K64" s="592" t="s">
        <v>1882</v>
      </c>
      <c r="L64" s="4920" t="s">
        <v>1958</v>
      </c>
      <c r="M64" s="4920"/>
      <c r="N64" s="4920"/>
      <c r="O64" s="4920"/>
      <c r="P64" s="2146">
        <f t="shared" ref="P64" si="7">IF(Q64=0,50,"-")</f>
        <v>50</v>
      </c>
      <c r="Q64" s="2261"/>
      <c r="R64" s="2147" t="b">
        <f>OR(Ki!$P64="-",Ki!$H64="-",Tablas!$H$1267&gt;0)</f>
        <v>0</v>
      </c>
      <c r="S64" s="1184"/>
      <c r="T64" s="1184"/>
      <c r="U64" s="593"/>
      <c r="V64" s="4928"/>
      <c r="W64" s="4929"/>
      <c r="X64" s="4929"/>
      <c r="Y64" s="4929"/>
      <c r="Z64" s="4929"/>
      <c r="AA64" s="4929"/>
      <c r="AB64" s="4930"/>
      <c r="AD64" s="4928"/>
      <c r="AE64" s="4929"/>
      <c r="AF64" s="4929"/>
      <c r="AG64" s="4929"/>
      <c r="AH64" s="4929"/>
      <c r="AI64" s="4929"/>
      <c r="AJ64" s="4930"/>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797" priority="103" stopIfTrue="1">
      <formula>H28=0</formula>
    </cfRule>
  </conditionalFormatting>
  <conditionalFormatting sqref="Y11:Y20">
    <cfRule type="expression" dxfId="796" priority="102" stopIfTrue="1">
      <formula>X11=0</formula>
    </cfRule>
  </conditionalFormatting>
  <conditionalFormatting sqref="C56:G56">
    <cfRule type="expression" dxfId="795" priority="100" stopIfTrue="1">
      <formula>AND(NOT($H$43="-"),$H$56="-")</formula>
    </cfRule>
    <cfRule type="expression" dxfId="794" priority="101" stopIfTrue="1">
      <formula>$H$56="-"</formula>
    </cfRule>
  </conditionalFormatting>
  <conditionalFormatting sqref="D57:G57">
    <cfRule type="expression" dxfId="793" priority="99" stopIfTrue="1">
      <formula>AND(NOT($H$56="-"),$H$57="-")</formula>
    </cfRule>
  </conditionalFormatting>
  <conditionalFormatting sqref="D58:G58">
    <cfRule type="expression" dxfId="792" priority="97" stopIfTrue="1">
      <formula>AND(NOT($H$56="-"),$H$58="-")</formula>
    </cfRule>
    <cfRule type="expression" dxfId="791" priority="98" stopIfTrue="1">
      <formula>$H$58="-"</formula>
    </cfRule>
  </conditionalFormatting>
  <conditionalFormatting sqref="H28:I28">
    <cfRule type="expression" dxfId="790" priority="96" stopIfTrue="1">
      <formula>$G$28=0</formula>
    </cfRule>
  </conditionalFormatting>
  <conditionalFormatting sqref="K12:O12">
    <cfRule type="expression" dxfId="789" priority="95" stopIfTrue="1">
      <formula>AND(NOT($P$10="-"),$P$12="-")</formula>
    </cfRule>
  </conditionalFormatting>
  <conditionalFormatting sqref="L13:O13">
    <cfRule type="expression" dxfId="788" priority="93" stopIfTrue="1">
      <formula>AND(NOT($P$12="-"),$P$13="-")</formula>
    </cfRule>
    <cfRule type="expression" dxfId="787" priority="94" stopIfTrue="1">
      <formula>$P$13="-"</formula>
    </cfRule>
  </conditionalFormatting>
  <conditionalFormatting sqref="M14:O14">
    <cfRule type="expression" dxfId="786" priority="92" stopIfTrue="1">
      <formula>AND(NOT($P$13="-"),$P$14="-")</formula>
    </cfRule>
  </conditionalFormatting>
  <conditionalFormatting sqref="L15:O15">
    <cfRule type="expression" dxfId="785" priority="91" stopIfTrue="1">
      <formula>AND(NOT($P$12="-"),$P$15="-")</formula>
    </cfRule>
  </conditionalFormatting>
  <conditionalFormatting sqref="L16:O16">
    <cfRule type="expression" dxfId="784" priority="89" stopIfTrue="1">
      <formula>AND(NOT($P$12="-"),$P$16="-")</formula>
    </cfRule>
    <cfRule type="expression" dxfId="783" priority="90" stopIfTrue="1">
      <formula>$P$16="-"</formula>
    </cfRule>
  </conditionalFormatting>
  <conditionalFormatting sqref="M17:O17">
    <cfRule type="expression" dxfId="782" priority="88" stopIfTrue="1">
      <formula>AND(NOT($P$16="-"),$P$17="-")</formula>
    </cfRule>
  </conditionalFormatting>
  <conditionalFormatting sqref="N18:O18">
    <cfRule type="expression" dxfId="781" priority="87" stopIfTrue="1">
      <formula>AND(NOT($P$17="-"),$P$18="-")</formula>
    </cfRule>
  </conditionalFormatting>
  <conditionalFormatting sqref="M19:O19">
    <cfRule type="expression" dxfId="780" priority="86" stopIfTrue="1">
      <formula>AND(NOT($P$16="-"),$P$19="-")</formula>
    </cfRule>
  </conditionalFormatting>
  <conditionalFormatting sqref="N20:O20">
    <cfRule type="expression" dxfId="779" priority="85" stopIfTrue="1">
      <formula>AND(NOT($P$19="-"),$P$20="-")</formula>
    </cfRule>
  </conditionalFormatting>
  <conditionalFormatting sqref="N21:O21">
    <cfRule type="expression" dxfId="778" priority="84" stopIfTrue="1">
      <formula>AND(NOT($P$20="-"),$P$21="-")</formula>
    </cfRule>
  </conditionalFormatting>
  <conditionalFormatting sqref="N22:O22">
    <cfRule type="expression" dxfId="777" priority="83" stopIfTrue="1">
      <formula>AND(NOT($P$19="-"),$P$22="-")</formula>
    </cfRule>
  </conditionalFormatting>
  <conditionalFormatting sqref="N23:O23">
    <cfRule type="expression" dxfId="776" priority="82" stopIfTrue="1">
      <formula>AND(NOT($P$22="-"),$P$23="-")</formula>
    </cfRule>
  </conditionalFormatting>
  <conditionalFormatting sqref="M24:O24">
    <cfRule type="expression" dxfId="775" priority="81" stopIfTrue="1">
      <formula>AND(NOT($P$16="-"),$P$24="-")</formula>
    </cfRule>
  </conditionalFormatting>
  <conditionalFormatting sqref="L25:O25">
    <cfRule type="expression" dxfId="774" priority="80" stopIfTrue="1">
      <formula>AND(NOT($P$12="-"),$P$25="-")</formula>
    </cfRule>
  </conditionalFormatting>
  <conditionalFormatting sqref="L26:O26">
    <cfRule type="expression" dxfId="773" priority="79" stopIfTrue="1">
      <formula>AND(NOT($P$12="-"),$P$26="-")</formula>
    </cfRule>
  </conditionalFormatting>
  <conditionalFormatting sqref="K27:O27">
    <cfRule type="expression" dxfId="772" priority="78" stopIfTrue="1">
      <formula>AND(NOT($P$10="-"),$P$27="-")</formula>
    </cfRule>
  </conditionalFormatting>
  <conditionalFormatting sqref="L28:O28">
    <cfRule type="expression" dxfId="771" priority="77" stopIfTrue="1">
      <formula>AND(NOT($P$27="-"),$P$28="-")</formula>
    </cfRule>
  </conditionalFormatting>
  <conditionalFormatting sqref="M29:O29">
    <cfRule type="expression" dxfId="770" priority="76" stopIfTrue="1">
      <formula>AND(NOT($P$28="-"),$P$29="-")</formula>
    </cfRule>
  </conditionalFormatting>
  <conditionalFormatting sqref="N30:O30">
    <cfRule type="expression" dxfId="769" priority="75" stopIfTrue="1">
      <formula>AND(NOT($P$28="-"),$P$30="-")</formula>
    </cfRule>
  </conditionalFormatting>
  <conditionalFormatting sqref="M31:O31">
    <cfRule type="expression" dxfId="768" priority="3">
      <formula>$P$31="-"</formula>
    </cfRule>
    <cfRule type="expression" dxfId="767" priority="74" stopIfTrue="1">
      <formula>AND(NOT($P$28="-"),$P$31="-")</formula>
    </cfRule>
  </conditionalFormatting>
  <conditionalFormatting sqref="K32:O32">
    <cfRule type="expression" dxfId="766" priority="73" stopIfTrue="1">
      <formula>AND(NOT($P$10="-"),$P$32="-")</formula>
    </cfRule>
  </conditionalFormatting>
  <conditionalFormatting sqref="L33:O33">
    <cfRule type="expression" dxfId="765" priority="71" stopIfTrue="1">
      <formula>AND(NOT($P$32="-"),$P$33="-")</formula>
    </cfRule>
    <cfRule type="expression" dxfId="764" priority="72" stopIfTrue="1">
      <formula>$P$33="-"</formula>
    </cfRule>
  </conditionalFormatting>
  <conditionalFormatting sqref="M37:O37">
    <cfRule type="expression" dxfId="763" priority="2">
      <formula>$P$37="-"</formula>
    </cfRule>
    <cfRule type="expression" dxfId="762" priority="70" stopIfTrue="1">
      <formula>AND(NOT($P$36="-"),$P$37="-")</formula>
    </cfRule>
  </conditionalFormatting>
  <conditionalFormatting sqref="M38:O38">
    <cfRule type="expression" dxfId="761" priority="68" stopIfTrue="1">
      <formula>AND(NOT($P$36="-"),$P$38="-")</formula>
    </cfRule>
    <cfRule type="expression" dxfId="760" priority="69" stopIfTrue="1">
      <formula>$P$38="-"</formula>
    </cfRule>
  </conditionalFormatting>
  <conditionalFormatting sqref="M40:O40">
    <cfRule type="expression" dxfId="759" priority="66" stopIfTrue="1">
      <formula>AND(NOT($P$36="-"),$P$40="-")</formula>
    </cfRule>
    <cfRule type="expression" dxfId="758" priority="67" stopIfTrue="1">
      <formula>$P$40="-"</formula>
    </cfRule>
  </conditionalFormatting>
  <conditionalFormatting sqref="L41:O41">
    <cfRule type="expression" dxfId="757" priority="65" stopIfTrue="1">
      <formula>AND(NOT($P$32="-"),$P$41="-")</formula>
    </cfRule>
  </conditionalFormatting>
  <conditionalFormatting sqref="L42:O42">
    <cfRule type="expression" dxfId="756" priority="64" stopIfTrue="1">
      <formula>AND(NOT($P$32="-"),$P$42="-")</formula>
    </cfRule>
  </conditionalFormatting>
  <conditionalFormatting sqref="L43:O43">
    <cfRule type="expression" dxfId="755" priority="63" stopIfTrue="1">
      <formula>AND(NOT($P$32="-"),$P$43="-")</formula>
    </cfRule>
  </conditionalFormatting>
  <conditionalFormatting sqref="K44:O44">
    <cfRule type="expression" dxfId="754" priority="62" stopIfTrue="1">
      <formula>AND(NOT($P$10="-"),$P$44="-")</formula>
    </cfRule>
  </conditionalFormatting>
  <conditionalFormatting sqref="L45:O45">
    <cfRule type="expression" dxfId="753" priority="61" stopIfTrue="1">
      <formula>AND(NOT($P$44="-"),$P$45="-")</formula>
    </cfRule>
  </conditionalFormatting>
  <conditionalFormatting sqref="M46:O46">
    <cfRule type="expression" dxfId="752" priority="60" stopIfTrue="1">
      <formula>AND(NOT($P$45="-"),$P$46="-")</formula>
    </cfRule>
  </conditionalFormatting>
  <conditionalFormatting sqref="M47:O47">
    <cfRule type="expression" dxfId="751" priority="59" stopIfTrue="1">
      <formula>AND(NOT($P$45="-"),$P$47="-")</formula>
    </cfRule>
  </conditionalFormatting>
  <conditionalFormatting sqref="L48:O48">
    <cfRule type="expression" dxfId="750" priority="58" stopIfTrue="1">
      <formula>AND(NOT($P$44="-"),$P$48="-")</formula>
    </cfRule>
  </conditionalFormatting>
  <conditionalFormatting sqref="K49:O49">
    <cfRule type="expression" dxfId="749" priority="57" stopIfTrue="1">
      <formula>AND(NOT($P$10="-"),$P$49="-")</formula>
    </cfRule>
  </conditionalFormatting>
  <conditionalFormatting sqref="L50:O50">
    <cfRule type="expression" dxfId="748" priority="1">
      <formula>$P$50="-"</formula>
    </cfRule>
    <cfRule type="expression" dxfId="747" priority="55" stopIfTrue="1">
      <formula>AND(NOT($P$49="-"),Raza&lt;&gt;"D'Anjayni",Nephilim&lt;&gt;"Nephilim D'Anjayni",$P$50="-")</formula>
    </cfRule>
  </conditionalFormatting>
  <conditionalFormatting sqref="M51:O52">
    <cfRule type="expression" dxfId="746" priority="53" stopIfTrue="1">
      <formula>AND(NOT(OcultacióndelKi),$P51="-")</formula>
    </cfRule>
  </conditionalFormatting>
  <conditionalFormatting sqref="L53:O53">
    <cfRule type="expression" dxfId="745" priority="52" stopIfTrue="1">
      <formula>AND(NOT($P$49="-"),$P$53="-")</formula>
    </cfRule>
  </conditionalFormatting>
  <conditionalFormatting sqref="M54:O54">
    <cfRule type="expression" dxfId="744" priority="51" stopIfTrue="1">
      <formula>AND(NOT($P$53="-"),$P$54="-")</formula>
    </cfRule>
  </conditionalFormatting>
  <conditionalFormatting sqref="M55:O55">
    <cfRule type="expression" dxfId="743" priority="50" stopIfTrue="1">
      <formula>AND(NOT($P$53="-"),$P$55="-")</formula>
    </cfRule>
  </conditionalFormatting>
  <conditionalFormatting sqref="M56:O56">
    <cfRule type="expression" dxfId="742" priority="49" stopIfTrue="1">
      <formula>AND(NOT($P$53="-"),$P$56="-")</formula>
    </cfRule>
  </conditionalFormatting>
  <conditionalFormatting sqref="L57:O57">
    <cfRule type="expression" dxfId="741" priority="47" stopIfTrue="1">
      <formula>AND(NOT($P$49="-"),$P$57="-")</formula>
    </cfRule>
    <cfRule type="expression" dxfId="740" priority="48" stopIfTrue="1">
      <formula>$P$57="-"</formula>
    </cfRule>
  </conditionalFormatting>
  <conditionalFormatting sqref="M58:O58">
    <cfRule type="expression" dxfId="739" priority="46" stopIfTrue="1">
      <formula>AND(NOT($P$57="-"),$P$58="-")</formula>
    </cfRule>
  </conditionalFormatting>
  <conditionalFormatting sqref="N59:O59">
    <cfRule type="expression" dxfId="738" priority="45" stopIfTrue="1">
      <formula>AND(NOT($P$57="-"),$P$59="-")</formula>
    </cfRule>
  </conditionalFormatting>
  <conditionalFormatting sqref="L60:O60">
    <cfRule type="expression" dxfId="737" priority="44" stopIfTrue="1">
      <formula>AND(NOT($P$49="-"),$P$60="-")</formula>
    </cfRule>
  </conditionalFormatting>
  <conditionalFormatting sqref="M61:O61">
    <cfRule type="expression" dxfId="736" priority="43" stopIfTrue="1">
      <formula>AND(NOT($P$60="-"),$P$61="-")</formula>
    </cfRule>
  </conditionalFormatting>
  <conditionalFormatting sqref="K62:O62">
    <cfRule type="expression" dxfId="735" priority="42" stopIfTrue="1">
      <formula>AND(NOT($P$10="-"),$P$62="-")</formula>
    </cfRule>
  </conditionalFormatting>
  <conditionalFormatting sqref="C45:G45">
    <cfRule type="expression" dxfId="734" priority="41" stopIfTrue="1">
      <formula>AND(NOT($H$43="-"),$H$45="-")</formula>
    </cfRule>
  </conditionalFormatting>
  <conditionalFormatting sqref="D46:G46">
    <cfRule type="expression" dxfId="733" priority="40" stopIfTrue="1">
      <formula>AND(NOT($H$45="-"),$H$46="-")</formula>
    </cfRule>
  </conditionalFormatting>
  <conditionalFormatting sqref="C47:G47">
    <cfRule type="expression" dxfId="732" priority="39" stopIfTrue="1">
      <formula>AND(NOT($H$43="-"),$H$47="-")</formula>
    </cfRule>
  </conditionalFormatting>
  <conditionalFormatting sqref="D48:G48">
    <cfRule type="expression" dxfId="731" priority="38" stopIfTrue="1">
      <formula>AND(NOT($H$47="-"),$H$48="-")</formula>
    </cfRule>
  </conditionalFormatting>
  <conditionalFormatting sqref="C49:G49">
    <cfRule type="expression" dxfId="730" priority="37" stopIfTrue="1">
      <formula>AND(NOT($H$43="-"),$H$49="-")</formula>
    </cfRule>
  </conditionalFormatting>
  <conditionalFormatting sqref="D50:G50">
    <cfRule type="expression" dxfId="729" priority="36" stopIfTrue="1">
      <formula>AND(NOT($H$49="-"),$H$50="-")</formula>
    </cfRule>
  </conditionalFormatting>
  <conditionalFormatting sqref="C51:G51">
    <cfRule type="expression" dxfId="728" priority="35" stopIfTrue="1">
      <formula>AND(NOT($H$43="-"),$H$51="-")</formula>
    </cfRule>
  </conditionalFormatting>
  <conditionalFormatting sqref="D52:G52">
    <cfRule type="expression" dxfId="727" priority="34" stopIfTrue="1">
      <formula>AND(NOT($H$51="-"),$H$52="-")</formula>
    </cfRule>
  </conditionalFormatting>
  <conditionalFormatting sqref="C53:G53">
    <cfRule type="expression" dxfId="726" priority="33" stopIfTrue="1">
      <formula>AND(NOT($H$43="-"),$H$53="-")</formula>
    </cfRule>
  </conditionalFormatting>
  <conditionalFormatting sqref="C54:G54">
    <cfRule type="expression" dxfId="725" priority="32" stopIfTrue="1">
      <formula>AND(NOT($H$43="-"),$H$54="-")</formula>
    </cfRule>
  </conditionalFormatting>
  <conditionalFormatting sqref="D59:G59">
    <cfRule type="expression" dxfId="724" priority="31" stopIfTrue="1">
      <formula>AND(NOT($H$56="-"),$H$59="-")</formula>
    </cfRule>
  </conditionalFormatting>
  <conditionalFormatting sqref="E60:G60">
    <cfRule type="expression" dxfId="723" priority="30" stopIfTrue="1">
      <formula>AND(NOT($H$59="-"),$H$60="-")</formula>
    </cfRule>
  </conditionalFormatting>
  <conditionalFormatting sqref="I39">
    <cfRule type="cellIs" dxfId="722" priority="29" stopIfTrue="1" operator="lessThan">
      <formula>0</formula>
    </cfRule>
  </conditionalFormatting>
  <conditionalFormatting sqref="C61:G61">
    <cfRule type="expression" dxfId="721" priority="28" stopIfTrue="1">
      <formula>AND(NOT($H$43="-"),$H$61="-")</formula>
    </cfRule>
  </conditionalFormatting>
  <conditionalFormatting sqref="C62:G62">
    <cfRule type="expression" dxfId="720" priority="27" stopIfTrue="1">
      <formula>AND(NOT($H$43="-"),$H$62="-")</formula>
    </cfRule>
  </conditionalFormatting>
  <conditionalFormatting sqref="E29:F30">
    <cfRule type="cellIs" dxfId="719" priority="26" stopIfTrue="1" operator="greaterThan">
      <formula>$C$29</formula>
    </cfRule>
  </conditionalFormatting>
  <conditionalFormatting sqref="M34:O34">
    <cfRule type="expression" dxfId="718" priority="25" stopIfTrue="1">
      <formula>AND(NOT($P$33="-"),$P$34="-")</formula>
    </cfRule>
  </conditionalFormatting>
  <conditionalFormatting sqref="N35:O35">
    <cfRule type="expression" dxfId="717" priority="23" stopIfTrue="1">
      <formula>AND(NOT($P$34="-"),$P$35="-")</formula>
    </cfRule>
    <cfRule type="expression" dxfId="716" priority="24" stopIfTrue="1">
      <formula>$P$35="-"</formula>
    </cfRule>
  </conditionalFormatting>
  <conditionalFormatting sqref="L36:O36">
    <cfRule type="expression" dxfId="715" priority="21" stopIfTrue="1">
      <formula>AND(NOT($P$32="-"),$P$36="-")</formula>
    </cfRule>
    <cfRule type="expression" dxfId="714" priority="22" stopIfTrue="1">
      <formula>AND($P$36="-",$M$39="Alcance incrementado")</formula>
    </cfRule>
  </conditionalFormatting>
  <conditionalFormatting sqref="M39:O39">
    <cfRule type="expression" dxfId="713" priority="19" stopIfTrue="1">
      <formula>AND(NOT($P$36="-"),$P$39="-")</formula>
    </cfRule>
    <cfRule type="expression" dxfId="712" priority="20" stopIfTrue="1">
      <formula>AND($P$39="-",$M$39="Aura incrementada")</formula>
    </cfRule>
  </conditionalFormatting>
  <conditionalFormatting sqref="D55:G55">
    <cfRule type="expression" dxfId="711" priority="18" stopIfTrue="1">
      <formula>AND(NOT($H$54="-"),$H$55="-")</formula>
    </cfRule>
  </conditionalFormatting>
  <conditionalFormatting sqref="K63:O63">
    <cfRule type="expression" dxfId="710" priority="4821" stopIfTrue="1">
      <formula>AND(NOT($P$10="-"),$P$63="-",NOT($B$63=1))</formula>
    </cfRule>
    <cfRule type="expression" dxfId="709" priority="4822" stopIfTrue="1">
      <formula>$P$63="-"</formula>
    </cfRule>
  </conditionalFormatting>
  <conditionalFormatting sqref="L64:O64">
    <cfRule type="expression" dxfId="708" priority="4823" stopIfTrue="1">
      <formula>AND(NOT($P$63="-"),$P$64="-",NOT($B$64=1))</formula>
    </cfRule>
    <cfRule type="expression" dxfId="707" priority="4824" stopIfTrue="1">
      <formula>$P$64="-"</formula>
    </cfRule>
  </conditionalFormatting>
  <conditionalFormatting sqref="C63:G63">
    <cfRule type="expression" dxfId="706" priority="4825" stopIfTrue="1">
      <formula>AND(NOT($H$43="-"),$H$63="-",NOT($B$63=1))</formula>
    </cfRule>
    <cfRule type="expression" dxfId="705" priority="4826" stopIfTrue="1">
      <formula>$H$63="-"</formula>
    </cfRule>
  </conditionalFormatting>
  <conditionalFormatting sqref="D64:G64">
    <cfRule type="expression" dxfId="704" priority="4827" stopIfTrue="1">
      <formula>AND(NOT($H$63="-"),$H$64="-",NOT($B$64=1))</formula>
    </cfRule>
    <cfRule type="expression" dxfId="703" priority="4828" stopIfTrue="1">
      <formula>$H$64="-"</formula>
    </cfRule>
  </conditionalFormatting>
  <conditionalFormatting sqref="AI22:AJ22">
    <cfRule type="expression" dxfId="702" priority="9">
      <formula>$Q$37=60</formula>
    </cfRule>
  </conditionalFormatting>
  <conditionalFormatting sqref="AG22:AH22">
    <cfRule type="expression" dxfId="701" priority="8">
      <formula>$Q$37&gt;=50</formula>
    </cfRule>
  </conditionalFormatting>
  <conditionalFormatting sqref="AE22:AF22">
    <cfRule type="expression" dxfId="700" priority="7">
      <formula>$Q$37&gt;=40</formula>
    </cfRule>
  </conditionalFormatting>
  <conditionalFormatting sqref="AC22:AD22">
    <cfRule type="expression" dxfId="699" priority="6">
      <formula>$Q$37&gt;=30</formula>
    </cfRule>
  </conditionalFormatting>
  <conditionalFormatting sqref="AA22:AB22">
    <cfRule type="expression" dxfId="698" priority="5">
      <formula>$Q$37&gt;=20</formula>
    </cfRule>
  </conditionalFormatting>
  <conditionalFormatting sqref="Y22:Z22">
    <cfRule type="expression" dxfId="697" priority="4">
      <formula>$Q$37&gt;=10</formula>
    </cfRule>
  </conditionalFormatting>
  <dataValidations count="37">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 type="list" allowBlank="1" showInputMessage="1" showErrorMessage="1" sqref="V42:AA42">
      <formula1>$C$645:$C$828</formula1>
    </dataValidation>
    <dataValidation type="list" allowBlank="1" showInputMessage="1" showErrorMessage="1" sqref="V34:AA34">
      <formula1>$C$645:$C$828</formula1>
    </dataValidation>
    <dataValidation type="list" allowBlank="1" showInputMessage="1" showErrorMessage="1" sqref="V26:AA26">
      <formula1>$C$645:$C$828</formula1>
    </dataValidation>
    <dataValidation type="list" allowBlank="1" showInputMessage="1" showErrorMessage="1" sqref="AD50:AI50">
      <formula1>$C$645:$C$828</formula1>
    </dataValidation>
    <dataValidation type="list" allowBlank="1" showInputMessage="1" showErrorMessage="1" sqref="AD26:AI26">
      <formula1>$C$645:$C$828</formula1>
    </dataValidation>
    <dataValidation type="list" allowBlank="1" showInputMessage="1" showErrorMessage="1" sqref="AD42:AI42">
      <formula1>$C$645:$C$828</formula1>
    </dataValidation>
    <dataValidation type="list" allowBlank="1" showInputMessage="1" showErrorMessage="1" sqref="AD34:AI34">
      <formula1>$C$645:$C$828</formula1>
    </dataValidation>
    <dataValidation type="list" allowBlank="1" showInputMessage="1" showErrorMessage="1" sqref="V58:AA58">
      <formula1>$C$645:$C$828</formula1>
    </dataValidation>
    <dataValidation type="list" allowBlank="1" showInputMessage="1" showErrorMessage="1" sqref="AD58:AI58">
      <formula1>$C$645:$C$828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Técnicas'!$C$649:$C$832</xm:f>
          </x14:formula1>
          <xm:sqref>V50:AA50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K343"/>
  <sheetViews>
    <sheetView zoomScaleNormal="100" zoomScaleSheetLayoutView="40" workbookViewId="0">
      <selection activeCell="AO31" sqref="AO31"/>
    </sheetView>
  </sheetViews>
  <sheetFormatPr baseColWidth="10" defaultColWidth="5.7109375" defaultRowHeight="11.25" x14ac:dyDescent="0.2"/>
  <cols>
    <col min="1" max="1" width="2.7109375" style="2818" customWidth="1"/>
    <col min="2" max="2" width="5.7109375" style="3072" customWidth="1"/>
    <col min="3" max="3" width="5.7109375" style="2818" customWidth="1"/>
    <col min="4" max="4" width="5.7109375" style="2823" customWidth="1"/>
    <col min="5" max="34" width="5.7109375" style="2818" customWidth="1"/>
    <col min="35" max="35" width="2.7109375" style="2816" customWidth="1"/>
    <col min="36" max="42" width="5.7109375" style="2816" customWidth="1"/>
    <col min="43" max="43" width="5.7109375" style="2817" customWidth="1"/>
    <col min="44" max="44" width="5.7109375" style="2818" customWidth="1"/>
    <col min="45" max="45" width="5.7109375" style="3067" customWidth="1"/>
    <col min="46" max="46" width="5.7109375" style="2818" customWidth="1"/>
    <col min="47" max="47" width="5.7109375" style="3067" customWidth="1"/>
    <col min="48" max="50" width="5.7109375" style="2818" customWidth="1"/>
    <col min="51" max="51" width="5.7109375" style="3067" customWidth="1"/>
    <col min="52" max="63" width="5.7109375" style="2818" customWidth="1"/>
    <col min="64" max="104" width="5.7109375" style="2818"/>
    <col min="105" max="105" width="2" style="2818" customWidth="1"/>
    <col min="106" max="106" width="0.85546875" style="2818" customWidth="1"/>
    <col min="107" max="107" width="2" style="2818" customWidth="1"/>
    <col min="108" max="108" width="8.85546875" style="2818" customWidth="1"/>
    <col min="109" max="109" width="12.140625" style="2818" customWidth="1"/>
    <col min="110" max="110" width="9.140625" style="2818" customWidth="1"/>
    <col min="111" max="111" width="13.5703125" style="2818" customWidth="1"/>
    <col min="112" max="112" width="1.85546875" style="2818" customWidth="1"/>
    <col min="113" max="113" width="2" style="2818" customWidth="1"/>
    <col min="114" max="16384" width="5.7109375" style="2818"/>
  </cols>
  <sheetData>
    <row r="1" spans="1:115" ht="12" customHeight="1" thickBot="1" x14ac:dyDescent="0.25">
      <c r="A1" s="2814"/>
      <c r="B1" s="3068"/>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9584</v>
      </c>
      <c r="AQ1" s="2816"/>
      <c r="AR1" s="2817"/>
      <c r="AS1" s="2817"/>
    </row>
    <row r="2" spans="1:115" ht="12" customHeight="1" thickBot="1" x14ac:dyDescent="0.25">
      <c r="A2" s="2814"/>
      <c r="B2" s="3069"/>
      <c r="C2" s="3026"/>
      <c r="D2" s="3026"/>
      <c r="E2" s="2819"/>
      <c r="F2" s="3026"/>
      <c r="G2" s="3026"/>
      <c r="H2" s="3026"/>
      <c r="I2" s="3026"/>
      <c r="J2" s="3026"/>
      <c r="K2" s="3026"/>
      <c r="L2" s="3026"/>
      <c r="M2" s="3026"/>
      <c r="N2" s="3026"/>
      <c r="O2" s="3026"/>
      <c r="P2" s="3026"/>
      <c r="Q2" s="3026"/>
      <c r="R2" s="3026"/>
      <c r="S2" s="3026"/>
      <c r="T2" s="3026"/>
      <c r="U2" s="3026"/>
      <c r="V2" s="3026"/>
      <c r="W2" s="3026"/>
      <c r="X2" s="3026"/>
      <c r="Y2" s="3026"/>
      <c r="Z2" s="3026"/>
      <c r="AA2" s="3026"/>
      <c r="AB2" s="3026"/>
      <c r="AC2" s="3026"/>
      <c r="AD2" s="3026"/>
      <c r="AE2" s="3026"/>
      <c r="AF2" s="3026"/>
      <c r="AG2" s="3026"/>
      <c r="AH2" s="2820"/>
      <c r="AI2" s="2814"/>
      <c r="AQ2" s="2816"/>
      <c r="AR2" s="2817"/>
      <c r="AS2" s="2817"/>
    </row>
    <row r="3" spans="1:115" ht="12" customHeight="1" x14ac:dyDescent="0.2">
      <c r="A3" s="2814"/>
      <c r="B3" s="3070"/>
      <c r="C3" s="5187"/>
      <c r="D3" s="5188"/>
      <c r="E3" s="5188"/>
      <c r="F3" s="5188"/>
      <c r="G3" s="5188"/>
      <c r="H3" s="5188"/>
      <c r="I3" s="3021"/>
      <c r="J3" s="3021"/>
      <c r="K3" s="3021"/>
      <c r="L3" s="3021"/>
      <c r="M3" s="3021"/>
      <c r="N3" s="3021"/>
      <c r="O3" s="3021"/>
      <c r="P3" s="3021"/>
      <c r="Q3" s="3021"/>
      <c r="R3" s="3021"/>
      <c r="S3" s="3021"/>
      <c r="T3" s="3021"/>
      <c r="U3" s="3021"/>
      <c r="V3" s="3021"/>
      <c r="W3" s="3021"/>
      <c r="X3" s="3021"/>
      <c r="Y3" s="3021"/>
      <c r="Z3" s="3021"/>
      <c r="AA3" s="3021"/>
      <c r="AB3" s="3021"/>
      <c r="AC3" s="3021"/>
      <c r="AD3" s="5208"/>
      <c r="AE3" s="5208"/>
      <c r="AF3" s="5208"/>
      <c r="AG3" s="5209"/>
      <c r="AH3" s="2821"/>
      <c r="AI3" s="2814"/>
      <c r="AJ3" s="2816" t="s">
        <v>1675</v>
      </c>
      <c r="AQ3" s="2816"/>
      <c r="AR3" s="2817"/>
      <c r="AS3" s="2817"/>
      <c r="DD3" s="2822"/>
      <c r="DE3" s="2822"/>
      <c r="DF3" s="2822"/>
      <c r="DG3" s="2822"/>
    </row>
    <row r="4" spans="1:115" ht="12" customHeight="1" x14ac:dyDescent="0.2">
      <c r="A4" s="2814"/>
      <c r="B4" s="3070"/>
      <c r="C4" s="5189"/>
      <c r="D4" s="5190"/>
      <c r="E4" s="5190"/>
      <c r="F4" s="5190"/>
      <c r="G4" s="5190"/>
      <c r="H4" s="5190"/>
      <c r="I4" s="3049"/>
      <c r="J4" s="3050"/>
      <c r="K4" s="3050"/>
      <c r="L4" s="3051"/>
      <c r="M4" s="3051"/>
      <c r="N4" s="3051"/>
      <c r="O4" s="3051"/>
      <c r="P4" s="3051"/>
      <c r="Q4" s="3051"/>
      <c r="R4" s="3050"/>
      <c r="S4" s="3051"/>
      <c r="T4" s="3051"/>
      <c r="U4" s="3051"/>
      <c r="V4" s="3051"/>
      <c r="W4" s="3051"/>
      <c r="X4" s="3051"/>
      <c r="Y4" s="3050"/>
      <c r="Z4" s="3051"/>
      <c r="AA4" s="3051"/>
      <c r="AB4" s="3051"/>
      <c r="AC4" s="3051"/>
      <c r="AD4" s="5210"/>
      <c r="AE4" s="5210"/>
      <c r="AF4" s="5210"/>
      <c r="AG4" s="5211"/>
      <c r="AH4" s="2821"/>
      <c r="AI4" s="2814"/>
      <c r="AJ4" s="2816" t="s">
        <v>10252</v>
      </c>
      <c r="DD4" s="2822"/>
      <c r="DE4" s="2822"/>
      <c r="DF4" s="2822"/>
      <c r="DG4" s="2822"/>
    </row>
    <row r="5" spans="1:115" ht="12" customHeight="1" x14ac:dyDescent="0.2">
      <c r="A5" s="2814"/>
      <c r="B5" s="3070"/>
      <c r="C5" s="5189"/>
      <c r="D5" s="5190"/>
      <c r="E5" s="5190"/>
      <c r="F5" s="5190"/>
      <c r="G5" s="5190"/>
      <c r="H5" s="5190"/>
      <c r="I5" s="3049"/>
      <c r="J5" s="3051"/>
      <c r="K5" s="3051"/>
      <c r="L5" s="5193" t="s">
        <v>3761</v>
      </c>
      <c r="M5" s="5194"/>
      <c r="N5" s="5194"/>
      <c r="O5" s="5194"/>
      <c r="P5" s="5194"/>
      <c r="Q5" s="5194"/>
      <c r="R5" s="5194"/>
      <c r="S5" s="3051"/>
      <c r="T5" s="3051"/>
      <c r="U5" s="3051"/>
      <c r="V5" s="3051"/>
      <c r="W5" s="3051"/>
      <c r="X5" s="3051"/>
      <c r="Y5" s="3051"/>
      <c r="Z5" s="3051"/>
      <c r="AA5" s="3051"/>
      <c r="AB5" s="3051"/>
      <c r="AC5" s="3051"/>
      <c r="AD5" s="5210"/>
      <c r="AE5" s="5210"/>
      <c r="AF5" s="5210"/>
      <c r="AG5" s="5211"/>
      <c r="AH5" s="2821"/>
      <c r="AI5" s="2814"/>
      <c r="AJ5" s="2816" t="s">
        <v>10253</v>
      </c>
      <c r="DD5" s="2822"/>
      <c r="DE5" s="2822"/>
      <c r="DF5" s="2822"/>
      <c r="DG5" s="2822"/>
    </row>
    <row r="6" spans="1:115" ht="12" customHeight="1" x14ac:dyDescent="0.2">
      <c r="A6" s="2814"/>
      <c r="B6" s="3070"/>
      <c r="C6" s="5189"/>
      <c r="D6" s="5190"/>
      <c r="E6" s="5190"/>
      <c r="F6" s="5190"/>
      <c r="G6" s="5190"/>
      <c r="H6" s="5190"/>
      <c r="I6" s="3049"/>
      <c r="J6" s="3050"/>
      <c r="K6" s="3050"/>
      <c r="L6" s="5194"/>
      <c r="M6" s="5194"/>
      <c r="N6" s="5194"/>
      <c r="O6" s="5194"/>
      <c r="P6" s="5194"/>
      <c r="Q6" s="5194"/>
      <c r="R6" s="5194"/>
      <c r="S6" s="3051"/>
      <c r="T6" s="3051"/>
      <c r="U6" s="3051"/>
      <c r="V6" s="3051"/>
      <c r="W6" s="3051"/>
      <c r="X6" s="3051"/>
      <c r="Y6" s="3050"/>
      <c r="Z6" s="3051"/>
      <c r="AA6" s="3051"/>
      <c r="AB6" s="3051"/>
      <c r="AC6" s="3051"/>
      <c r="AD6" s="5210"/>
      <c r="AE6" s="5210"/>
      <c r="AF6" s="5210"/>
      <c r="AG6" s="5211"/>
      <c r="AH6" s="2821"/>
      <c r="AI6" s="2814"/>
      <c r="AJ6" s="2816" t="s">
        <v>10249</v>
      </c>
      <c r="DD6" s="2822"/>
      <c r="DE6" s="2822"/>
      <c r="DF6" s="2822"/>
      <c r="DG6" s="2822"/>
    </row>
    <row r="7" spans="1:115" ht="12" customHeight="1" x14ac:dyDescent="0.2">
      <c r="A7" s="2814"/>
      <c r="B7" s="3070"/>
      <c r="C7" s="5189"/>
      <c r="D7" s="5190"/>
      <c r="E7" s="5190"/>
      <c r="F7" s="5190"/>
      <c r="G7" s="5190"/>
      <c r="H7" s="5190"/>
      <c r="I7" s="3049"/>
      <c r="J7" s="3051"/>
      <c r="K7" s="3051"/>
      <c r="L7" s="3051"/>
      <c r="M7" s="3051"/>
      <c r="N7" s="3051"/>
      <c r="O7" s="3051"/>
      <c r="P7" s="3051"/>
      <c r="Q7" s="3051"/>
      <c r="R7" s="3051"/>
      <c r="S7" s="3051"/>
      <c r="T7" s="3051"/>
      <c r="U7" s="3051"/>
      <c r="V7" s="3051"/>
      <c r="W7" s="3051"/>
      <c r="X7" s="3051"/>
      <c r="Y7" s="3051"/>
      <c r="Z7" s="3051"/>
      <c r="AA7" s="3051"/>
      <c r="AB7" s="3051"/>
      <c r="AC7" s="3051"/>
      <c r="AD7" s="5210"/>
      <c r="AE7" s="5210"/>
      <c r="AF7" s="5210"/>
      <c r="AG7" s="5211"/>
      <c r="AH7" s="2821"/>
      <c r="AI7" s="2814"/>
      <c r="AJ7" s="2816" t="s">
        <v>10250</v>
      </c>
      <c r="DD7" s="2822"/>
    </row>
    <row r="8" spans="1:115" ht="12" customHeight="1" thickBot="1" x14ac:dyDescent="0.25">
      <c r="A8" s="2814"/>
      <c r="B8" s="3070"/>
      <c r="C8" s="5191"/>
      <c r="D8" s="5192"/>
      <c r="E8" s="5192"/>
      <c r="F8" s="5192"/>
      <c r="G8" s="5192"/>
      <c r="H8" s="5192"/>
      <c r="I8" s="3022"/>
      <c r="J8" s="3022"/>
      <c r="K8" s="3022"/>
      <c r="L8" s="3022"/>
      <c r="M8" s="3022"/>
      <c r="N8" s="3022"/>
      <c r="O8" s="3022"/>
      <c r="P8" s="3022"/>
      <c r="Q8" s="3022"/>
      <c r="R8" s="3022"/>
      <c r="S8" s="3022"/>
      <c r="T8" s="3022"/>
      <c r="U8" s="3022"/>
      <c r="V8" s="3022"/>
      <c r="W8" s="3022"/>
      <c r="X8" s="3022"/>
      <c r="Y8" s="3022"/>
      <c r="Z8" s="3022"/>
      <c r="AA8" s="3022"/>
      <c r="AB8" s="3022"/>
      <c r="AC8" s="3022"/>
      <c r="AD8" s="5212"/>
      <c r="AE8" s="5212"/>
      <c r="AF8" s="5212"/>
      <c r="AG8" s="5213"/>
      <c r="AH8" s="2821"/>
      <c r="AI8" s="2814"/>
      <c r="AJ8" s="2816" t="s">
        <v>10251</v>
      </c>
      <c r="DK8" s="2823"/>
    </row>
    <row r="9" spans="1:115" ht="12" customHeight="1" x14ac:dyDescent="0.2">
      <c r="A9" s="2814"/>
      <c r="B9" s="3070">
        <v>0</v>
      </c>
      <c r="C9" s="3024"/>
      <c r="D9" s="3024"/>
      <c r="E9" s="3052"/>
      <c r="F9" s="3024"/>
      <c r="G9" s="3024"/>
      <c r="H9" s="3024"/>
      <c r="I9" s="3024"/>
      <c r="J9" s="3024"/>
      <c r="K9" s="3024"/>
      <c r="L9" s="3024"/>
      <c r="M9" s="3024"/>
      <c r="N9" s="3024"/>
      <c r="O9" s="3024"/>
      <c r="P9" s="3024"/>
      <c r="Q9" s="3024"/>
      <c r="R9" s="3024"/>
      <c r="S9" s="3024"/>
      <c r="T9" s="3024"/>
      <c r="U9" s="3024"/>
      <c r="V9" s="3024"/>
      <c r="W9" s="3024"/>
      <c r="X9" s="3024"/>
      <c r="Y9" s="3024"/>
      <c r="Z9" s="3024"/>
      <c r="AA9" s="3024"/>
      <c r="AB9" s="3024"/>
      <c r="AC9" s="3024"/>
      <c r="AD9" s="3024"/>
      <c r="AE9" s="3024"/>
      <c r="AF9" s="3024"/>
      <c r="AG9" s="3024"/>
      <c r="AH9" s="2821"/>
      <c r="AI9" s="2814"/>
      <c r="DJ9" s="2823"/>
    </row>
    <row r="10" spans="1:115" ht="12" customHeight="1" x14ac:dyDescent="0.2">
      <c r="A10" s="2814"/>
      <c r="B10" s="3070"/>
      <c r="C10" s="3053"/>
      <c r="D10" s="3053"/>
      <c r="E10" s="3053"/>
      <c r="F10" s="3053"/>
      <c r="G10" s="3053"/>
      <c r="H10" s="3053"/>
      <c r="I10" s="3053"/>
      <c r="J10" s="3053"/>
      <c r="K10" s="3053"/>
      <c r="L10" s="3053"/>
      <c r="M10" s="3053"/>
      <c r="N10" s="3053"/>
      <c r="O10" s="3053"/>
      <c r="P10" s="3053"/>
      <c r="Q10" s="3053"/>
      <c r="R10" s="3053"/>
      <c r="S10" s="3053"/>
      <c r="T10" s="3053"/>
      <c r="U10" s="3053"/>
      <c r="V10" s="3053"/>
      <c r="W10" s="3053"/>
      <c r="X10" s="3053"/>
      <c r="Y10" s="3053"/>
      <c r="Z10" s="3053"/>
      <c r="AA10" s="3053"/>
      <c r="AB10" s="3053"/>
      <c r="AC10" s="3053"/>
      <c r="AD10" s="3053"/>
      <c r="AE10" s="3053"/>
      <c r="AF10" s="3053"/>
      <c r="AG10" s="3053"/>
      <c r="AH10" s="2821"/>
      <c r="AI10" s="2814"/>
      <c r="AQ10" s="2816"/>
      <c r="AR10" s="2816"/>
      <c r="AS10" s="2816"/>
      <c r="AT10" s="2816"/>
      <c r="AU10" s="2816"/>
      <c r="DG10" s="2822"/>
      <c r="DJ10" s="2823"/>
    </row>
    <row r="11" spans="1:115" ht="12" customHeight="1" thickBot="1" x14ac:dyDescent="0.25">
      <c r="A11" s="2814"/>
      <c r="B11" s="3070"/>
      <c r="C11" s="3014"/>
      <c r="D11" s="3014"/>
      <c r="E11" s="3014"/>
      <c r="F11" s="3014"/>
      <c r="G11" s="3014"/>
      <c r="H11" s="3014"/>
      <c r="I11" s="3014"/>
      <c r="J11" s="3014"/>
      <c r="K11" s="3014"/>
      <c r="L11" s="3014"/>
      <c r="M11" s="3014"/>
      <c r="N11" s="3014"/>
      <c r="O11" s="3014"/>
      <c r="P11" s="3014"/>
      <c r="Q11" s="3014"/>
      <c r="R11" s="3014"/>
      <c r="S11" s="3014"/>
      <c r="T11" s="3014"/>
      <c r="U11" s="3014"/>
      <c r="V11" s="3014"/>
      <c r="W11" s="3014"/>
      <c r="X11" s="3014"/>
      <c r="Y11" s="3014"/>
      <c r="Z11" s="3014"/>
      <c r="AA11" s="3014"/>
      <c r="AB11" s="3014"/>
      <c r="AC11" s="3014"/>
      <c r="AD11" s="3014"/>
      <c r="AE11" s="3014"/>
      <c r="AF11" s="3014"/>
      <c r="AG11" s="3014"/>
      <c r="AH11" s="2821"/>
      <c r="AI11" s="2814"/>
      <c r="AJ11" s="5063"/>
      <c r="AK11" s="5063"/>
      <c r="AL11" s="5063"/>
      <c r="AM11" s="5063"/>
      <c r="AN11" s="5063"/>
      <c r="AO11" s="5063"/>
      <c r="AP11" s="5063"/>
      <c r="AQ11" s="5063"/>
      <c r="AR11" s="5063"/>
      <c r="AS11" s="5063"/>
      <c r="AT11" s="5063"/>
      <c r="AU11" s="5063"/>
      <c r="AV11" s="5063"/>
      <c r="AW11" s="5063"/>
      <c r="AX11" s="5063"/>
      <c r="AY11" s="5063"/>
      <c r="AZ11" s="5063"/>
      <c r="BA11" s="5063"/>
      <c r="BB11" s="5063"/>
      <c r="BC11" s="5063"/>
      <c r="BD11" s="5063"/>
      <c r="BE11" s="5063"/>
      <c r="BF11" s="5063"/>
      <c r="DG11" s="2822"/>
      <c r="DJ11" s="2823"/>
    </row>
    <row r="12" spans="1:115" ht="12" customHeight="1" x14ac:dyDescent="0.2">
      <c r="A12" s="2814"/>
      <c r="B12" s="3070">
        <v>1</v>
      </c>
      <c r="C12" s="5105" t="str">
        <f>"Técnica "&amp;B12</f>
        <v>Técnica 1</v>
      </c>
      <c r="D12" s="5181" t="s">
        <v>9559</v>
      </c>
      <c r="E12" s="5182"/>
      <c r="F12" s="5182"/>
      <c r="G12" s="5182"/>
      <c r="H12" s="5182"/>
      <c r="I12" s="5182"/>
      <c r="J12" s="5182"/>
      <c r="K12" s="5182"/>
      <c r="L12" s="5182"/>
      <c r="M12" s="5182"/>
      <c r="N12" s="5183"/>
      <c r="O12" s="5161" t="s">
        <v>1597</v>
      </c>
      <c r="P12" s="5163">
        <v>1</v>
      </c>
      <c r="Q12" s="5134" t="s">
        <v>9646</v>
      </c>
      <c r="R12" s="5165"/>
      <c r="S12" s="5167" t="s">
        <v>1654</v>
      </c>
      <c r="T12" s="5135" t="s">
        <v>1780</v>
      </c>
      <c r="U12" s="5174">
        <f>MAX(IF(P12=3,60,IF(P12=2,40,20)),MIN(IF(P12=3,200,IF(P12=2,100,50)),SUM(M21:M23))-10*Y22+AC22+IF(S12="Si",10*P12,0)+IF(COUNTIF(K16:M20,"Mantenido")&gt;0,P12*10)+MAX(IF(COUNTIF(K16:M20,"Sostenimiento Menor")&gt;0,P12*20)+IF(COUNTIF(K16:M20,"Sostenimiento Mayor")&gt;0,P12*30)))</f>
        <v>20</v>
      </c>
      <c r="V12" s="5134" t="s">
        <v>9647</v>
      </c>
      <c r="W12" s="5135"/>
      <c r="X12" s="5138" t="str">
        <f>IFERROR(LEFT(AJ31&amp;AK31&amp;AL31&amp;AM31&amp;AN31&amp;AO31,LEN(AJ31&amp;AK31&amp;AL31&amp;AM31&amp;AN31&amp;AO31)-2),"")</f>
        <v/>
      </c>
      <c r="Y12" s="5138"/>
      <c r="Z12" s="5138"/>
      <c r="AA12" s="5138"/>
      <c r="AB12" s="5138"/>
      <c r="AC12" s="5138"/>
      <c r="AD12" s="5138"/>
      <c r="AE12" s="5138"/>
      <c r="AF12" s="5138"/>
      <c r="AG12" s="5139"/>
      <c r="AH12" s="2821"/>
      <c r="AI12" s="2814"/>
      <c r="AQ12" s="2816"/>
      <c r="AR12" s="2816"/>
      <c r="AS12" s="2816"/>
      <c r="AT12" s="2816"/>
      <c r="AU12" s="2816"/>
      <c r="AX12" s="2816"/>
      <c r="AY12" s="2816"/>
      <c r="AZ12" s="2824"/>
      <c r="DG12" s="2822"/>
      <c r="DJ12" s="2823"/>
    </row>
    <row r="13" spans="1:115" ht="12" customHeight="1" x14ac:dyDescent="0.2">
      <c r="A13" s="2814"/>
      <c r="B13" s="3070">
        <v>1</v>
      </c>
      <c r="C13" s="5106"/>
      <c r="D13" s="5184"/>
      <c r="E13" s="5185"/>
      <c r="F13" s="5185"/>
      <c r="G13" s="5185"/>
      <c r="H13" s="5185"/>
      <c r="I13" s="5185"/>
      <c r="J13" s="5185"/>
      <c r="K13" s="5185"/>
      <c r="L13" s="5185"/>
      <c r="M13" s="5185"/>
      <c r="N13" s="5186"/>
      <c r="O13" s="5162"/>
      <c r="P13" s="5164"/>
      <c r="Q13" s="5136"/>
      <c r="R13" s="5166"/>
      <c r="S13" s="5164"/>
      <c r="T13" s="5137"/>
      <c r="U13" s="5175"/>
      <c r="V13" s="5136"/>
      <c r="W13" s="5137"/>
      <c r="X13" s="5140"/>
      <c r="Y13" s="5140"/>
      <c r="Z13" s="5140"/>
      <c r="AA13" s="5140"/>
      <c r="AB13" s="5140"/>
      <c r="AC13" s="5140"/>
      <c r="AD13" s="5140"/>
      <c r="AE13" s="5140"/>
      <c r="AF13" s="5140"/>
      <c r="AG13" s="5141"/>
      <c r="AH13" s="2821"/>
      <c r="AI13" s="2814"/>
      <c r="AJ13" s="2947" t="s">
        <v>10240</v>
      </c>
      <c r="AQ13" s="2816"/>
      <c r="AR13" s="2816"/>
      <c r="AS13" s="2816"/>
      <c r="AT13" s="2816"/>
      <c r="AU13" s="2816"/>
      <c r="BA13" s="5063" t="s">
        <v>10254</v>
      </c>
      <c r="BB13" s="5063"/>
      <c r="DG13" s="2822"/>
      <c r="DJ13" s="2823"/>
    </row>
    <row r="14" spans="1:115" ht="12" customHeight="1" x14ac:dyDescent="0.2">
      <c r="A14" s="2814"/>
      <c r="B14" s="3070">
        <v>1</v>
      </c>
      <c r="C14" s="5106"/>
      <c r="D14" s="5069" t="s">
        <v>3223</v>
      </c>
      <c r="E14" s="5070"/>
      <c r="F14" s="5070"/>
      <c r="G14" s="5070"/>
      <c r="H14" s="5070"/>
      <c r="I14" s="5070"/>
      <c r="J14" s="5070"/>
      <c r="K14" s="5070" t="str">
        <f>"Mant / SMe / Sma"</f>
        <v>Mant / SMe / Sma</v>
      </c>
      <c r="L14" s="5070"/>
      <c r="M14" s="5070"/>
      <c r="N14" s="5070" t="s">
        <v>1774</v>
      </c>
      <c r="O14" s="5145" t="s">
        <v>3221</v>
      </c>
      <c r="P14" s="5145" t="s">
        <v>9648</v>
      </c>
      <c r="Q14" s="5070" t="s">
        <v>1637</v>
      </c>
      <c r="R14" s="5070"/>
      <c r="S14" s="5070"/>
      <c r="T14" s="5070"/>
      <c r="U14" s="5070"/>
      <c r="V14" s="5108" t="s">
        <v>1646</v>
      </c>
      <c r="W14" s="5109"/>
      <c r="X14" s="5108" t="s">
        <v>1772</v>
      </c>
      <c r="Y14" s="5110"/>
      <c r="Z14" s="5109" t="s">
        <v>1651</v>
      </c>
      <c r="AA14" s="5109"/>
      <c r="AB14" s="5108" t="s">
        <v>1656</v>
      </c>
      <c r="AC14" s="5110"/>
      <c r="AD14" s="5109" t="s">
        <v>1664</v>
      </c>
      <c r="AE14" s="5109"/>
      <c r="AF14" s="5108" t="s">
        <v>1665</v>
      </c>
      <c r="AG14" s="5111"/>
      <c r="AH14" s="2821"/>
      <c r="AI14" s="2814"/>
      <c r="AL14" s="2816" t="s">
        <v>9649</v>
      </c>
      <c r="AQ14" s="2816"/>
      <c r="AS14" s="3067" t="s">
        <v>3221</v>
      </c>
      <c r="AT14" s="2816" t="s">
        <v>10269</v>
      </c>
      <c r="AU14" s="2816" t="s">
        <v>10270</v>
      </c>
      <c r="AV14" s="2816" t="s">
        <v>9650</v>
      </c>
      <c r="AW14" s="2816" t="s">
        <v>9651</v>
      </c>
      <c r="AX14" s="2816" t="s">
        <v>10238</v>
      </c>
      <c r="AY14" s="2816" t="s">
        <v>10275</v>
      </c>
      <c r="AZ14" s="2818" t="s">
        <v>1774</v>
      </c>
      <c r="BA14" s="2818" t="s">
        <v>9652</v>
      </c>
      <c r="BB14" s="2816" t="s">
        <v>9653</v>
      </c>
      <c r="DG14" s="2822"/>
      <c r="DJ14" s="2823"/>
    </row>
    <row r="15" spans="1:115" ht="12" customHeight="1" x14ac:dyDescent="0.2">
      <c r="A15" s="2814"/>
      <c r="B15" s="3070">
        <v>1</v>
      </c>
      <c r="C15" s="5106"/>
      <c r="D15" s="5142"/>
      <c r="E15" s="5143"/>
      <c r="F15" s="5143"/>
      <c r="G15" s="5143"/>
      <c r="H15" s="5143"/>
      <c r="I15" s="5143"/>
      <c r="J15" s="5143"/>
      <c r="K15" s="5143"/>
      <c r="L15" s="5143"/>
      <c r="M15" s="5143"/>
      <c r="N15" s="5144"/>
      <c r="O15" s="5146"/>
      <c r="P15" s="5147"/>
      <c r="Q15" s="5144"/>
      <c r="R15" s="5144"/>
      <c r="S15" s="5144"/>
      <c r="T15" s="5144"/>
      <c r="U15" s="5144"/>
      <c r="V15" s="3058" t="s">
        <v>10248</v>
      </c>
      <c r="W15" s="3059" t="s">
        <v>3227</v>
      </c>
      <c r="X15" s="3058" t="s">
        <v>10248</v>
      </c>
      <c r="Y15" s="3059" t="s">
        <v>3227</v>
      </c>
      <c r="Z15" s="3058" t="s">
        <v>10248</v>
      </c>
      <c r="AA15" s="3059" t="s">
        <v>3227</v>
      </c>
      <c r="AB15" s="3058" t="s">
        <v>10248</v>
      </c>
      <c r="AC15" s="3059" t="s">
        <v>3227</v>
      </c>
      <c r="AD15" s="3058" t="s">
        <v>10248</v>
      </c>
      <c r="AE15" s="3059" t="s">
        <v>3227</v>
      </c>
      <c r="AF15" s="3058" t="s">
        <v>10248</v>
      </c>
      <c r="AG15" s="2825" t="s">
        <v>3227</v>
      </c>
      <c r="AH15" s="2821"/>
      <c r="AI15" s="2814"/>
      <c r="AK15" s="2816" t="s">
        <v>10261</v>
      </c>
      <c r="AL15" s="2816">
        <v>1</v>
      </c>
      <c r="AM15" s="2816">
        <v>2</v>
      </c>
      <c r="AN15" s="2816">
        <v>3</v>
      </c>
      <c r="AO15" s="2816">
        <v>4</v>
      </c>
      <c r="AP15" s="2816">
        <v>5</v>
      </c>
      <c r="AQ15" s="2816">
        <v>6</v>
      </c>
      <c r="AR15" s="2816">
        <v>7</v>
      </c>
      <c r="AS15" s="2816"/>
      <c r="AV15" s="2816"/>
      <c r="DJ15" s="2823"/>
    </row>
    <row r="16" spans="1:115" ht="12" customHeight="1" x14ac:dyDescent="0.2">
      <c r="A16" s="2814"/>
      <c r="B16" s="3070">
        <v>1</v>
      </c>
      <c r="C16" s="5106"/>
      <c r="D16" s="5124" t="s">
        <v>9654</v>
      </c>
      <c r="E16" s="5125"/>
      <c r="F16" s="5126"/>
      <c r="G16" s="5127"/>
      <c r="H16" s="5127"/>
      <c r="I16" s="5127"/>
      <c r="J16" s="5128"/>
      <c r="K16" s="5124" t="s">
        <v>1729</v>
      </c>
      <c r="L16" s="5129"/>
      <c r="M16" s="5125"/>
      <c r="N16" s="3066">
        <f>IF(AZ16&gt;0,IF(VLOOKUP(F16,'Tablas Técnicas'!$C$9:$L$81,10,0),MAX(5,AZ16-5),AZ16),0)</f>
        <v>0</v>
      </c>
      <c r="O16" s="3066" t="str">
        <f>V16+X16+Z16+AB16+AD16+AF16&amp;" / "&amp;AS16+AT16+AU16</f>
        <v>0 / 0</v>
      </c>
      <c r="P16" s="3066" t="str">
        <f>W16+Y16+AA16+AC16+AE16+AG16&amp;" / "&amp;IF(K16="Mantenido",SUMPRODUCT(INDEX('Tablas Técnicas'!$O$10:$X$639,,6),--(INDEX('Tablas Técnicas'!$O$10:$X$639,,1)=F16),--(ISNUMBER(MATCH(INDEX('Tablas Técnicas'!$O$10:$X$639,,2),$AL16:$AR16,0)))),0)</f>
        <v>0 / 0</v>
      </c>
      <c r="Q16" s="5130" t="str">
        <f>IFERROR(VLOOKUP(F16,'Tablas Técnicas'!$C$9:$H$81,5,FALSE),"")</f>
        <v/>
      </c>
      <c r="R16" s="5130"/>
      <c r="S16" s="5130"/>
      <c r="T16" s="5130"/>
      <c r="U16" s="5130"/>
      <c r="V16" s="2826"/>
      <c r="W16" s="2827"/>
      <c r="X16" s="2826"/>
      <c r="Y16" s="2828"/>
      <c r="Z16" s="2829"/>
      <c r="AA16" s="2827"/>
      <c r="AB16" s="2826"/>
      <c r="AC16" s="2828"/>
      <c r="AD16" s="2829"/>
      <c r="AE16" s="2827"/>
      <c r="AF16" s="2826"/>
      <c r="AG16" s="2830"/>
      <c r="AH16" s="2821"/>
      <c r="AI16" s="2814"/>
      <c r="AJ16" s="2816">
        <v>1</v>
      </c>
      <c r="AK16" s="2816">
        <f>P12</f>
        <v>1</v>
      </c>
      <c r="AL16" s="2816" t="str">
        <f>IF(INDEX($A$1:$AI$343,ROW($D$29)+($B16-1)*(ROW($D$63)-ROW($D$29))+Tablas!A$1-1,COLUMN($D$29)+($AJ16-1)*(COLUMN($J$29)-COLUMN($D$29)))="","",INDEX($A$1:$AI$343,ROW($D$29)+($B16-1)*(ROW($D$63)-ROW($D$29))+Tablas!A$1-1,COLUMN($D$29)+($AJ16-1)*(COLUMN($J$29)-COLUMN($D$29))))</f>
        <v/>
      </c>
      <c r="AM16" s="2816" t="str">
        <f>IF(INDEX($A$1:$AI$343,ROW($D$29)+($B16-1)*(ROW($D$63)-ROW($D$29))+Tablas!B$1-1,COLUMN($D$29)+($AJ16-1)*(COLUMN($J$29)-COLUMN($D$29)))="","",INDEX($A$1:$AI$343,ROW($D$29)+($B16-1)*(ROW($D$63)-ROW($D$29))+Tablas!B$1-1,COLUMN($D$29)+($AJ16-1)*(COLUMN($J$29)-COLUMN($D$29))))</f>
        <v/>
      </c>
      <c r="AN16" s="2816" t="str">
        <f>IF(INDEX($A$1:$AI$343,ROW($D$29)+($B16-1)*(ROW($D$63)-ROW($D$29))+Tablas!C$1-1,COLUMN($D$29)+($AJ16-1)*(COLUMN($J$29)-COLUMN($D$29)))="","",INDEX($A$1:$AI$343,ROW($D$29)+($B16-1)*(ROW($D$63)-ROW($D$29))+Tablas!C$1-1,COLUMN($D$29)+($AJ16-1)*(COLUMN($J$29)-COLUMN($D$29))))</f>
        <v/>
      </c>
      <c r="AO16" s="2816" t="str">
        <f>IF(INDEX($A$1:$AI$343,ROW($D$29)+($B16-1)*(ROW($D$63)-ROW($D$29))+Tablas!D$1-1,COLUMN($D$29)+($AJ16-1)*(COLUMN($J$29)-COLUMN($D$29)))="","",INDEX($A$1:$AI$343,ROW($D$29)+($B16-1)*(ROW($D$63)-ROW($D$29))+Tablas!D$1-1,COLUMN($D$29)+($AJ16-1)*(COLUMN($J$29)-COLUMN($D$29))))</f>
        <v/>
      </c>
      <c r="AP16" s="2816" t="str">
        <f>IF(INDEX($A$1:$AI$343,ROW($D$29)+($B16-1)*(ROW($D$63)-ROW($D$29))+Tablas!E$1-1,COLUMN($D$29)+($AJ16-1)*(COLUMN($J$29)-COLUMN($D$29)))="","",INDEX($A$1:$AI$343,ROW($D$29)+($B16-1)*(ROW($D$63)-ROW($D$29))+Tablas!E$1-1,COLUMN($D$29)+($AJ16-1)*(COLUMN($J$29)-COLUMN($D$29))))</f>
        <v/>
      </c>
      <c r="AQ16" s="2816" t="str">
        <f>IF(INDEX($A$1:$AI$343,ROW($D$29)+($B16-1)*(ROW($D$63)-ROW($D$29))+Tablas!F$1-1,COLUMN($D$29)+($AJ16-1)*(COLUMN($J$29)-COLUMN($D$29)))="","",INDEX($A$1:$AI$343,ROW($D$29)+($B16-1)*(ROW($D$63)-ROW($D$29))+Tablas!F$1-1,COLUMN($D$29)+($AJ16-1)*(COLUMN($J$29)-COLUMN($D$29))))</f>
        <v/>
      </c>
      <c r="AR16" s="2816" t="str">
        <f>IF(INDEX($A$1:$AI$343,ROW($D$29)+($B16-1)*(ROW($D$63)-ROW($D$29))+Tablas!G$1-1,COLUMN($D$29)+($AJ16-1)*(COLUMN($J$29)-COLUMN($D$29)))="","",INDEX($A$1:$AI$343,ROW($D$29)+($B16-1)*(ROW($D$63)-ROW($D$29))+Tablas!G$1-1,COLUMN($D$29)+($AJ16-1)*(COLUMN($J$29)-COLUMN($D$29))))</f>
        <v/>
      </c>
      <c r="AS16" s="3067">
        <f>SUMPRODUCT(INDEX('Tablas Técnicas'!$O$10:$X$639,,IF(D16="Primario",3,4)),--(INDEX('Tablas Técnicas'!$O$10:$X$639,,1)=F16),--(ISNUMBER(MATCH(INDEX('Tablas Técnicas'!$O$10:$X$639,,2),$AL16:$AR16,0))))+IF(AND(K16&lt;&gt;"-",K16&lt;&gt;""),SUMPRODUCT(INDEX('Tablas Técnicas'!$O$10:$X$639,,IF(K16="Mantenido",6,IF(K16="Sostenimiento menor",7,IF(K16="Sostenimiento mayor",8,0)))),--(INDEX('Tablas Técnicas'!$O$10:$X$639,,1)=F16),--(ISNUMBER(MATCH(INDEX('Tablas Técnicas'!$O$10:$X$639,,2),$AL16:$AR16,0)))),0)</f>
        <v>0</v>
      </c>
      <c r="AT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U16" s="3067">
        <f>(COUNTIF(AL16:AR16,"*Estado añadido:*")-1)*COUNTIF(AL16:AR16,"*Estado añadido:*")</f>
        <v>0</v>
      </c>
      <c r="AV16" s="2816" t="str">
        <f>IFERROR(IF(F16="Ataque Elemental",IF(NOT(ISNA(VLOOKUP(AL16,'Tablas Técnicas'!$Z$25:$Z$30,1,0))),AL16,"Variable"),VLOOKUP(F16,'Tablas Técnicas'!$C$9:$K$81,9,FALSE)),"")</f>
        <v/>
      </c>
      <c r="AW16" s="2818" t="b">
        <f>OR(AV16="",ISNUMBER(SEARCH($O21,AV16)),ISNUMBER(SEARCH($Q21,AV16)),ISNUMBER(SEARCH($O22,AV16)),ISNUMBER(SEARCH($Q22,AV16)),ISNUMBER(SEARCH($O23,AV16)),ISNUMBER(SEARCH($Q23,AV16)),)</f>
        <v>1</v>
      </c>
      <c r="AX16" s="2818" t="b">
        <f>AND(P12&gt;1,OR(MAX(I29:I35)=1,MAX(I29:I35)=2))</f>
        <v>0</v>
      </c>
      <c r="AY16" s="2816" t="b">
        <f>AND(D16="Primario",COUNTIF(D16:E20,"Primario")&gt;1)</f>
        <v>0</v>
      </c>
      <c r="AZ16" s="2818">
        <f>SUMPRODUCT(INDEX('Tablas Técnicas'!$O$10:$X$639,,5),--(INDEX('Tablas Técnicas'!$O$10:$X$639,,1)=F16),--(ISNUMBER(MATCH(INDEX('Tablas Técnicas'!$O$10:$X$639,,2),$AL16:$AR16,0))))</f>
        <v>0</v>
      </c>
      <c r="BA16" s="2816" t="str">
        <f>IF(F16="","",F16&amp;" ("&amp;IF(AL16="","",AL16&amp;", ")&amp;IF(AM16="","",AM16&amp;", ")&amp;IF(AN16="","",AN16&amp;", ")&amp;IF(AO16="","",AO16&amp;", ")&amp;IF(AP16="","",AP16&amp;", ")&amp;IF(AQ16="","",AQ16&amp;", ")&amp;IF(AR16="","",AR16&amp;", "))</f>
        <v/>
      </c>
      <c r="BB16" s="2818" t="str">
        <f t="shared" ref="BB16:BB20" si="0">IFERROR(LEFT(BA16,LEN(BA16)-2)&amp;"), ","")</f>
        <v/>
      </c>
      <c r="DJ16" s="2823"/>
    </row>
    <row r="17" spans="1:114" ht="12" customHeight="1" x14ac:dyDescent="0.2">
      <c r="A17" s="2814"/>
      <c r="B17" s="3070">
        <v>1</v>
      </c>
      <c r="C17" s="5106"/>
      <c r="D17" s="5090" t="s">
        <v>790</v>
      </c>
      <c r="E17" s="5091"/>
      <c r="F17" s="5112" t="s">
        <v>9678</v>
      </c>
      <c r="G17" s="5113"/>
      <c r="H17" s="5113"/>
      <c r="I17" s="5113"/>
      <c r="J17" s="5114"/>
      <c r="K17" s="5115" t="s">
        <v>1729</v>
      </c>
      <c r="L17" s="5116"/>
      <c r="M17" s="5117"/>
      <c r="N17" s="3057">
        <f>IF(AZ17&gt;0,IF(VLOOKUP(F17,'Tablas Técnicas'!$C$9:$L$81,10,0),MAX(5,AZ17-5),AZ17),0)</f>
        <v>0</v>
      </c>
      <c r="O17" s="3057" t="str">
        <f t="shared" ref="O17:O20" si="1">V17+X17+Z17+AB17+AD17+AF17&amp;" / "&amp;AS17+AT17</f>
        <v>0 / 0</v>
      </c>
      <c r="P17" s="3057" t="str">
        <f>W17+Y17+AA17+AC17+AE17+AG17&amp;" / "&amp;IF(K17="Mantenido",SUMPRODUCT(INDEX('Tablas Técnicas'!$O$10:$X$639,,6),--(INDEX('Tablas Técnicas'!$O$10:$X$639,,1)=F17),--(ISNUMBER(MATCH(INDEX('Tablas Técnicas'!$O$10:$X$639,,2),$AL17:$AR17,0)))),0)</f>
        <v>0 / 0</v>
      </c>
      <c r="Q17" s="5092" t="str">
        <f>IFERROR(VLOOKUP(F17,'Tablas Técnicas'!$C$9:$H$81,5,FALSE),"")</f>
        <v>DES (AGI+2, FUE+2, POD+2, VOL+3)</v>
      </c>
      <c r="R17" s="5092"/>
      <c r="S17" s="5092"/>
      <c r="T17" s="5092"/>
      <c r="U17" s="5092"/>
      <c r="V17" s="3063"/>
      <c r="W17" s="2831"/>
      <c r="X17" s="3063"/>
      <c r="Y17" s="3064"/>
      <c r="Z17" s="3028"/>
      <c r="AA17" s="2831"/>
      <c r="AB17" s="3063"/>
      <c r="AC17" s="3064"/>
      <c r="AD17" s="3028"/>
      <c r="AE17" s="2831"/>
      <c r="AF17" s="3063"/>
      <c r="AG17" s="2832"/>
      <c r="AH17" s="2821"/>
      <c r="AI17" s="2814"/>
      <c r="AJ17" s="2816">
        <v>2</v>
      </c>
      <c r="AK17" s="2816">
        <f>P12</f>
        <v>1</v>
      </c>
      <c r="AL17" s="2816" t="str">
        <f>IF(INDEX($A$1:$AI$343,ROW($D$29)+($B17-1)*(ROW($D$63)-ROW($D$29))+Tablas!A$1-1,COLUMN($D$29)+($AJ17-1)*(COLUMN($J$29)-COLUMN($D$29)))="","",INDEX($A$1:$AI$343,ROW($D$29)+($B17-1)*(ROW($D$63)-ROW($D$29))+Tablas!A$1-1,COLUMN($D$29)+($AJ17-1)*(COLUMN($J$29)-COLUMN($D$29))))</f>
        <v/>
      </c>
      <c r="AM17" s="2816" t="str">
        <f>IF(INDEX($A$1:$AI$343,ROW($D$29)+($B17-1)*(ROW($D$63)-ROW($D$29))+Tablas!B$1-1,COLUMN($D$29)+($AJ17-1)*(COLUMN($J$29)-COLUMN($D$29)))="","",INDEX($A$1:$AI$343,ROW($D$29)+($B17-1)*(ROW($D$63)-ROW($D$29))+Tablas!B$1-1,COLUMN($D$29)+($AJ17-1)*(COLUMN($J$29)-COLUMN($D$29))))</f>
        <v/>
      </c>
      <c r="AN17" s="2816" t="str">
        <f>IF(INDEX($A$1:$AI$343,ROW($D$29)+($B17-1)*(ROW($D$63)-ROW($D$29))+Tablas!C$1-1,COLUMN($D$29)+($AJ17-1)*(COLUMN($J$29)-COLUMN($D$29)))="","",INDEX($A$1:$AI$343,ROW($D$29)+($B17-1)*(ROW($D$63)-ROW($D$29))+Tablas!C$1-1,COLUMN($D$29)+($AJ17-1)*(COLUMN($J$29)-COLUMN($D$29))))</f>
        <v/>
      </c>
      <c r="AO17" s="2816" t="str">
        <f>IF(INDEX($A$1:$AI$343,ROW($D$29)+($B17-1)*(ROW($D$63)-ROW($D$29))+Tablas!D$1-1,COLUMN($D$29)+($AJ17-1)*(COLUMN($J$29)-COLUMN($D$29)))="","",INDEX($A$1:$AI$343,ROW($D$29)+($B17-1)*(ROW($D$63)-ROW($D$29))+Tablas!D$1-1,COLUMN($D$29)+($AJ17-1)*(COLUMN($J$29)-COLUMN($D$29))))</f>
        <v/>
      </c>
      <c r="AP17" s="2816" t="str">
        <f>IF(INDEX($A$1:$AI$343,ROW($D$29)+($B17-1)*(ROW($D$63)-ROW($D$29))+Tablas!E$1-1,COLUMN($D$29)+($AJ17-1)*(COLUMN($J$29)-COLUMN($D$29)))="","",INDEX($A$1:$AI$343,ROW($D$29)+($B17-1)*(ROW($D$63)-ROW($D$29))+Tablas!E$1-1,COLUMN($D$29)+($AJ17-1)*(COLUMN($J$29)-COLUMN($D$29))))</f>
        <v/>
      </c>
      <c r="AQ17" s="2816" t="str">
        <f>IF(INDEX($A$1:$AI$343,ROW($D$29)+($B17-1)*(ROW($D$63)-ROW($D$29))+Tablas!F$1-1,COLUMN($D$29)+($AJ17-1)*(COLUMN($J$29)-COLUMN($D$29)))="","",INDEX($A$1:$AI$343,ROW($D$29)+($B17-1)*(ROW($D$63)-ROW($D$29))+Tablas!F$1-1,COLUMN($D$29)+($AJ17-1)*(COLUMN($J$29)-COLUMN($D$29))))</f>
        <v/>
      </c>
      <c r="AR17" s="2816" t="str">
        <f>IF(INDEX($A$1:$AI$343,ROW($D$29)+($B17-1)*(ROW($D$63)-ROW($D$29))+Tablas!G$1-1,COLUMN($D$29)+($AJ17-1)*(COLUMN($J$29)-COLUMN($D$29)))="","",INDEX($A$1:$AI$343,ROW($D$29)+($B17-1)*(ROW($D$63)-ROW($D$29))+Tablas!G$1-1,COLUMN($D$29)+($AJ17-1)*(COLUMN($J$29)-COLUMN($D$29))))</f>
        <v/>
      </c>
      <c r="AS17" s="3067">
        <f>SUMPRODUCT(INDEX('Tablas Técnicas'!$O$10:$X$639,,IF(D17="Primario",3,4)),--(INDEX('Tablas Técnicas'!$O$10:$X$639,,1)=F17),--(ISNUMBER(MATCH(INDEX('Tablas Técnicas'!$O$10:$X$639,,2),$AL17:$AR17,0))))+IF(AND(K17&lt;&gt;"-",K17&lt;&gt;""),SUMPRODUCT(INDEX('Tablas Técnicas'!$O$10:$X$639,,IF(K17="Mantenido",6,IF(K17="Sostenimiento menor",7,IF(K17="Sostenimiento mayor",8,0)))),--(INDEX('Tablas Técnicas'!$O$10:$X$639,,1)=F17),--(ISNUMBER(MATCH(INDEX('Tablas Técnicas'!$O$10:$X$639,,2),$AL17:$AR17,0)))),0)</f>
        <v>0</v>
      </c>
      <c r="AT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U17" s="3067">
        <f t="shared" ref="AU17:AU20" si="2">(COUNTIF(AL17:AR17,"*Estado añadido:*")-1)*COUNTIF(AL17:AR17,"*Estado añadido:*")</f>
        <v>0</v>
      </c>
      <c r="AV17" s="2816" t="str">
        <f>IFERROR(IF(F17="Ataque Elemental",IF(NOT(ISNA(VLOOKUP(AL17,'Tablas Técnicas'!$Z$25:$Z$30,1,0))),AL17,"Variable"),VLOOKUP(F17,'Tablas Técnicas'!$C$9:$K$81,9,FALSE)),"")</f>
        <v>Aire, Fuego, Oscuridad</v>
      </c>
      <c r="AW17" s="2818" t="b">
        <f>OR(AX1="",OR(ISNUMBER(SEARCH($O21,AV17)),ISNUMBER(SEARCH($Q21,AV17)),ISNUMBER(SEARCH($O22,AV17)),ISNUMBER(SEARCH($Q22,AV17)),ISNUMBER(SEARCH($O23,AV17)),ISNUMBER(SEARCH($Q23,AV17)),))</f>
        <v>1</v>
      </c>
      <c r="AX17" s="2818" t="b">
        <f>AND(P12&gt;1,OR(MAX(O29:O35)=1,MAX(O29:O35)=2))</f>
        <v>0</v>
      </c>
      <c r="AY17" s="2816" t="b">
        <f>AND(D17="Primario",COUNTIF(D2:E16,"Primario")&gt;1)</f>
        <v>0</v>
      </c>
      <c r="AZ17" s="3067">
        <f>SUMPRODUCT(INDEX('Tablas Técnicas'!$O$10:$X$639,,5),--(INDEX('Tablas Técnicas'!$O$10:$X$639,,1)=F17),--(ISNUMBER(MATCH(INDEX('Tablas Técnicas'!$O$10:$X$639,,2),$AL17:$AR17,0))))</f>
        <v>0</v>
      </c>
      <c r="BA17" s="2816" t="str">
        <f>IF(F17="","",F17&amp;" ("&amp;IF(AL17="","",AL17&amp;", ")&amp;IF(AM17="","",AM17&amp;", ")&amp;IF(AN17="","",AN17&amp;", ")&amp;IF(AO17="","",AO17&amp;", ")&amp;IF(AP17="","",AP17&amp;", ")&amp;IF(AQ17="","",AQ17&amp;", ")&amp;IF(AR17="","",AR17&amp;", "))</f>
        <v>Habilidad de Ataque (</v>
      </c>
      <c r="BB17" s="2818" t="str">
        <f t="shared" si="0"/>
        <v xml:space="preserve">Habilidad de Ataque), </v>
      </c>
      <c r="DJ17" s="2823"/>
    </row>
    <row r="18" spans="1:114" ht="12" customHeight="1" x14ac:dyDescent="0.2">
      <c r="A18" s="2814"/>
      <c r="B18" s="3070">
        <v>1</v>
      </c>
      <c r="C18" s="5106"/>
      <c r="D18" s="5131" t="s">
        <v>790</v>
      </c>
      <c r="E18" s="5132"/>
      <c r="F18" s="5118" t="s">
        <v>9682</v>
      </c>
      <c r="G18" s="5119"/>
      <c r="H18" s="5119"/>
      <c r="I18" s="5119"/>
      <c r="J18" s="5120"/>
      <c r="K18" s="5121" t="s">
        <v>1729</v>
      </c>
      <c r="L18" s="5122"/>
      <c r="M18" s="5123"/>
      <c r="N18" s="3062">
        <f>IF(AZ18&gt;0,IF(VLOOKUP(F18,'Tablas Técnicas'!$C$9:$L$81,10,0),MAX(5,AZ18-5),AZ18),0)</f>
        <v>0</v>
      </c>
      <c r="O18" s="3062" t="str">
        <f t="shared" si="1"/>
        <v>0 / 0</v>
      </c>
      <c r="P18" s="3062" t="str">
        <f>W18+Y18+AA18+AC18+AE18+AG18&amp;" / "&amp;IF(K18="Mantenido",SUMPRODUCT(INDEX('Tablas Técnicas'!$O$10:$X$639,,6),--(INDEX('Tablas Técnicas'!$O$10:$X$639,,1)=F18),--(ISNUMBER(MATCH(INDEX('Tablas Técnicas'!$O$10:$X$639,,2),$AL18:$AR18,0)))),0)</f>
        <v>0 / 0</v>
      </c>
      <c r="Q18" s="5133" t="str">
        <f>IFERROR(VLOOKUP(F18,'Tablas Técnicas'!$C$9:$H$81,5,FALSE),"")</f>
        <v>DES (AGI+2, FUE+2, POD+2, VOL+3)</v>
      </c>
      <c r="R18" s="5133"/>
      <c r="S18" s="5133"/>
      <c r="T18" s="5133"/>
      <c r="U18" s="5133"/>
      <c r="V18" s="2833"/>
      <c r="W18" s="2834"/>
      <c r="X18" s="3060"/>
      <c r="Y18" s="3061"/>
      <c r="Z18" s="3029"/>
      <c r="AA18" s="2834"/>
      <c r="AB18" s="3060"/>
      <c r="AC18" s="3061"/>
      <c r="AD18" s="3029"/>
      <c r="AE18" s="2834"/>
      <c r="AF18" s="3060"/>
      <c r="AG18" s="2835"/>
      <c r="AH18" s="2821"/>
      <c r="AI18" s="2814"/>
      <c r="AJ18" s="2816">
        <v>3</v>
      </c>
      <c r="AK18" s="2816">
        <f>P12</f>
        <v>1</v>
      </c>
      <c r="AL18" s="2816" t="str">
        <f>IF(INDEX($A$1:$AI$343,ROW($D$29)+($B18-1)*(ROW($D$63)-ROW($D$29))+Tablas!A$1-1,COLUMN($D$29)+($AJ18-1)*(COLUMN($J$29)-COLUMN($D$29)))="","",INDEX($A$1:$AI$343,ROW($D$29)+($B18-1)*(ROW($D$63)-ROW($D$29))+Tablas!A$1-1,COLUMN($D$29)+($AJ18-1)*(COLUMN($J$29)-COLUMN($D$29))))</f>
        <v/>
      </c>
      <c r="AM18" s="2816" t="str">
        <f>IF(INDEX($A$1:$AI$343,ROW($D$29)+($B18-1)*(ROW($D$63)-ROW($D$29))+Tablas!B$1-1,COLUMN($D$29)+($AJ18-1)*(COLUMN($J$29)-COLUMN($D$29)))="","",INDEX($A$1:$AI$343,ROW($D$29)+($B18-1)*(ROW($D$63)-ROW($D$29))+Tablas!B$1-1,COLUMN($D$29)+($AJ18-1)*(COLUMN($J$29)-COLUMN($D$29))))</f>
        <v/>
      </c>
      <c r="AN18" s="2816" t="str">
        <f>IF(INDEX($A$1:$AI$343,ROW($D$29)+($B18-1)*(ROW($D$63)-ROW($D$29))+Tablas!C$1-1,COLUMN($D$29)+($AJ18-1)*(COLUMN($J$29)-COLUMN($D$29)))="","",INDEX($A$1:$AI$343,ROW($D$29)+($B18-1)*(ROW($D$63)-ROW($D$29))+Tablas!C$1-1,COLUMN($D$29)+($AJ18-1)*(COLUMN($J$29)-COLUMN($D$29))))</f>
        <v/>
      </c>
      <c r="AO18" s="2816" t="str">
        <f>IF(INDEX($A$1:$AI$343,ROW($D$29)+($B18-1)*(ROW($D$63)-ROW($D$29))+Tablas!D$1-1,COLUMN($D$29)+($AJ18-1)*(COLUMN($J$29)-COLUMN($D$29)))="","",INDEX($A$1:$AI$343,ROW($D$29)+($B18-1)*(ROW($D$63)-ROW($D$29))+Tablas!D$1-1,COLUMN($D$29)+($AJ18-1)*(COLUMN($J$29)-COLUMN($D$29))))</f>
        <v/>
      </c>
      <c r="AP18" s="2816" t="str">
        <f>IF(INDEX($A$1:$AI$343,ROW($D$29)+($B18-1)*(ROW($D$63)-ROW($D$29))+Tablas!E$1-1,COLUMN($D$29)+($AJ18-1)*(COLUMN($J$29)-COLUMN($D$29)))="","",INDEX($A$1:$AI$343,ROW($D$29)+($B18-1)*(ROW($D$63)-ROW($D$29))+Tablas!E$1-1,COLUMN($D$29)+($AJ18-1)*(COLUMN($J$29)-COLUMN($D$29))))</f>
        <v/>
      </c>
      <c r="AQ18" s="2816" t="str">
        <f>IF(INDEX($A$1:$AI$343,ROW($D$29)+($B18-1)*(ROW($D$63)-ROW($D$29))+Tablas!F$1-1,COLUMN($D$29)+($AJ18-1)*(COLUMN($J$29)-COLUMN($D$29)))="","",INDEX($A$1:$AI$343,ROW($D$29)+($B18-1)*(ROW($D$63)-ROW($D$29))+Tablas!F$1-1,COLUMN($D$29)+($AJ18-1)*(COLUMN($J$29)-COLUMN($D$29))))</f>
        <v/>
      </c>
      <c r="AR18" s="2816" t="str">
        <f>IF(INDEX($A$1:$AI$343,ROW($D$29)+($B18-1)*(ROW($D$63)-ROW($D$29))+Tablas!G$1-1,COLUMN($D$29)+($AJ18-1)*(COLUMN($J$29)-COLUMN($D$29)))="","",INDEX($A$1:$AI$343,ROW($D$29)+($B18-1)*(ROW($D$63)-ROW($D$29))+Tablas!G$1-1,COLUMN($D$29)+($AJ18-1)*(COLUMN($J$29)-COLUMN($D$29))))</f>
        <v/>
      </c>
      <c r="AS18" s="3067">
        <f>SUMPRODUCT(INDEX('Tablas Técnicas'!$O$10:$X$639,,IF(D18="Primario",3,4)),--(INDEX('Tablas Técnicas'!$O$10:$X$639,,1)=F18),--(ISNUMBER(MATCH(INDEX('Tablas Técnicas'!$O$10:$X$639,,2),$AL18:$AR18,0))))+IF(AND(K18&lt;&gt;"-",K18&lt;&gt;""),SUMPRODUCT(INDEX('Tablas Técnicas'!$O$10:$X$639,,IF(K18="Mantenido",6,IF(K18="Sostenimiento menor",7,IF(K18="Sostenimiento mayor",8,0)))),--(INDEX('Tablas Técnicas'!$O$10:$X$639,,1)=F18),--(ISNUMBER(MATCH(INDEX('Tablas Técnicas'!$O$10:$X$639,,2),$AL18:$AR18,0)))),0)</f>
        <v>0</v>
      </c>
      <c r="AT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U18" s="3067">
        <f t="shared" si="2"/>
        <v>0</v>
      </c>
      <c r="AV18" s="2816" t="str">
        <f>IFERROR(IF(F18="Ataque Elemental",IF(NOT(ISNA(VLOOKUP(AL18,'Tablas Técnicas'!$Z$25:$Z$30,1,0))),AL18,"Variable"),VLOOKUP(F18,'Tablas Técnicas'!$C$9:$K$81,9,FALSE)),"")</f>
        <v>Aire, Fuego, Oscuridad</v>
      </c>
      <c r="AW18" s="2818" t="b">
        <f>OR(AV18="",OR(ISNUMBER(SEARCH($O21,AV18)),ISNUMBER(SEARCH($Q21,AV18)),ISNUMBER(SEARCH($O22,AV18)),ISNUMBER(SEARCH($Q22,AV18)),ISNUMBER(SEARCH($O23,AV18)),ISNUMBER(SEARCH($Q23,AV18)),))</f>
        <v>1</v>
      </c>
      <c r="AX18" s="2818" t="b">
        <f>AND(P12&gt;1,OR(MAX(U29:U35)=1,MAX(U29:U35)=2))</f>
        <v>0</v>
      </c>
      <c r="AY18" s="2816" t="b">
        <f>AND(D18="Primario",COUNTIF(D16:E20,"Primario")&gt;1)</f>
        <v>0</v>
      </c>
      <c r="AZ18" s="3067">
        <f>SUMPRODUCT(INDEX('Tablas Técnicas'!$O$10:$X$639,,5),--(INDEX('Tablas Técnicas'!$O$10:$X$639,,1)=F18),--(ISNUMBER(MATCH(INDEX('Tablas Técnicas'!$O$10:$X$639,,2),$AL18:$AR18,0))))</f>
        <v>0</v>
      </c>
      <c r="BA18" s="2816" t="str">
        <f>IF(F18="","",F18&amp;" ("&amp;IF(AL18="","",AL18&amp;", ")&amp;IF(AM18="","",AM18&amp;", ")&amp;IF(AN18="","",AN18&amp;", ")&amp;IF(AO18="","",AO18&amp;", ")&amp;IF(AP18="","",AP18&amp;", ")&amp;IF(AQ18="","",AQ18&amp;", ")&amp;IF(AR18="","",AR18&amp;", "))</f>
        <v>Habilidad de Ataque Completa (</v>
      </c>
      <c r="BB18" s="2818" t="str">
        <f t="shared" si="0"/>
        <v xml:space="preserve">Habilidad de Ataque Completa), </v>
      </c>
      <c r="DJ18" s="2823"/>
    </row>
    <row r="19" spans="1:114" ht="12" customHeight="1" x14ac:dyDescent="0.2">
      <c r="A19" s="2814"/>
      <c r="B19" s="3070">
        <v>1</v>
      </c>
      <c r="C19" s="5106"/>
      <c r="D19" s="5090" t="s">
        <v>790</v>
      </c>
      <c r="E19" s="5091"/>
      <c r="F19" s="5112"/>
      <c r="G19" s="5113"/>
      <c r="H19" s="5113"/>
      <c r="I19" s="5113"/>
      <c r="J19" s="5114"/>
      <c r="K19" s="5115" t="s">
        <v>1729</v>
      </c>
      <c r="L19" s="5116"/>
      <c r="M19" s="5117"/>
      <c r="N19" s="3057">
        <f>IF(AZ19&gt;0,IF(VLOOKUP(F19,'Tablas Técnicas'!$C$9:$L$81,10,0),MAX(5,AZ19-5),AZ19),0)</f>
        <v>0</v>
      </c>
      <c r="O19" s="3057" t="str">
        <f t="shared" si="1"/>
        <v>0 / 0</v>
      </c>
      <c r="P19" s="3057" t="str">
        <f>W19+Y19+AA19+AC19+AE19+AG19&amp;" / "&amp;IF(K19="Mantenido",SUMPRODUCT(INDEX('Tablas Técnicas'!$O$10:$X$639,,6),--(INDEX('Tablas Técnicas'!$O$10:$X$639,,1)=F19),--(ISNUMBER(MATCH(INDEX('Tablas Técnicas'!$O$10:$X$639,,2),$AL19:$AR19,0)))),0)</f>
        <v>0 / 0</v>
      </c>
      <c r="Q19" s="5092" t="str">
        <f>IFERROR(VLOOKUP(F19,'Tablas Técnicas'!$C$9:$H$81,5,FALSE),"")</f>
        <v/>
      </c>
      <c r="R19" s="5092"/>
      <c r="S19" s="5092"/>
      <c r="T19" s="5092"/>
      <c r="U19" s="5092"/>
      <c r="V19" s="3063"/>
      <c r="W19" s="2831"/>
      <c r="X19" s="3063"/>
      <c r="Y19" s="3064"/>
      <c r="Z19" s="3028"/>
      <c r="AA19" s="2831"/>
      <c r="AB19" s="3063"/>
      <c r="AC19" s="3064"/>
      <c r="AD19" s="3028"/>
      <c r="AE19" s="2831"/>
      <c r="AF19" s="3063"/>
      <c r="AG19" s="2832"/>
      <c r="AH19" s="2821"/>
      <c r="AI19" s="2814"/>
      <c r="AJ19" s="2816">
        <v>4</v>
      </c>
      <c r="AK19" s="2816">
        <f>P12</f>
        <v>1</v>
      </c>
      <c r="AL19" s="2816" t="str">
        <f>IF(INDEX($A$1:$AI$343,ROW($D$29)+($B19-1)*(ROW($D$63)-ROW($D$29))+Tablas!A$1-1,COLUMN($D$29)+($AJ19-1)*(COLUMN($J$29)-COLUMN($D$29)))="","",INDEX($A$1:$AI$343,ROW($D$29)+($B19-1)*(ROW($D$63)-ROW($D$29))+Tablas!A$1-1,COLUMN($D$29)+($AJ19-1)*(COLUMN($J$29)-COLUMN($D$29))))</f>
        <v/>
      </c>
      <c r="AM19" s="2816" t="str">
        <f>IF(INDEX($A$1:$AI$343,ROW($D$29)+($B19-1)*(ROW($D$63)-ROW($D$29))+Tablas!B$1-1,COLUMN($D$29)+($AJ19-1)*(COLUMN($J$29)-COLUMN($D$29)))="","",INDEX($A$1:$AI$343,ROW($D$29)+($B19-1)*(ROW($D$63)-ROW($D$29))+Tablas!B$1-1,COLUMN($D$29)+($AJ19-1)*(COLUMN($J$29)-COLUMN($D$29))))</f>
        <v/>
      </c>
      <c r="AN19" s="2816" t="str">
        <f>IF(INDEX($A$1:$AI$343,ROW($D$29)+($B19-1)*(ROW($D$63)-ROW($D$29))+Tablas!C$1-1,COLUMN($D$29)+($AJ19-1)*(COLUMN($J$29)-COLUMN($D$29)))="","",INDEX($A$1:$AI$343,ROW($D$29)+($B19-1)*(ROW($D$63)-ROW($D$29))+Tablas!C$1-1,COLUMN($D$29)+($AJ19-1)*(COLUMN($J$29)-COLUMN($D$29))))</f>
        <v/>
      </c>
      <c r="AO19" s="2816" t="str">
        <f>IF(INDEX($A$1:$AI$343,ROW($D$29)+($B19-1)*(ROW($D$63)-ROW($D$29))+Tablas!D$1-1,COLUMN($D$29)+($AJ19-1)*(COLUMN($J$29)-COLUMN($D$29)))="","",INDEX($A$1:$AI$343,ROW($D$29)+($B19-1)*(ROW($D$63)-ROW($D$29))+Tablas!D$1-1,COLUMN($D$29)+($AJ19-1)*(COLUMN($J$29)-COLUMN($D$29))))</f>
        <v/>
      </c>
      <c r="AP19" s="2816" t="str">
        <f>IF(INDEX($A$1:$AI$343,ROW($D$29)+($B19-1)*(ROW($D$63)-ROW($D$29))+Tablas!E$1-1,COLUMN($D$29)+($AJ19-1)*(COLUMN($J$29)-COLUMN($D$29)))="","",INDEX($A$1:$AI$343,ROW($D$29)+($B19-1)*(ROW($D$63)-ROW($D$29))+Tablas!E$1-1,COLUMN($D$29)+($AJ19-1)*(COLUMN($J$29)-COLUMN($D$29))))</f>
        <v/>
      </c>
      <c r="AQ19" s="2816" t="str">
        <f>IF(INDEX($A$1:$AI$343,ROW($D$29)+($B19-1)*(ROW($D$63)-ROW($D$29))+Tablas!F$1-1,COLUMN($D$29)+($AJ19-1)*(COLUMN($J$29)-COLUMN($D$29)))="","",INDEX($A$1:$AI$343,ROW($D$29)+($B19-1)*(ROW($D$63)-ROW($D$29))+Tablas!F$1-1,COLUMN($D$29)+($AJ19-1)*(COLUMN($J$29)-COLUMN($D$29))))</f>
        <v/>
      </c>
      <c r="AR19" s="2816" t="str">
        <f>IF(INDEX($A$1:$AI$343,ROW($D$29)+($B19-1)*(ROW($D$63)-ROW($D$29))+Tablas!G$1-1,COLUMN($D$29)+($AJ19-1)*(COLUMN($J$29)-COLUMN($D$29)))="","",INDEX($A$1:$AI$343,ROW($D$29)+($B19-1)*(ROW($D$63)-ROW($D$29))+Tablas!G$1-1,COLUMN($D$29)+($AJ19-1)*(COLUMN($J$29)-COLUMN($D$29))))</f>
        <v/>
      </c>
      <c r="AS19" s="3067">
        <f>SUMPRODUCT(INDEX('Tablas Técnicas'!$O$10:$X$639,,IF(D19="Primario",3,4)),--(INDEX('Tablas Técnicas'!$O$10:$X$639,,1)=F19),--(ISNUMBER(MATCH(INDEX('Tablas Técnicas'!$O$10:$X$639,,2),$AL19:$AR19,0))))+IF(AND(K19&lt;&gt;"-",K19&lt;&gt;""),SUMPRODUCT(INDEX('Tablas Técnicas'!$O$10:$X$639,,IF(K19="Mantenido",6,IF(K19="Sostenimiento menor",7,IF(K19="Sostenimiento mayor",8,0)))),--(INDEX('Tablas Técnicas'!$O$10:$X$639,,1)=F19),--(ISNUMBER(MATCH(INDEX('Tablas Técnicas'!$O$10:$X$639,,2),$AL19:$AR19,0)))),0)</f>
        <v>0</v>
      </c>
      <c r="AT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U19" s="3067">
        <f t="shared" si="2"/>
        <v>0</v>
      </c>
      <c r="AV19" s="2816" t="str">
        <f>IFERROR(IF(F19="Ataque Elemental",IF(NOT(ISNA(VLOOKUP(AL19,'Tablas Técnicas'!$Z$25:$Z$30,1,0))),AL19,"Variable"),VLOOKUP(F19,'Tablas Técnicas'!$C$9:$K$81,9,FALSE)),"")</f>
        <v/>
      </c>
      <c r="AW19" s="2818" t="b">
        <f>OR(AV19="",OR(ISNUMBER(SEARCH($O21,AV19)),ISNUMBER(SEARCH($Q21,AV19)),ISNUMBER(SEARCH($O22,AV19)),ISNUMBER(SEARCH($Q22,AV19)),ISNUMBER(SEARCH($O23,AV19)),ISNUMBER(SEARCH($Q23,AV19)),))</f>
        <v>1</v>
      </c>
      <c r="AX19" s="2818" t="b">
        <f>AND(P12&gt;1,OR(MAX(AA29:AA35)=1,MAX(AA29:AA35)=2))</f>
        <v>0</v>
      </c>
      <c r="AY19" s="2816" t="b">
        <f>AND(D19="Primario",COUNTIF(D16:E20,"Primario")&gt;1)</f>
        <v>0</v>
      </c>
      <c r="AZ19" s="3067">
        <f>SUMPRODUCT(INDEX('Tablas Técnicas'!$O$10:$X$639,,5),--(INDEX('Tablas Técnicas'!$O$10:$X$639,,1)=F19),--(ISNUMBER(MATCH(INDEX('Tablas Técnicas'!$O$10:$X$639,,2),$AL19:$AR19,0))))</f>
        <v>0</v>
      </c>
      <c r="BA19" s="2816" t="str">
        <f>IF(F19="","",F19&amp;" ("&amp;IF(AL19="","",AL19&amp;", ")&amp;IF(AM19="","",AM19&amp;", ")&amp;IF(AN19="","",AN19&amp;", ")&amp;IF(AO19="","",AO19&amp;", ")&amp;IF(AP19="","",AP19&amp;", ")&amp;IF(AQ19="","",AQ19&amp;", ")&amp;IF(AR19="","",AR19&amp;", "))</f>
        <v/>
      </c>
      <c r="BB19" s="2818" t="str">
        <f>IFERROR(LEFT(BA19,LEN(BA19)-2)&amp;"), ","")</f>
        <v/>
      </c>
      <c r="DJ19" s="2823"/>
    </row>
    <row r="20" spans="1:114" ht="12" customHeight="1" x14ac:dyDescent="0.2">
      <c r="A20" s="2814"/>
      <c r="B20" s="3070">
        <v>1</v>
      </c>
      <c r="C20" s="5106"/>
      <c r="D20" s="5093" t="s">
        <v>790</v>
      </c>
      <c r="E20" s="5094"/>
      <c r="F20" s="5084"/>
      <c r="G20" s="5085"/>
      <c r="H20" s="5085"/>
      <c r="I20" s="5085"/>
      <c r="J20" s="5086"/>
      <c r="K20" s="5087" t="s">
        <v>1729</v>
      </c>
      <c r="L20" s="5088"/>
      <c r="M20" s="5089"/>
      <c r="N20" s="3065">
        <f>IF(AZ20&gt;0,IF(VLOOKUP(F20,'Tablas Técnicas'!$C$9:$L$81,10,0),MAX(5,AZ20-5),AZ20),0)</f>
        <v>0</v>
      </c>
      <c r="O20" s="3065" t="str">
        <f t="shared" si="1"/>
        <v>0 / 0</v>
      </c>
      <c r="P20" s="3065" t="str">
        <f>W20+Y20+AA20+AC20+AE20+AG20&amp;" / "&amp;IF(K20="Mantenido",SUMPRODUCT(INDEX('Tablas Técnicas'!$O$10:$X$639,,6),--(INDEX('Tablas Técnicas'!$O$10:$X$639,,1)=F20),--(ISNUMBER(MATCH(INDEX('Tablas Técnicas'!$O$10:$X$639,,2),$AL20:$AR20,0)))),0)</f>
        <v>0 / 0</v>
      </c>
      <c r="Q20" s="5095" t="str">
        <f>IFERROR(VLOOKUP(F20,'Tablas Técnicas'!$C$9:$H$81,5,FALSE),"")</f>
        <v/>
      </c>
      <c r="R20" s="5095"/>
      <c r="S20" s="5095"/>
      <c r="T20" s="5095"/>
      <c r="U20" s="5095"/>
      <c r="V20" s="2836"/>
      <c r="W20" s="2837"/>
      <c r="X20" s="2836"/>
      <c r="Y20" s="2838"/>
      <c r="Z20" s="2839"/>
      <c r="AA20" s="2837"/>
      <c r="AB20" s="2836"/>
      <c r="AC20" s="2838"/>
      <c r="AD20" s="2839"/>
      <c r="AE20" s="2837"/>
      <c r="AF20" s="2836"/>
      <c r="AG20" s="2840"/>
      <c r="AH20" s="2821"/>
      <c r="AI20" s="2814"/>
      <c r="AJ20" s="2816">
        <v>5</v>
      </c>
      <c r="AK20" s="2816">
        <f>P12</f>
        <v>1</v>
      </c>
      <c r="AL20" s="2816" t="str">
        <f>IF(INDEX($A$1:$AI$343,ROW($D$29)+($B20-1)*(ROW($D$63)-ROW($D$29))+Tablas!A$1-1,COLUMN($D$29)+($AJ20-1)*(COLUMN($J$29)-COLUMN($D$29)))="","",INDEX($A$1:$AI$343,ROW($D$29)+($B20-1)*(ROW($D$63)-ROW($D$29))+Tablas!A$1-1,COLUMN($D$29)+($AJ20-1)*(COLUMN($J$29)-COLUMN($D$29))))</f>
        <v/>
      </c>
      <c r="AM20" s="2816" t="str">
        <f>IF(INDEX($A$1:$AI$343,ROW($D$29)+($B20-1)*(ROW($D$63)-ROW($D$29))+Tablas!B$1-1,COLUMN($D$29)+($AJ20-1)*(COLUMN($J$29)-COLUMN($D$29)))="","",INDEX($A$1:$AI$343,ROW($D$29)+($B20-1)*(ROW($D$63)-ROW($D$29))+Tablas!B$1-1,COLUMN($D$29)+($AJ20-1)*(COLUMN($J$29)-COLUMN($D$29))))</f>
        <v/>
      </c>
      <c r="AN20" s="2816" t="str">
        <f>IF(INDEX($A$1:$AI$343,ROW($D$29)+($B20-1)*(ROW($D$63)-ROW($D$29))+Tablas!C$1-1,COLUMN($D$29)+($AJ20-1)*(COLUMN($J$29)-COLUMN($D$29)))="","",INDEX($A$1:$AI$343,ROW($D$29)+($B20-1)*(ROW($D$63)-ROW($D$29))+Tablas!C$1-1,COLUMN($D$29)+($AJ20-1)*(COLUMN($J$29)-COLUMN($D$29))))</f>
        <v/>
      </c>
      <c r="AO20" s="2816" t="str">
        <f>IF(INDEX($A$1:$AI$343,ROW($D$29)+($B20-1)*(ROW($D$63)-ROW($D$29))+Tablas!D$1-1,COLUMN($D$29)+($AJ20-1)*(COLUMN($J$29)-COLUMN($D$29)))="","",INDEX($A$1:$AI$343,ROW($D$29)+($B20-1)*(ROW($D$63)-ROW($D$29))+Tablas!D$1-1,COLUMN($D$29)+($AJ20-1)*(COLUMN($J$29)-COLUMN($D$29))))</f>
        <v/>
      </c>
      <c r="AP20" s="2816" t="str">
        <f>IF(INDEX($A$1:$AI$343,ROW($D$29)+($B20-1)*(ROW($D$63)-ROW($D$29))+Tablas!E$1-1,COLUMN($D$29)+($AJ20-1)*(COLUMN($J$29)-COLUMN($D$29)))="","",INDEX($A$1:$AI$343,ROW($D$29)+($B20-1)*(ROW($D$63)-ROW($D$29))+Tablas!E$1-1,COLUMN($D$29)+($AJ20-1)*(COLUMN($J$29)-COLUMN($D$29))))</f>
        <v/>
      </c>
      <c r="AQ20" s="2816" t="str">
        <f>IF(INDEX($A$1:$AI$343,ROW($D$29)+($B20-1)*(ROW($D$63)-ROW($D$29))+Tablas!F$1-1,COLUMN($D$29)+($AJ20-1)*(COLUMN($J$29)-COLUMN($D$29)))="","",INDEX($A$1:$AI$343,ROW($D$29)+($B20-1)*(ROW($D$63)-ROW($D$29))+Tablas!F$1-1,COLUMN($D$29)+($AJ20-1)*(COLUMN($J$29)-COLUMN($D$29))))</f>
        <v/>
      </c>
      <c r="AR20" s="2816" t="str">
        <f>IF(INDEX($A$1:$AI$343,ROW($D$29)+($B20-1)*(ROW($D$63)-ROW($D$29))+Tablas!G$1-1,COLUMN($D$29)+($AJ20-1)*(COLUMN($J$29)-COLUMN($D$29)))="","",INDEX($A$1:$AI$343,ROW($D$29)+($B20-1)*(ROW($D$63)-ROW($D$29))+Tablas!G$1-1,COLUMN($D$29)+($AJ20-1)*(COLUMN($J$29)-COLUMN($D$29))))</f>
        <v/>
      </c>
      <c r="AS20" s="3067">
        <f>SUMPRODUCT(INDEX('Tablas Técnicas'!$O$10:$X$639,,IF(D20="Primario",3,4)),--(INDEX('Tablas Técnicas'!$O$10:$X$639,,1)=F20),--(ISNUMBER(MATCH(INDEX('Tablas Técnicas'!$O$10:$X$639,,2),$AL20:$AR20,0))))+IF(AND(K20&lt;&gt;"-",K20&lt;&gt;""),SUMPRODUCT(INDEX('Tablas Técnicas'!$O$10:$X$639,,IF(K20="Mantenido",6,IF(K20="Sostenimiento menor",7,IF(K20="Sostenimiento mayor",8,0)))),--(INDEX('Tablas Técnicas'!$O$10:$X$639,,1)=F20),--(ISNUMBER(MATCH(INDEX('Tablas Técnicas'!$O$10:$X$639,,2),$AL20:$AR20,0)))),0)</f>
        <v>0</v>
      </c>
      <c r="AT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U20" s="3067">
        <f t="shared" si="2"/>
        <v>0</v>
      </c>
      <c r="AV20" s="2816" t="str">
        <f>IFERROR(IF(F20="Ataque Elemental",IF(NOT(ISNA(VLOOKUP(AL20,'Tablas Técnicas'!$Z$25:$Z$30,1,0))),AL20,"Variable"),VLOOKUP(F20,'Tablas Técnicas'!$C$9:$K$81,9,FALSE)),"")</f>
        <v/>
      </c>
      <c r="AW20" s="2818" t="b">
        <f>OR(AV20="",OR(ISNUMBER(SEARCH($O21,AV20)),ISNUMBER(SEARCH($Q21,AV20)),ISNUMBER(SEARCH($O22,AV20)),ISNUMBER(SEARCH($Q22,AV20)),ISNUMBER(SEARCH($O23,AV20)),ISNUMBER(SEARCH($Q23,AV20)),))</f>
        <v>1</v>
      </c>
      <c r="AX20" s="2949" t="b">
        <f>AND(P12&gt;1,OR(MAX(AG29:AG35)=1,MAX(AG29:AG35)=2))</f>
        <v>0</v>
      </c>
      <c r="AY20" s="2816" t="b">
        <f>AND(D20="Primario",COUNTIF(D16:E20,"Primario")&gt;1)</f>
        <v>0</v>
      </c>
      <c r="AZ20" s="3067">
        <f>SUMPRODUCT(INDEX('Tablas Técnicas'!$O$10:$X$639,,5),--(INDEX('Tablas Técnicas'!$O$10:$X$639,,1)=F20),--(ISNUMBER(MATCH(INDEX('Tablas Técnicas'!$O$10:$X$639,,2),$AL20:$AR20,0))))</f>
        <v>0</v>
      </c>
      <c r="BA20" s="2816" t="str">
        <f>IF(F20="","",F20&amp;" ("&amp;IF(AL20="","",AL20&amp;", ")&amp;IF(AM20="","",AM20&amp;", ")&amp;IF(AN20="","",AN20&amp;", ")&amp;IF(AO20="","",AO20&amp;", ")&amp;IF(AP20="","",AP20&amp;", ")&amp;IF(AQ20="","",AQ20&amp;", ")&amp;IF(AR20="","",AR20&amp;", "))</f>
        <v/>
      </c>
      <c r="BB20" s="2818" t="str">
        <f t="shared" si="0"/>
        <v/>
      </c>
      <c r="DJ20" s="2823"/>
    </row>
    <row r="21" spans="1:114" ht="12" customHeight="1" x14ac:dyDescent="0.2">
      <c r="A21" s="2814"/>
      <c r="B21" s="3070">
        <v>1</v>
      </c>
      <c r="C21" s="5106"/>
      <c r="D21" s="5096" t="s">
        <v>3218</v>
      </c>
      <c r="E21" s="5097"/>
      <c r="F21" s="5102" t="s">
        <v>9655</v>
      </c>
      <c r="G21" s="5103"/>
      <c r="H21" s="5103"/>
      <c r="I21" s="5103"/>
      <c r="J21" s="5104"/>
      <c r="K21" s="5128" t="s">
        <v>9861</v>
      </c>
      <c r="L21" s="5176"/>
      <c r="M21" s="5177"/>
      <c r="N21" s="2841">
        <f>IF(F21="","",SUMPRODUCT(--(INDEX('Tablas Técnicas'!$C$114:$F$200,,1)=F21),--(INDEX('Tablas Técnicas'!$C$114:$F$200,,2)=K21),INDEX('Tablas Técnicas'!$C$114:$F$200,,3)))</f>
        <v>-15</v>
      </c>
      <c r="O21" s="5178" t="s">
        <v>1878</v>
      </c>
      <c r="P21" s="5179"/>
      <c r="Q21" s="5180"/>
      <c r="R21" s="5179"/>
      <c r="S21" s="3066" t="str">
        <f>IF(K21="","","Nivel: "&amp;MAX(1,SUMPRODUCT(--(INDEX('Tablas Técnicas'!$C$114:$F$200,,1)=F21),--(INDEX('Tablas Técnicas'!$C$114:$F$200,,2)=K21),INDEX('Tablas Técnicas'!$C$114:$F$200,,4))))</f>
        <v>Nivel: 1</v>
      </c>
      <c r="T21" s="2842"/>
      <c r="U21" s="2843" t="str">
        <f>IFERROR("("&amp;VLOOKUP(F21,'Tablas Técnicas'!$C$86:$E$108,3,FALSE)&amp;")","")</f>
        <v>(Cualquiera)</v>
      </c>
      <c r="V21" s="5195" t="s">
        <v>10245</v>
      </c>
      <c r="W21" s="5196"/>
      <c r="X21" s="5196"/>
      <c r="Y21" s="5196"/>
      <c r="Z21" s="5196"/>
      <c r="AA21" s="5196"/>
      <c r="AB21" s="5196"/>
      <c r="AC21" s="5196"/>
      <c r="AD21" s="5196"/>
      <c r="AE21" s="5196"/>
      <c r="AF21" s="5196"/>
      <c r="AG21" s="5197"/>
      <c r="AH21" s="2821"/>
      <c r="AI21" s="2814"/>
      <c r="AJ21" s="2816">
        <v>1</v>
      </c>
      <c r="AK21" s="2816">
        <f>P12</f>
        <v>1</v>
      </c>
      <c r="AL21" s="2816" t="str">
        <f>VLOOKUP(F21,'Tablas Técnicas'!$C$86:$E$108,2,FALSE)</f>
        <v>'Tablas Técnicas'!$D$119:$D$120</v>
      </c>
      <c r="AN21" s="2817"/>
      <c r="AR21" s="2816"/>
      <c r="AS21" s="2816"/>
      <c r="AT21" s="2816"/>
      <c r="AU21" s="2816"/>
      <c r="AW21" s="2818" t="b">
        <f>F21="Atadura Elemental"</f>
        <v>1</v>
      </c>
      <c r="BB21" s="2816" t="str">
        <f>IF(F21="","",F21&amp;IF(K21="",""," ("&amp;IF(F21="Atadura Elemental",O21&amp;IF(Q21="","",", "&amp;Q21),K21)&amp;")")&amp;", ")</f>
        <v xml:space="preserve">Atadura Elemental (Aire), </v>
      </c>
      <c r="DJ21" s="2823"/>
    </row>
    <row r="22" spans="1:114" ht="12" customHeight="1" x14ac:dyDescent="0.2">
      <c r="A22" s="2814"/>
      <c r="B22" s="3070">
        <v>1</v>
      </c>
      <c r="C22" s="5106"/>
      <c r="D22" s="5098"/>
      <c r="E22" s="5099"/>
      <c r="F22" s="5171"/>
      <c r="G22" s="5172"/>
      <c r="H22" s="5172"/>
      <c r="I22" s="5172"/>
      <c r="J22" s="5173"/>
      <c r="K22" s="5114"/>
      <c r="L22" s="5156"/>
      <c r="M22" s="5157"/>
      <c r="N22" s="2844" t="str">
        <f>IF(F22="","",SUMPRODUCT(--(INDEX('Tablas Técnicas'!$C$114:$F$200,,1)=F22),--(INDEX('Tablas Técnicas'!$C$114:$F$200,,2)=K22),INDEX('Tablas Técnicas'!$C$114:$F$200,,3)))</f>
        <v/>
      </c>
      <c r="O22" s="5158"/>
      <c r="P22" s="5159"/>
      <c r="Q22" s="5160"/>
      <c r="R22" s="5159"/>
      <c r="S22" s="3057" t="str">
        <f>IF(K22="","","Nivel: "&amp;MAX(1,SUMPRODUCT(--(INDEX('Tablas Técnicas'!$C$114:$F$200,,1)=F22),--(INDEX('Tablas Técnicas'!$C$114:$F$200,,2)=K22),INDEX('Tablas Técnicas'!$C$114:$F$200,,4))))</f>
        <v/>
      </c>
      <c r="T22" s="3015"/>
      <c r="U22" s="3016" t="str">
        <f>IFERROR("("&amp;VLOOKUP(F22,'Tablas Técnicas'!$C$86:$E$108,3,FALSE)&amp;")","")</f>
        <v/>
      </c>
      <c r="V22" s="5198" t="s">
        <v>9659</v>
      </c>
      <c r="W22" s="5199"/>
      <c r="X22" s="5200"/>
      <c r="Y22" s="3025">
        <v>0</v>
      </c>
      <c r="Z22" s="5201" t="s">
        <v>9660</v>
      </c>
      <c r="AA22" s="5202"/>
      <c r="AB22" s="5203"/>
      <c r="AC22" s="3025">
        <v>0</v>
      </c>
      <c r="AD22" s="5204" t="str">
        <f>"Ki repartido / total: "&amp;AL33&amp;IF(AM32=0,""," ("&amp;AM32&amp;")")&amp;" / "&amp;AL32&amp;IF(AM33=0,""," ("&amp;AM33&amp;")")</f>
        <v>Ki repartido / total: 0 / 0</v>
      </c>
      <c r="AE22" s="5205"/>
      <c r="AF22" s="5205"/>
      <c r="AG22" s="5206"/>
      <c r="AH22" s="2821"/>
      <c r="AI22" s="2814"/>
      <c r="AJ22" s="2816">
        <v>2</v>
      </c>
      <c r="AK22" s="2816">
        <f>P12</f>
        <v>1</v>
      </c>
      <c r="AL22" s="2816" t="e">
        <f>VLOOKUP(F22,'Tablas Técnicas'!$C$86:$E$108,2,FALSE)</f>
        <v>#N/A</v>
      </c>
      <c r="AN22" s="2817"/>
      <c r="AR22" s="2816"/>
      <c r="AS22" s="2816"/>
      <c r="AT22" s="2816"/>
      <c r="AU22" s="2816"/>
      <c r="AW22" s="2818" t="b">
        <f>F22="Atadura Elemental"</f>
        <v>0</v>
      </c>
      <c r="BB22" s="2816" t="str">
        <f>IF(F22="","",F22&amp;IF(K22="",""," ("&amp;IF(F22="Atadura Elemental",O22&amp;IF(Q22="","",", "&amp;Q22),K22)&amp;")")&amp;", ")</f>
        <v/>
      </c>
      <c r="DJ22" s="2823"/>
    </row>
    <row r="23" spans="1:114" ht="12" customHeight="1" x14ac:dyDescent="0.2">
      <c r="A23" s="2814"/>
      <c r="B23" s="3070">
        <v>1</v>
      </c>
      <c r="C23" s="5106"/>
      <c r="D23" s="5100"/>
      <c r="E23" s="5101"/>
      <c r="F23" s="5168"/>
      <c r="G23" s="5169"/>
      <c r="H23" s="5169"/>
      <c r="I23" s="5169"/>
      <c r="J23" s="5170"/>
      <c r="K23" s="5148"/>
      <c r="L23" s="5149"/>
      <c r="M23" s="5150"/>
      <c r="N23" s="2845" t="str">
        <f>IF(F23="","",SUMPRODUCT(--(INDEX('Tablas Técnicas'!$C$114:$F$200,,1)=F23),--(INDEX('Tablas Técnicas'!$C$114:$F$200,,2)=K23),INDEX('Tablas Técnicas'!$C$114:$F$200,,3)))</f>
        <v/>
      </c>
      <c r="O23" s="5151"/>
      <c r="P23" s="5152"/>
      <c r="Q23" s="5153"/>
      <c r="R23" s="5152"/>
      <c r="S23" s="3065" t="str">
        <f>IF(K23="","","Nivel: "&amp;MAX(1,SUMPRODUCT(--(INDEX('Tablas Técnicas'!$C$114:$F$200,,1)=F23),--(INDEX('Tablas Técnicas'!$C$114:$F$200,,2)=K23),INDEX('Tablas Técnicas'!$C$114:$F$200,,4))))</f>
        <v/>
      </c>
      <c r="T23" s="2846"/>
      <c r="U23" s="3017" t="str">
        <f>IFERROR("("&amp;VLOOKUP(F23,'Tablas Técnicas'!$C$86:$E$108,3,FALSE)&amp;")","")</f>
        <v/>
      </c>
      <c r="V23" s="5154"/>
      <c r="W23" s="5154"/>
      <c r="X23" s="5154"/>
      <c r="Y23" s="5154"/>
      <c r="Z23" s="5154"/>
      <c r="AA23" s="5154"/>
      <c r="AB23" s="5154"/>
      <c r="AC23" s="5154"/>
      <c r="AD23" s="5154"/>
      <c r="AE23" s="5154"/>
      <c r="AF23" s="5154"/>
      <c r="AG23" s="5155"/>
      <c r="AH23" s="2821"/>
      <c r="AI23" s="2814"/>
      <c r="AJ23" s="2816">
        <v>3</v>
      </c>
      <c r="AK23" s="2816">
        <f>P12</f>
        <v>1</v>
      </c>
      <c r="AL23" s="2816" t="e">
        <f>VLOOKUP(F23,'Tablas Técnicas'!$C$86:$E$108,2,FALSE)</f>
        <v>#N/A</v>
      </c>
      <c r="AN23" s="2817"/>
      <c r="AW23" s="2818" t="b">
        <f>F23="Atadura Elemental"</f>
        <v>0</v>
      </c>
      <c r="BB23" s="2816" t="str">
        <f>IF(F23="","",F23&amp;IF(K23="",""," ("&amp;IF(F23="Atadura Elemental",O23&amp;IF(Q23="","",", "&amp;Q23),K23)&amp;")")&amp;", ")</f>
        <v/>
      </c>
      <c r="DJ23" s="2823"/>
    </row>
    <row r="24" spans="1:114" ht="12" customHeight="1" x14ac:dyDescent="0.2">
      <c r="A24" s="2814"/>
      <c r="B24" s="3070">
        <v>1</v>
      </c>
      <c r="C24" s="5106"/>
      <c r="D24" s="5069" t="s">
        <v>10241</v>
      </c>
      <c r="E24" s="5070"/>
      <c r="F24" s="5070"/>
      <c r="G24" s="5070"/>
      <c r="H24" s="5070"/>
      <c r="I24" s="5070"/>
      <c r="J24" s="5070"/>
      <c r="K24" s="5070"/>
      <c r="L24" s="5070"/>
      <c r="M24" s="5070"/>
      <c r="N24" s="5070"/>
      <c r="O24" s="5070"/>
      <c r="P24" s="5070"/>
      <c r="Q24" s="5070"/>
      <c r="R24" s="5070"/>
      <c r="S24" s="5070"/>
      <c r="T24" s="5070"/>
      <c r="U24" s="5070"/>
      <c r="V24" s="5070"/>
      <c r="W24" s="5070"/>
      <c r="X24" s="5070"/>
      <c r="Y24" s="5070"/>
      <c r="Z24" s="5070"/>
      <c r="AA24" s="5070"/>
      <c r="AB24" s="5070"/>
      <c r="AC24" s="5070"/>
      <c r="AD24" s="5070"/>
      <c r="AE24" s="5070"/>
      <c r="AF24" s="5070"/>
      <c r="AG24" s="5071"/>
      <c r="AH24" s="2821"/>
      <c r="AI24" s="2814"/>
      <c r="AN24" s="2817" t="s">
        <v>9661</v>
      </c>
      <c r="AO24" s="2816" t="str">
        <f>LEFT(BB16&amp;BB17&amp;BB18&amp;BB19&amp;BB20,LEN(BB16&amp;BB17&amp;BB18&amp;BB19&amp;BB20)-2)</f>
        <v>Habilidad de Ataque), Habilidad de Ataque Completa)</v>
      </c>
      <c r="AT24" s="2817"/>
      <c r="AU24" s="2817"/>
      <c r="DJ24" s="2823"/>
    </row>
    <row r="25" spans="1:114" ht="12" customHeight="1" x14ac:dyDescent="0.2">
      <c r="A25" s="2814"/>
      <c r="B25" s="3070">
        <v>1</v>
      </c>
      <c r="C25" s="5106"/>
      <c r="D25" s="5066" t="str">
        <f>IF(F16="","",F16)</f>
        <v/>
      </c>
      <c r="E25" s="5067"/>
      <c r="F25" s="5067"/>
      <c r="G25" s="5067"/>
      <c r="H25" s="5067"/>
      <c r="I25" s="5068"/>
      <c r="J25" s="5066" t="str">
        <f>IF(F17="","",F17)</f>
        <v>Habilidad de Ataque</v>
      </c>
      <c r="K25" s="5067"/>
      <c r="L25" s="5067"/>
      <c r="M25" s="5067"/>
      <c r="N25" s="5067"/>
      <c r="O25" s="5068"/>
      <c r="P25" s="5067" t="str">
        <f>IF(F18="","",F18)</f>
        <v>Habilidad de Ataque Completa</v>
      </c>
      <c r="Q25" s="5067"/>
      <c r="R25" s="5067"/>
      <c r="S25" s="5067"/>
      <c r="T25" s="5067"/>
      <c r="U25" s="5068"/>
      <c r="V25" s="5066" t="str">
        <f>IF(F19="","",F19)</f>
        <v/>
      </c>
      <c r="W25" s="5067"/>
      <c r="X25" s="5067"/>
      <c r="Y25" s="5067"/>
      <c r="Z25" s="5067"/>
      <c r="AA25" s="5068"/>
      <c r="AB25" s="5067" t="str">
        <f>IF(F20="","",F20)</f>
        <v/>
      </c>
      <c r="AC25" s="5067"/>
      <c r="AD25" s="5067"/>
      <c r="AE25" s="5067"/>
      <c r="AF25" s="5067"/>
      <c r="AG25" s="5083"/>
      <c r="AH25" s="2821"/>
      <c r="AI25" s="2814"/>
      <c r="AN25" s="2817" t="s">
        <v>9662</v>
      </c>
      <c r="AO25" s="2816" t="str">
        <f>LEFT(BB21&amp;BB22&amp;BB23,LEN(BB21&amp;BB22&amp;BB23)-2)</f>
        <v>Atadura Elemental (Aire)</v>
      </c>
      <c r="AT25" s="2817"/>
      <c r="AU25" s="2817"/>
      <c r="DJ25" s="2823"/>
    </row>
    <row r="26" spans="1:114" ht="12" customHeight="1" x14ac:dyDescent="0.2">
      <c r="A26" s="2814"/>
      <c r="B26" s="3070">
        <v>1</v>
      </c>
      <c r="C26" s="5106"/>
      <c r="D26" s="3046" t="s">
        <v>2121</v>
      </c>
      <c r="E26" s="3062" t="str">
        <f>IFERROR(VLOOKUP(D25,'Tablas Técnicas'!$C$9:$H$81,3,FALSE),"")</f>
        <v/>
      </c>
      <c r="F26" s="3019"/>
      <c r="G26" s="3018"/>
      <c r="H26" s="3018" t="s">
        <v>1636</v>
      </c>
      <c r="I26" s="3062" t="str">
        <f>IFERROR(VLOOKUP(D25,'Tablas Técnicas'!$C$9:$H$81,4,FALSE),"")</f>
        <v/>
      </c>
      <c r="J26" s="3046" t="s">
        <v>2121</v>
      </c>
      <c r="K26" s="3062" t="str">
        <f>IFERROR(VLOOKUP(J25,'Tablas Técnicas'!$C$9:$H$81,3,FALSE),"")</f>
        <v>Acción</v>
      </c>
      <c r="L26" s="3019"/>
      <c r="M26" s="3018"/>
      <c r="N26" s="3018" t="s">
        <v>1636</v>
      </c>
      <c r="O26" s="2847" t="str">
        <f>IFERROR(VLOOKUP(J25,'Tablas Técnicas'!$C$9:$H$81,4,FALSE),"")</f>
        <v>Ataque</v>
      </c>
      <c r="P26" s="3018" t="s">
        <v>2121</v>
      </c>
      <c r="Q26" s="3062" t="str">
        <f>IFERROR(VLOOKUP(P25,'Tablas Técnicas'!$C$9:$H$81,3,FALSE),"")</f>
        <v>Asalto</v>
      </c>
      <c r="R26" s="3019"/>
      <c r="S26" s="3018"/>
      <c r="T26" s="3018" t="s">
        <v>1636</v>
      </c>
      <c r="U26" s="3062" t="str">
        <f>IFERROR(VLOOKUP(P25,'Tablas Técnicas'!$C$9:$H$81,4,FALSE),"")</f>
        <v>Ataque</v>
      </c>
      <c r="V26" s="3046" t="s">
        <v>2121</v>
      </c>
      <c r="W26" s="3062" t="str">
        <f>IFERROR(VLOOKUP(V25,'Tablas Técnicas'!$C$9:$H$81,3,FALSE),"")</f>
        <v/>
      </c>
      <c r="X26" s="3019"/>
      <c r="Y26" s="3018"/>
      <c r="Z26" s="3018" t="s">
        <v>1636</v>
      </c>
      <c r="AA26" s="2847" t="str">
        <f>IFERROR(VLOOKUP(V25,'Tablas Técnicas'!$C$9:$H$81,4,FALSE),"")</f>
        <v/>
      </c>
      <c r="AB26" s="3018" t="s">
        <v>2121</v>
      </c>
      <c r="AC26" s="3062" t="str">
        <f>IFERROR(VLOOKUP(AB25,'Tablas Técnicas'!$C$9:$H$81,3,FALSE),"")</f>
        <v/>
      </c>
      <c r="AD26" s="3019"/>
      <c r="AE26" s="3018"/>
      <c r="AF26" s="3018" t="s">
        <v>1636</v>
      </c>
      <c r="AG26" s="2848" t="str">
        <f>IFERROR(VLOOKUP(AB25,'Tablas Técnicas'!$C$9:$H$81,4,FALSE),"")</f>
        <v/>
      </c>
      <c r="AH26" s="2821"/>
      <c r="AI26" s="2814"/>
      <c r="AN26" s="2817"/>
      <c r="DJ26" s="2823"/>
    </row>
    <row r="27" spans="1:114" ht="12" customHeight="1" x14ac:dyDescent="0.2">
      <c r="A27" s="2814"/>
      <c r="B27" s="3070">
        <v>1</v>
      </c>
      <c r="C27" s="5106"/>
      <c r="D27" s="3047" t="s">
        <v>9663</v>
      </c>
      <c r="E27" s="3018"/>
      <c r="F27" s="3019"/>
      <c r="G27" s="3020"/>
      <c r="H27" s="3020"/>
      <c r="I27" s="3017" t="str">
        <f>IFERROR(IF(D25="Ataque Elemental",IF(NOT(ISNA(VLOOKUP(D29,'Tablas Técnicas'!$Z$25:$Z$30,1,0))),D29,"Variable"),VLOOKUP(D25,'Tablas Técnicas'!$C$9:$K$81,9,FALSE)),"")</f>
        <v/>
      </c>
      <c r="J27" s="2849" t="s">
        <v>9663</v>
      </c>
      <c r="K27" s="2850"/>
      <c r="L27" s="2851"/>
      <c r="M27" s="2852"/>
      <c r="N27" s="2852"/>
      <c r="O27" s="2853" t="str">
        <f>IFERROR(IF(J25="Ataque Elemental",IF(NOT(ISNA(VLOOKUP(J29,'Tablas Técnicas'!$Z$25:$Z$30,1,0))),J29,"Variable"),VLOOKUP(J25,'Tablas Técnicas'!$C$9:$K$81,9,FALSE)),"")</f>
        <v>Aire, Fuego, Oscuridad</v>
      </c>
      <c r="P27" s="2854" t="s">
        <v>9663</v>
      </c>
      <c r="Q27" s="2850"/>
      <c r="R27" s="2851"/>
      <c r="S27" s="2852"/>
      <c r="T27" s="2852"/>
      <c r="U27" s="3017" t="str">
        <f>IFERROR(IF(P25="Ataque Elemental",IF(NOT(ISNA(VLOOKUP(P29,'Tablas Técnicas'!$Z$25:$Z$30,1,0))),P29,"Variable"),VLOOKUP(P25,'Tablas Técnicas'!$C$9:$K$81,9,FALSE)),"")</f>
        <v>Aire, Fuego, Oscuridad</v>
      </c>
      <c r="V27" s="2849" t="s">
        <v>9663</v>
      </c>
      <c r="W27" s="2850"/>
      <c r="X27" s="2851"/>
      <c r="Y27" s="2852"/>
      <c r="Z27" s="2852"/>
      <c r="AA27" s="2853" t="str">
        <f>IFERROR(IF(V25="Ataque Elemental",IF(NOT(ISNA(VLOOKUP(V29,'Tablas Técnicas'!$Z$25:$Z$30,1,0))),V29,"Variable"),VLOOKUP(V25,'Tablas Técnicas'!$C$9:$K$81,9,FALSE)),"")</f>
        <v/>
      </c>
      <c r="AB27" s="2854" t="s">
        <v>9663</v>
      </c>
      <c r="AC27" s="2850"/>
      <c r="AD27" s="2851"/>
      <c r="AE27" s="2852"/>
      <c r="AF27" s="2852"/>
      <c r="AG27" s="6224" t="str">
        <f>IFERROR(IF(AB25="Ataque Elemental",IF(NOT(ISNA(VLOOKUP(AB29,'Tablas Técnicas'!$Z$25:$Z$30,1,0))),AB29,"Variable"),VLOOKUP(AB25,'Tablas Técnicas'!$C$9:$K$81,9,FALSE)),"")</f>
        <v/>
      </c>
      <c r="AH27" s="2821"/>
      <c r="AI27" s="2814"/>
      <c r="AJ27" s="2816" t="s">
        <v>9664</v>
      </c>
      <c r="BB27" s="2816"/>
      <c r="BC27" s="2816"/>
      <c r="BD27" s="2816"/>
      <c r="BG27" s="2816"/>
      <c r="BH27" s="2816"/>
      <c r="BI27" s="2816"/>
      <c r="BJ27" s="2816"/>
      <c r="BL27" s="2816"/>
      <c r="BM27" s="2816"/>
      <c r="BN27" s="2816"/>
      <c r="BO27" s="2816"/>
      <c r="DJ27" s="2823"/>
    </row>
    <row r="28" spans="1:114" ht="12" customHeight="1" x14ac:dyDescent="0.2">
      <c r="A28" s="2814"/>
      <c r="B28" s="3070">
        <v>1</v>
      </c>
      <c r="C28" s="5106"/>
      <c r="D28" s="5066" t="s">
        <v>3226</v>
      </c>
      <c r="E28" s="5067"/>
      <c r="F28" s="5067"/>
      <c r="G28" s="5067"/>
      <c r="H28" s="5068"/>
      <c r="I28" s="2857" t="s">
        <v>1676</v>
      </c>
      <c r="J28" s="5066" t="s">
        <v>3226</v>
      </c>
      <c r="K28" s="5067"/>
      <c r="L28" s="5067"/>
      <c r="M28" s="5067"/>
      <c r="N28" s="5068"/>
      <c r="O28" s="2858" t="s">
        <v>1676</v>
      </c>
      <c r="P28" s="5066" t="s">
        <v>3226</v>
      </c>
      <c r="Q28" s="5067"/>
      <c r="R28" s="5067"/>
      <c r="S28" s="5067"/>
      <c r="T28" s="5068"/>
      <c r="U28" s="2858" t="s">
        <v>1676</v>
      </c>
      <c r="V28" s="5066" t="s">
        <v>3226</v>
      </c>
      <c r="W28" s="5067"/>
      <c r="X28" s="5067"/>
      <c r="Y28" s="5067"/>
      <c r="Z28" s="5068"/>
      <c r="AA28" s="2858" t="s">
        <v>1676</v>
      </c>
      <c r="AB28" s="5066" t="s">
        <v>3226</v>
      </c>
      <c r="AC28" s="5067"/>
      <c r="AD28" s="5067"/>
      <c r="AE28" s="5067"/>
      <c r="AF28" s="5068"/>
      <c r="AG28" s="2859" t="s">
        <v>1676</v>
      </c>
      <c r="AH28" s="2821"/>
      <c r="AI28" s="2814"/>
      <c r="AJ28" s="2816" t="s">
        <v>9665</v>
      </c>
      <c r="AQ28" s="2816"/>
      <c r="AR28" s="2816"/>
      <c r="AS28" s="2816"/>
      <c r="AT28" s="2816"/>
      <c r="AU28" s="2816"/>
      <c r="AV28" s="2816"/>
      <c r="AW28" s="2816"/>
      <c r="AX28" s="2816"/>
      <c r="AY28" s="2816"/>
      <c r="BJ28" s="2816"/>
      <c r="BL28" s="2816"/>
      <c r="BM28" s="2816"/>
      <c r="BN28" s="2816"/>
      <c r="BO28" s="2816"/>
      <c r="DJ28" s="2823"/>
    </row>
    <row r="29" spans="1:114" ht="12" customHeight="1" x14ac:dyDescent="0.2">
      <c r="A29" s="2814"/>
      <c r="B29" s="3070">
        <v>1</v>
      </c>
      <c r="C29" s="5106"/>
      <c r="D29" s="5081"/>
      <c r="E29" s="5082"/>
      <c r="F29" s="5082"/>
      <c r="G29" s="5082"/>
      <c r="H29" s="5082"/>
      <c r="I29" s="2860" t="str">
        <f>IF(OR(D25="",D29=""),"",MAX(1,SUMPRODUCT(--(INDEX('Tablas Técnicas'!$O$10:$X$639,,1)=D25),--(INDEX('Tablas Técnicas'!$O$10:$X$639,,2)=D29),INDEX('Tablas Técnicas'!$O$10:$X$639,,9))))</f>
        <v/>
      </c>
      <c r="J29" s="5082"/>
      <c r="K29" s="5082"/>
      <c r="L29" s="5082"/>
      <c r="M29" s="5082"/>
      <c r="N29" s="5082"/>
      <c r="O29" s="2860" t="str">
        <f>IF(OR(J25="",J29=""),"",MAX(1,SUMPRODUCT(--(INDEX('Tablas Técnicas'!$O$10:$X$639,,1)=J25),--(INDEX('Tablas Técnicas'!$O$10:$X$639,,2)=J29),INDEX('Tablas Técnicas'!$O$10:$X$639,,9))))</f>
        <v/>
      </c>
      <c r="P29" s="5081"/>
      <c r="Q29" s="5082"/>
      <c r="R29" s="5082"/>
      <c r="S29" s="5082"/>
      <c r="T29" s="5082"/>
      <c r="U29" s="2860" t="str">
        <f>IF(OR(P25="",P29=""),"",MAX(1,SUMPRODUCT(--(INDEX('Tablas Técnicas'!$O$10:$X$639,,1)=P25),--(INDEX('Tablas Técnicas'!$O$10:$X$639,,2)=P29),INDEX('Tablas Técnicas'!$O$10:$X$639,,9))))</f>
        <v/>
      </c>
      <c r="V29" s="5081"/>
      <c r="W29" s="5082"/>
      <c r="X29" s="5082"/>
      <c r="Y29" s="5082"/>
      <c r="Z29" s="5082"/>
      <c r="AA29" s="2860" t="str">
        <f>IF(OR(V25="",V29=""),"",MAX(1,SUMPRODUCT(--(INDEX('Tablas Técnicas'!$O$10:$X$639,,1)=V25),--(INDEX('Tablas Técnicas'!$O$10:$X$639,,2)=V29),INDEX('Tablas Técnicas'!$O$10:$X$639,,9))))</f>
        <v/>
      </c>
      <c r="AB29" s="5081"/>
      <c r="AC29" s="5082"/>
      <c r="AD29" s="5082"/>
      <c r="AE29" s="5082"/>
      <c r="AF29" s="5082"/>
      <c r="AG29" s="2861" t="str">
        <f>IF(OR(AB25="",AB29=""),"",MAX(1,SUMPRODUCT(--(INDEX('Tablas Técnicas'!$O$10:$X$639,,1)=AB25),--(INDEX('Tablas Técnicas'!$O$10:$X$639,,2)=AB29),INDEX('Tablas Técnicas'!$O$10:$X$639,,9))))</f>
        <v/>
      </c>
      <c r="AH29" s="2821">
        <f>P12</f>
        <v>1</v>
      </c>
      <c r="AI29" s="2814"/>
      <c r="AJ29" s="2816" t="s">
        <v>9667</v>
      </c>
      <c r="AK29" s="2818"/>
      <c r="AL29" s="2818"/>
      <c r="AM29" s="2818"/>
      <c r="AN29" s="2818"/>
      <c r="AO29" s="2818"/>
      <c r="AP29" s="2824"/>
      <c r="AQ29" s="2824"/>
      <c r="AR29" s="2824"/>
      <c r="AS29" s="2824"/>
      <c r="AT29" s="2824"/>
      <c r="AU29" s="2824"/>
      <c r="AV29" s="2824"/>
      <c r="AW29" s="2824"/>
      <c r="AX29" s="2824"/>
      <c r="AY29" s="2824"/>
      <c r="DJ29" s="2823"/>
    </row>
    <row r="30" spans="1:114" ht="12" customHeight="1" x14ac:dyDescent="0.2">
      <c r="A30" s="2814"/>
      <c r="B30" s="3070">
        <v>1</v>
      </c>
      <c r="C30" s="5106"/>
      <c r="D30" s="5064"/>
      <c r="E30" s="5065"/>
      <c r="F30" s="5065"/>
      <c r="G30" s="5065"/>
      <c r="H30" s="5065"/>
      <c r="I30" s="2862" t="str">
        <f>IF(OR(D25="",D30=""),"",MAX(1,SUMPRODUCT(--(INDEX('Tablas Técnicas'!$O$10:$X$639,,1)=D25),--(INDEX('Tablas Técnicas'!$O$10:$X$639,,2)=D30),INDEX('Tablas Técnicas'!$O$10:$X$639,,9))))</f>
        <v/>
      </c>
      <c r="J30" s="5065"/>
      <c r="K30" s="5065"/>
      <c r="L30" s="5065"/>
      <c r="M30" s="5065"/>
      <c r="N30" s="5065"/>
      <c r="O30" s="2862" t="str">
        <f>IF(OR(J25="",J30=""),"",MAX(1,SUMPRODUCT(--(INDEX('Tablas Técnicas'!$O$10:$X$639,,1)=J25),--(INDEX('Tablas Técnicas'!$O$10:$X$639,,2)=J30),INDEX('Tablas Técnicas'!$O$10:$X$639,,9))))</f>
        <v/>
      </c>
      <c r="P30" s="5064"/>
      <c r="Q30" s="5065"/>
      <c r="R30" s="5065"/>
      <c r="S30" s="5065"/>
      <c r="T30" s="5065"/>
      <c r="U30" s="2862" t="str">
        <f>IF(OR(P25="",P30=""),"",MAX(1,SUMPRODUCT(--(INDEX('Tablas Técnicas'!$O$10:$X$639,,1)=P25),--(INDEX('Tablas Técnicas'!$O$10:$X$639,,2)=P30),INDEX('Tablas Técnicas'!$O$10:$X$639,,9))))</f>
        <v/>
      </c>
      <c r="V30" s="5064"/>
      <c r="W30" s="5065"/>
      <c r="X30" s="5065"/>
      <c r="Y30" s="5065"/>
      <c r="Z30" s="5065"/>
      <c r="AA30" s="2862" t="str">
        <f>IF(OR(V25="",V30=""),"",MAX(1,SUMPRODUCT(--(INDEX('Tablas Técnicas'!$O$10:$X$639,,1)=V25),--(INDEX('Tablas Técnicas'!$O$10:$X$639,,2)=V30),INDEX('Tablas Técnicas'!$O$10:$X$639,,9))))</f>
        <v/>
      </c>
      <c r="AB30" s="5064"/>
      <c r="AC30" s="5065"/>
      <c r="AD30" s="5065"/>
      <c r="AE30" s="5065"/>
      <c r="AF30" s="5065"/>
      <c r="AG30" s="2863" t="str">
        <f>IF(OR(AB25="",AB30=""),"",MAX(1,SUMPRODUCT(--(INDEX('Tablas Técnicas'!$O$10:$X$639,,1)=AB25),--(INDEX('Tablas Técnicas'!$O$10:$X$639,,2)=AB30),INDEX('Tablas Técnicas'!$O$10:$X$639,,9))))</f>
        <v/>
      </c>
      <c r="AH30" s="2821">
        <f>P12</f>
        <v>1</v>
      </c>
      <c r="AI30" s="2814"/>
      <c r="AJ30" s="2818" t="s">
        <v>1646</v>
      </c>
      <c r="AK30" s="2818" t="s">
        <v>1772</v>
      </c>
      <c r="AL30" s="2818" t="s">
        <v>1651</v>
      </c>
      <c r="AM30" s="2818" t="s">
        <v>1656</v>
      </c>
      <c r="AN30" s="2818" t="s">
        <v>1664</v>
      </c>
      <c r="AO30" s="2818" t="s">
        <v>1665</v>
      </c>
      <c r="AQ30" s="2816"/>
      <c r="AR30" s="2816"/>
      <c r="AS30" s="2816"/>
      <c r="AT30" s="2816"/>
      <c r="AU30" s="2816"/>
      <c r="AW30" s="2816"/>
      <c r="AX30" s="2816"/>
      <c r="AY30" s="2816"/>
      <c r="AZ30" s="2816"/>
      <c r="BA30" s="2816"/>
      <c r="BB30" s="2816"/>
      <c r="BC30" s="2816"/>
      <c r="BD30" s="2816"/>
      <c r="BE30" s="2816"/>
      <c r="BF30" s="2817"/>
      <c r="DJ30" s="2823"/>
    </row>
    <row r="31" spans="1:114" ht="12" customHeight="1" x14ac:dyDescent="0.2">
      <c r="A31" s="2814"/>
      <c r="B31" s="3070">
        <v>1</v>
      </c>
      <c r="C31" s="5106"/>
      <c r="D31" s="5064"/>
      <c r="E31" s="5065"/>
      <c r="F31" s="5065"/>
      <c r="G31" s="5065"/>
      <c r="H31" s="5065"/>
      <c r="I31" s="2862" t="str">
        <f>IF(OR(D25="",D31=""),"",MAX(1,SUMPRODUCT(--(INDEX('Tablas Técnicas'!$O$10:$X$639,,1)=D25),--(INDEX('Tablas Técnicas'!$O$10:$X$639,,2)=D31),INDEX('Tablas Técnicas'!$O$10:$X$639,,9))))</f>
        <v/>
      </c>
      <c r="J31" s="5065"/>
      <c r="K31" s="5065"/>
      <c r="L31" s="5065"/>
      <c r="M31" s="5065"/>
      <c r="N31" s="5065"/>
      <c r="O31" s="2862" t="str">
        <f>IF(OR(J25="",J31=""),"",MAX(1,SUMPRODUCT(--(INDEX('Tablas Técnicas'!$O$10:$X$639,,1)=J25),--(INDEX('Tablas Técnicas'!$O$10:$X$639,,2)=J31),INDEX('Tablas Técnicas'!$O$10:$X$639,,9))))</f>
        <v/>
      </c>
      <c r="P31" s="5064"/>
      <c r="Q31" s="5065"/>
      <c r="R31" s="5065"/>
      <c r="S31" s="5065"/>
      <c r="T31" s="5065"/>
      <c r="U31" s="2862" t="str">
        <f>IF(OR(P25="",P31=""),"",MAX(1,SUMPRODUCT(--(INDEX('Tablas Técnicas'!$O$10:$X$639,,1)=P25),--(INDEX('Tablas Técnicas'!$O$10:$X$639,,2)=P31),INDEX('Tablas Técnicas'!$O$10:$X$639,,9))))</f>
        <v/>
      </c>
      <c r="V31" s="5064"/>
      <c r="W31" s="5065"/>
      <c r="X31" s="5065"/>
      <c r="Y31" s="5065"/>
      <c r="Z31" s="5065"/>
      <c r="AA31" s="2862" t="str">
        <f>IF(OR(V25="",V31=""),"",MAX(1,SUMPRODUCT(--(INDEX('Tablas Técnicas'!$O$10:$X$639,,1)=V25),--(INDEX('Tablas Técnicas'!$O$10:$X$639,,2)=V31),INDEX('Tablas Técnicas'!$O$10:$X$639,,9))))</f>
        <v/>
      </c>
      <c r="AB31" s="5064"/>
      <c r="AC31" s="5065"/>
      <c r="AD31" s="5065"/>
      <c r="AE31" s="5065"/>
      <c r="AF31" s="5065"/>
      <c r="AG31" s="2863" t="str">
        <f>IF(OR(AB25="",AB31=""),"",MAX(1,SUMPRODUCT(--(INDEX('Tablas Técnicas'!$O$10:$X$639,,1)=AB25),--(INDEX('Tablas Técnicas'!$O$10:$X$639,,2)=AB31),INDEX('Tablas Técnicas'!$O$10:$X$639,,9))))</f>
        <v/>
      </c>
      <c r="AH31" s="2821">
        <f>P12</f>
        <v>1</v>
      </c>
      <c r="AI31" s="2814"/>
      <c r="AJ31" s="2816" t="str">
        <f>IF(V14="","",IF(SUM(V16:V20)=0,"",V14&amp;" "&amp;SUM(V16:V20)+V23&amp;IF(SUM(W16)=0,""," ("&amp;SUM(W16)&amp;")")&amp;", "))</f>
        <v/>
      </c>
      <c r="AK31" s="2816" t="str">
        <f>IF(X14="","",IF(SUM(X16:X20)=0,"",X14&amp;" "&amp;SUM(X16:X20)+X23&amp;IF(SUM(Y16)=0,""," ("&amp;SUM(Y16)&amp;")")&amp;", "))</f>
        <v/>
      </c>
      <c r="AL31" s="2816" t="str">
        <f>IF(Z14="","",IF(SUM(Z16:Z20)=0,"",Z14&amp;" "&amp;SUM(Z16:Z20)+Z23&amp;IF(SUM(AA16)=0,""," ("&amp;SUM(AA16)&amp;")")&amp;", "))</f>
        <v/>
      </c>
      <c r="AM31" s="2816" t="str">
        <f>IF(AB14="","",IF(SUM(AB16:AB20)=0,"",AB14&amp;" "&amp;SUM(AB16:AB20)+AB23&amp;IF(SUM(AC16)=0,""," ("&amp;SUM(AC16)&amp;")")&amp;", "))</f>
        <v/>
      </c>
      <c r="AN31" s="2816" t="str">
        <f>IF(AD14="","",IF(SUM(AD16:AD20)=0,"",AD14&amp;" "&amp;SUM(AD16:AD20)+AD23&amp;IF(SUM(AE16)=0,""," ("&amp;SUM(AE16)&amp;")")&amp;", "))</f>
        <v/>
      </c>
      <c r="AO31" s="2816" t="str">
        <f>IF(AF14="","",IF(SUM(AF16:AF20)=0,"",AF14&amp;" "&amp;SUM(AF16:AF20)+AF23&amp;IF(SUM(AG16)=0,""," ("&amp;SUM(AG16)&amp;")")&amp;", "))</f>
        <v/>
      </c>
      <c r="AQ31" s="2816"/>
      <c r="AR31" s="2816"/>
      <c r="AS31" s="2816"/>
      <c r="AT31" s="2816"/>
      <c r="AU31" s="2816"/>
      <c r="BB31" s="2816"/>
      <c r="BC31" s="2816"/>
      <c r="BD31" s="2816"/>
      <c r="BE31" s="2816"/>
      <c r="BF31" s="2817"/>
      <c r="DJ31" s="2823"/>
    </row>
    <row r="32" spans="1:114" ht="12" customHeight="1" x14ac:dyDescent="0.2">
      <c r="A32" s="2814"/>
      <c r="B32" s="3070">
        <v>1</v>
      </c>
      <c r="C32" s="5106"/>
      <c r="D32" s="5064"/>
      <c r="E32" s="5065"/>
      <c r="F32" s="5065"/>
      <c r="G32" s="5065"/>
      <c r="H32" s="5065"/>
      <c r="I32" s="2862" t="str">
        <f>IF(OR(D25="",D32=""),"",MAX(1,SUMPRODUCT(--(INDEX('Tablas Técnicas'!$O$10:$X$639,,1)=D25),--(INDEX('Tablas Técnicas'!$O$10:$X$639,,2)=D32),INDEX('Tablas Técnicas'!$O$10:$X$639,,9))))</f>
        <v/>
      </c>
      <c r="J32" s="5065"/>
      <c r="K32" s="5065"/>
      <c r="L32" s="5065"/>
      <c r="M32" s="5065"/>
      <c r="N32" s="5065"/>
      <c r="O32" s="2862" t="str">
        <f>IF(OR(J25="",J32=""),"",MAX(1,SUMPRODUCT(--(INDEX('Tablas Técnicas'!$O$10:$X$639,,1)=J25),--(INDEX('Tablas Técnicas'!$O$10:$X$639,,2)=J32),INDEX('Tablas Técnicas'!$O$10:$X$639,,9))))</f>
        <v/>
      </c>
      <c r="P32" s="5064"/>
      <c r="Q32" s="5065"/>
      <c r="R32" s="5065"/>
      <c r="S32" s="5065"/>
      <c r="T32" s="5065"/>
      <c r="U32" s="2862" t="str">
        <f>IF(OR(P25="",P32=""),"",MAX(1,SUMPRODUCT(--(INDEX('Tablas Técnicas'!$O$10:$X$639,,1)=P25),--(INDEX('Tablas Técnicas'!$O$10:$X$639,,2)=P32),INDEX('Tablas Técnicas'!$O$10:$X$639,,9))))</f>
        <v/>
      </c>
      <c r="V32" s="5064"/>
      <c r="W32" s="5065"/>
      <c r="X32" s="5065"/>
      <c r="Y32" s="5065"/>
      <c r="Z32" s="5065"/>
      <c r="AA32" s="2862" t="str">
        <f>IF(OR(V25="",V32=""),"",MAX(1,SUMPRODUCT(--(INDEX('Tablas Técnicas'!$O$10:$X$639,,1)=V25),--(INDEX('Tablas Técnicas'!$O$10:$X$639,,2)=V32),INDEX('Tablas Técnicas'!$O$10:$X$639,,9))))</f>
        <v/>
      </c>
      <c r="AB32" s="5064"/>
      <c r="AC32" s="5065"/>
      <c r="AD32" s="5065"/>
      <c r="AE32" s="5065"/>
      <c r="AF32" s="5065"/>
      <c r="AG32" s="2863" t="str">
        <f>IF(OR(AB25="",AB32=""),"",MAX(1,SUMPRODUCT(--(INDEX('Tablas Técnicas'!$O$10:$X$639,,1)=AB25),--(INDEX('Tablas Técnicas'!$O$10:$X$639,,2)=AB32),INDEX('Tablas Técnicas'!$O$10:$X$639,,9))))</f>
        <v/>
      </c>
      <c r="AH32" s="2821">
        <f>P12</f>
        <v>1</v>
      </c>
      <c r="AI32" s="2814"/>
      <c r="AJ32" s="2816" t="s">
        <v>10242</v>
      </c>
      <c r="AL32" s="2816">
        <f t="array" ref="AL32">MAX(0,SUM(VALUE(RIGHT(O16:O20,2)))+ABS($AC22*2/5))+IF(AM40,Y22,0)+IF(S12="Si",3*P12,0)</f>
        <v>0</v>
      </c>
      <c r="AM32" s="2816">
        <f t="array" ref="AM32">IF(ISNUMBER(SEARCH("Mantenido",K16&amp;K17&amp;K18&amp;K19&amp;K20)),MAX(0,SUM(VALUE(RIGHT($P16:$P20,2)))),0)</f>
        <v>0</v>
      </c>
      <c r="BB32" s="2816"/>
      <c r="BC32" s="2816"/>
      <c r="BD32" s="2816"/>
      <c r="BE32" s="2816"/>
      <c r="BF32" s="2817"/>
      <c r="DJ32" s="2823"/>
    </row>
    <row r="33" spans="1:114" ht="12" customHeight="1" x14ac:dyDescent="0.2">
      <c r="A33" s="2814"/>
      <c r="B33" s="3070">
        <v>1</v>
      </c>
      <c r="C33" s="5106"/>
      <c r="D33" s="5064"/>
      <c r="E33" s="5065"/>
      <c r="F33" s="5065"/>
      <c r="G33" s="5065"/>
      <c r="H33" s="5065"/>
      <c r="I33" s="2862" t="str">
        <f>IF(OR(D25="",D33=""),"",MAX(1,SUMPRODUCT(--(INDEX('Tablas Técnicas'!$O$10:$X$639,,1)=D25),--(INDEX('Tablas Técnicas'!$O$10:$X$639,,2)=D33),INDEX('Tablas Técnicas'!$O$10:$X$639,,9))))</f>
        <v/>
      </c>
      <c r="J33" s="5065"/>
      <c r="K33" s="5065"/>
      <c r="L33" s="5065"/>
      <c r="M33" s="5065"/>
      <c r="N33" s="5065"/>
      <c r="O33" s="2862" t="str">
        <f>IF(OR(J25="",J33=""),"",MAX(1,SUMPRODUCT(--(INDEX('Tablas Técnicas'!$O$10:$X$639,,1)=J25),--(INDEX('Tablas Técnicas'!$O$10:$X$639,,2)=J33),INDEX('Tablas Técnicas'!$O$10:$X$639,,9))))</f>
        <v/>
      </c>
      <c r="P33" s="5064"/>
      <c r="Q33" s="5065"/>
      <c r="R33" s="5065"/>
      <c r="S33" s="5065"/>
      <c r="T33" s="5065"/>
      <c r="U33" s="2862" t="str">
        <f>IF(OR(P25="",P33=""),"",MAX(1,SUMPRODUCT(--(INDEX('Tablas Técnicas'!$O$10:$X$639,,1)=P25),--(INDEX('Tablas Técnicas'!$O$10:$X$639,,2)=P33),INDEX('Tablas Técnicas'!$O$10:$X$639,,9))))</f>
        <v/>
      </c>
      <c r="V33" s="5064"/>
      <c r="W33" s="5065"/>
      <c r="X33" s="5065"/>
      <c r="Y33" s="5065"/>
      <c r="Z33" s="5065"/>
      <c r="AA33" s="2862" t="str">
        <f>IF(OR(V25="",V33=""),"",MAX(1,SUMPRODUCT(--(INDEX('Tablas Técnicas'!$O$10:$X$639,,1)=V25),--(INDEX('Tablas Técnicas'!$O$10:$X$639,,2)=V33),INDEX('Tablas Técnicas'!$O$10:$X$639,,9))))</f>
        <v/>
      </c>
      <c r="AB33" s="5064"/>
      <c r="AC33" s="5065"/>
      <c r="AD33" s="5065"/>
      <c r="AE33" s="5065"/>
      <c r="AF33" s="5065"/>
      <c r="AG33" s="2863" t="str">
        <f>IF(OR(AB25="",AB33=""),"",MAX(1,SUMPRODUCT(--(INDEX('Tablas Técnicas'!$O$10:$X$639,,1)=AB25),--(INDEX('Tablas Técnicas'!$O$10:$X$639,,2)=AB33),INDEX('Tablas Técnicas'!$O$10:$X$639,,9))))</f>
        <v/>
      </c>
      <c r="AH33" s="2821">
        <f>P12</f>
        <v>1</v>
      </c>
      <c r="AI33" s="2814"/>
      <c r="AJ33" s="2816" t="s">
        <v>9668</v>
      </c>
      <c r="AL33" s="2816">
        <f>SUM(V16:V20,X16:X20,Z16:Z20,AB16:AB20,AD16:AD20,AF16:AF20)+SUM(V23:AG23)</f>
        <v>0</v>
      </c>
      <c r="AM33" s="2816">
        <f>SUM(W16:W20,Y16:Y20,AA16:AA20,AC16:AC20,AE16:AE20,AG16:AG20)</f>
        <v>0</v>
      </c>
      <c r="BB33" s="2816"/>
      <c r="BC33" s="2816"/>
      <c r="BD33" s="2816"/>
      <c r="BE33" s="2816"/>
      <c r="BF33" s="2817"/>
      <c r="DJ33" s="2823"/>
    </row>
    <row r="34" spans="1:114" ht="12" customHeight="1" x14ac:dyDescent="0.2">
      <c r="A34" s="2814"/>
      <c r="B34" s="3070">
        <v>1</v>
      </c>
      <c r="C34" s="5106"/>
      <c r="D34" s="5064"/>
      <c r="E34" s="5065"/>
      <c r="F34" s="5065"/>
      <c r="G34" s="5065"/>
      <c r="H34" s="5065"/>
      <c r="I34" s="2862" t="str">
        <f>IF(OR(D25="",D34=""),"",MAX(1,SUMPRODUCT(--(INDEX('Tablas Técnicas'!$O$10:$X$639,,1)=D25),--(INDEX('Tablas Técnicas'!$O$10:$X$639,,2)=D34),INDEX('Tablas Técnicas'!$O$10:$X$639,,9))))</f>
        <v/>
      </c>
      <c r="J34" s="5065"/>
      <c r="K34" s="5065"/>
      <c r="L34" s="5065"/>
      <c r="M34" s="5065"/>
      <c r="N34" s="5065"/>
      <c r="O34" s="2862" t="str">
        <f>IF(OR(J25="",J34=""),"",MAX(1,SUMPRODUCT(--(INDEX('Tablas Técnicas'!$O$10:$X$639,,1)=J25),--(INDEX('Tablas Técnicas'!$O$10:$X$639,,2)=J34),INDEX('Tablas Técnicas'!$O$10:$X$639,,9))))</f>
        <v/>
      </c>
      <c r="P34" s="5064"/>
      <c r="Q34" s="5065"/>
      <c r="R34" s="5065"/>
      <c r="S34" s="5065"/>
      <c r="T34" s="5065"/>
      <c r="U34" s="2862" t="str">
        <f>IF(OR(P25="",P34=""),"",MAX(1,SUMPRODUCT(--(INDEX('Tablas Técnicas'!$O$10:$X$639,,1)=P25),--(INDEX('Tablas Técnicas'!$O$10:$X$639,,2)=P34),INDEX('Tablas Técnicas'!$O$10:$X$639,,9))))</f>
        <v/>
      </c>
      <c r="V34" s="5064"/>
      <c r="W34" s="5065"/>
      <c r="X34" s="5065"/>
      <c r="Y34" s="5065"/>
      <c r="Z34" s="5065"/>
      <c r="AA34" s="2862" t="str">
        <f>IF(OR(V25="",V34=""),"",MAX(1,SUMPRODUCT(--(INDEX('Tablas Técnicas'!$O$10:$X$639,,1)=V25),--(INDEX('Tablas Técnicas'!$O$10:$X$639,,2)=V34),INDEX('Tablas Técnicas'!$O$10:$X$639,,9))))</f>
        <v/>
      </c>
      <c r="AB34" s="5064"/>
      <c r="AC34" s="5065"/>
      <c r="AD34" s="5065"/>
      <c r="AE34" s="5065"/>
      <c r="AF34" s="5065"/>
      <c r="AG34" s="2863" t="str">
        <f>IF(OR(AB25="",AB34=""),"",MAX(1,SUMPRODUCT(--(INDEX('Tablas Técnicas'!$O$10:$X$639,,1)=AB25),--(INDEX('Tablas Técnicas'!$O$10:$X$639,,2)=AB34),INDEX('Tablas Técnicas'!$O$10:$X$639,,9))))</f>
        <v/>
      </c>
      <c r="AH34" s="2821">
        <f>P12</f>
        <v>1</v>
      </c>
      <c r="AI34" s="2814"/>
      <c r="BB34" s="2816"/>
      <c r="BC34" s="2816"/>
      <c r="BD34" s="2816"/>
      <c r="BE34" s="2816"/>
      <c r="BF34" s="2817"/>
      <c r="DJ34" s="2823"/>
    </row>
    <row r="35" spans="1:114" ht="12" customHeight="1" x14ac:dyDescent="0.2">
      <c r="A35" s="2814"/>
      <c r="B35" s="3070">
        <v>1</v>
      </c>
      <c r="C35" s="5106"/>
      <c r="D35" s="5079"/>
      <c r="E35" s="5080"/>
      <c r="F35" s="5080"/>
      <c r="G35" s="5080"/>
      <c r="H35" s="5080"/>
      <c r="I35" s="2864" t="str">
        <f>IF(OR(D25="",D35=""),"",MAX(1,SUMPRODUCT(--(INDEX('Tablas Técnicas'!$O$10:$X$639,,1)=D25),--(INDEX('Tablas Técnicas'!$O$10:$X$639,,2)=D35),INDEX('Tablas Técnicas'!$O$10:$X$639,,9))))</f>
        <v/>
      </c>
      <c r="J35" s="5080"/>
      <c r="K35" s="5080"/>
      <c r="L35" s="5080"/>
      <c r="M35" s="5080"/>
      <c r="N35" s="5080"/>
      <c r="O35" s="2864" t="str">
        <f>IF(OR(J25="",J35=""),"",MAX(1,SUMPRODUCT(--(INDEX('Tablas Técnicas'!$O$10:$X$639,,1)=J25),--(INDEX('Tablas Técnicas'!$O$10:$X$639,,2)=J35),INDEX('Tablas Técnicas'!$O$10:$X$639,,9))))</f>
        <v/>
      </c>
      <c r="P35" s="5079"/>
      <c r="Q35" s="5080"/>
      <c r="R35" s="5080"/>
      <c r="S35" s="5080"/>
      <c r="T35" s="5080"/>
      <c r="U35" s="2864" t="str">
        <f>IF(OR(P25="",P35=""),"",MAX(1,SUMPRODUCT(--(INDEX('Tablas Técnicas'!$O$10:$X$639,,1)=P25),--(INDEX('Tablas Técnicas'!$O$10:$X$639,,2)=P35),INDEX('Tablas Técnicas'!$O$10:$X$639,,9))))</f>
        <v/>
      </c>
      <c r="V35" s="5079"/>
      <c r="W35" s="5080"/>
      <c r="X35" s="5080"/>
      <c r="Y35" s="5080"/>
      <c r="Z35" s="5080"/>
      <c r="AA35" s="2864" t="str">
        <f>IF(OR(V25="",V35=""),"",MAX(1,SUMPRODUCT(--(INDEX('Tablas Técnicas'!$O$10:$X$639,,1)=V25),--(INDEX('Tablas Técnicas'!$O$10:$X$639,,2)=V35),INDEX('Tablas Técnicas'!$O$10:$X$639,,9))))</f>
        <v/>
      </c>
      <c r="AB35" s="5079"/>
      <c r="AC35" s="5080"/>
      <c r="AD35" s="5080"/>
      <c r="AE35" s="5080"/>
      <c r="AF35" s="5080"/>
      <c r="AG35" s="2865" t="str">
        <f>IF(OR(AB25="",AB35=""),"",MAX(1,SUMPRODUCT(--(INDEX('Tablas Técnicas'!$O$10:$X$639,,1)=AB25),--(INDEX('Tablas Técnicas'!$O$10:$X$639,,2)=AB35),INDEX('Tablas Técnicas'!$O$10:$X$639,,9))))</f>
        <v/>
      </c>
      <c r="AH35" s="2821">
        <f>P12</f>
        <v>1</v>
      </c>
      <c r="AI35" s="2814"/>
      <c r="AJ35" s="2816" t="s">
        <v>9669</v>
      </c>
      <c r="AN35" s="2817"/>
      <c r="AQ35" s="2816"/>
      <c r="AR35" s="2816"/>
      <c r="AS35" s="2816"/>
      <c r="BB35" s="2816"/>
      <c r="BC35" s="2816"/>
      <c r="BD35" s="2816"/>
      <c r="BE35" s="2816"/>
      <c r="BF35" s="2817"/>
      <c r="DJ35" s="2823"/>
    </row>
    <row r="36" spans="1:114" ht="12" customHeight="1" x14ac:dyDescent="0.2">
      <c r="A36" s="2814"/>
      <c r="B36" s="3070">
        <v>1</v>
      </c>
      <c r="C36" s="5106"/>
      <c r="D36" s="5069" t="s">
        <v>1824</v>
      </c>
      <c r="E36" s="5070"/>
      <c r="F36" s="5070"/>
      <c r="G36" s="5070"/>
      <c r="H36" s="5070"/>
      <c r="I36" s="5070"/>
      <c r="J36" s="5070"/>
      <c r="K36" s="5070"/>
      <c r="L36" s="5070"/>
      <c r="M36" s="5070"/>
      <c r="N36" s="5070"/>
      <c r="O36" s="5070"/>
      <c r="P36" s="5070"/>
      <c r="Q36" s="5070"/>
      <c r="R36" s="5070"/>
      <c r="S36" s="5070"/>
      <c r="T36" s="5070"/>
      <c r="U36" s="5070"/>
      <c r="V36" s="5070"/>
      <c r="W36" s="5070"/>
      <c r="X36" s="5070"/>
      <c r="Y36" s="5070"/>
      <c r="Z36" s="5070"/>
      <c r="AA36" s="5070"/>
      <c r="AB36" s="5070"/>
      <c r="AC36" s="5070"/>
      <c r="AD36" s="5070"/>
      <c r="AE36" s="5070"/>
      <c r="AF36" s="5070"/>
      <c r="AG36" s="5071"/>
      <c r="AH36" s="2821"/>
      <c r="AI36" s="2814"/>
      <c r="AJ36" s="2816" t="s">
        <v>9670</v>
      </c>
      <c r="AM36" s="2816" t="b">
        <f t="array" ref="AM36">MAX(I29:I35,O29:O35,U29:U35,AA29:AA35,AG29:AG35,RIGHT(S21:S23,1))&gt;P12</f>
        <v>0</v>
      </c>
      <c r="AR36" s="2816"/>
      <c r="AS36" s="2816"/>
      <c r="BB36" s="2816" t="str">
        <f>$F20&amp;INDEX($D29:$AG35,Tablas!E$1,1+6*(Tablas!$A$4-1))</f>
        <v/>
      </c>
      <c r="BC36" s="2816" t="str">
        <f>$F20&amp;INDEX($D29:$AG35,Tablas!F$1,1+6*(Tablas!$A$4-1))</f>
        <v/>
      </c>
      <c r="BD36" s="2816" t="str">
        <f>$F20&amp;INDEX($D29:$AG35,Tablas!G$1,1+6*(Tablas!$A$4-1))</f>
        <v/>
      </c>
      <c r="BE36" s="2816"/>
      <c r="BF36" s="2817"/>
      <c r="DJ36" s="2823"/>
    </row>
    <row r="37" spans="1:114" ht="12" customHeight="1" x14ac:dyDescent="0.2">
      <c r="A37" s="2814"/>
      <c r="B37" s="3070">
        <v>1</v>
      </c>
      <c r="C37" s="5106"/>
      <c r="D37" s="5072"/>
      <c r="E37" s="5073"/>
      <c r="F37" s="5073"/>
      <c r="G37" s="5073"/>
      <c r="H37" s="5073"/>
      <c r="I37" s="5073"/>
      <c r="J37" s="5073"/>
      <c r="K37" s="5073"/>
      <c r="L37" s="5073"/>
      <c r="M37" s="5073"/>
      <c r="N37" s="5073"/>
      <c r="O37" s="5073"/>
      <c r="P37" s="5073"/>
      <c r="Q37" s="5073"/>
      <c r="R37" s="5073"/>
      <c r="S37" s="5073"/>
      <c r="T37" s="5073"/>
      <c r="U37" s="5073"/>
      <c r="V37" s="5073"/>
      <c r="W37" s="5073"/>
      <c r="X37" s="5073"/>
      <c r="Y37" s="5073"/>
      <c r="Z37" s="5073"/>
      <c r="AA37" s="5073"/>
      <c r="AB37" s="5073"/>
      <c r="AC37" s="5073"/>
      <c r="AD37" s="5073"/>
      <c r="AE37" s="5073"/>
      <c r="AF37" s="5073"/>
      <c r="AG37" s="5074"/>
      <c r="AH37" s="2821"/>
      <c r="AI37" s="3030"/>
      <c r="AJ37" s="2816" t="s">
        <v>10273</v>
      </c>
      <c r="AM37" s="2816" t="b">
        <f>AND(COUNTIF(K16:M20,"Mantenido"),OR(COUNTIF(K16:M20,"Sostenimiento Menor"),COUNTIF(K16:M20,"Sostenimiento Mayor")))</f>
        <v>0</v>
      </c>
      <c r="AR37" s="2816"/>
      <c r="AS37" s="2816"/>
      <c r="BB37" s="2816"/>
      <c r="BC37" s="2816"/>
      <c r="BD37" s="2816"/>
      <c r="BE37" s="2817"/>
      <c r="DJ37" s="2823"/>
    </row>
    <row r="38" spans="1:114" ht="12" customHeight="1" x14ac:dyDescent="0.2">
      <c r="A38" s="2814"/>
      <c r="B38" s="3070">
        <v>1</v>
      </c>
      <c r="C38" s="5106"/>
      <c r="D38" s="5072"/>
      <c r="E38" s="5073"/>
      <c r="F38" s="5073"/>
      <c r="G38" s="5073"/>
      <c r="H38" s="5073"/>
      <c r="I38" s="5073"/>
      <c r="J38" s="5073"/>
      <c r="K38" s="5073"/>
      <c r="L38" s="5073"/>
      <c r="M38" s="5073"/>
      <c r="N38" s="5073"/>
      <c r="O38" s="5073"/>
      <c r="P38" s="5073"/>
      <c r="Q38" s="5073"/>
      <c r="R38" s="5073"/>
      <c r="S38" s="5073"/>
      <c r="T38" s="5073"/>
      <c r="U38" s="5073"/>
      <c r="V38" s="5073"/>
      <c r="W38" s="5073"/>
      <c r="X38" s="5073"/>
      <c r="Y38" s="5073"/>
      <c r="Z38" s="5073"/>
      <c r="AA38" s="5073"/>
      <c r="AB38" s="5073"/>
      <c r="AC38" s="5073"/>
      <c r="AD38" s="5073"/>
      <c r="AE38" s="5073"/>
      <c r="AF38" s="5073"/>
      <c r="AG38" s="5074"/>
      <c r="AH38" s="2821"/>
      <c r="AI38" s="3030"/>
      <c r="AJ38" s="2816" t="s">
        <v>10271</v>
      </c>
      <c r="AM38" s="2816" t="b">
        <f>OR(AND(ISNUMBER(SEARCH("Sostenimiento",K16)),OR(P12=1,MAX(I29:I35)=3)),AND(ISNUMBER(SEARCH("Sostenimiento",K17)),OR(P12=1,MAX(O29:O35)=3)),AND(ISNUMBER(SEARCH("Sostenimiento",K18)),OR(P12=1,MAX(U29:U35)=3)),AND(ISNUMBER(SEARCH("Sostenimiento",K19)),OR(P12=1,MAX(AA29:AA35)=3)),AND(ISNUMBER(SEARCH("Sostenimiento",K20)),OR(P12=1,MAX(AG29:AG35)=3)))</f>
        <v>0</v>
      </c>
      <c r="AR38" s="2816"/>
      <c r="AS38" s="2816"/>
      <c r="BB38" s="2816"/>
      <c r="BC38" s="2816"/>
      <c r="BD38" s="2816"/>
      <c r="BE38" s="2817"/>
      <c r="DJ38" s="2823"/>
    </row>
    <row r="39" spans="1:114" ht="12" customHeight="1" x14ac:dyDescent="0.2">
      <c r="A39" s="2814"/>
      <c r="B39" s="3070">
        <v>1</v>
      </c>
      <c r="C39" s="5106"/>
      <c r="D39" s="5072"/>
      <c r="E39" s="5073"/>
      <c r="F39" s="5073"/>
      <c r="G39" s="5073"/>
      <c r="H39" s="5073"/>
      <c r="I39" s="5073"/>
      <c r="J39" s="5073"/>
      <c r="K39" s="5073"/>
      <c r="L39" s="5073"/>
      <c r="M39" s="5073"/>
      <c r="N39" s="5073"/>
      <c r="O39" s="5073"/>
      <c r="P39" s="5073"/>
      <c r="Q39" s="5073"/>
      <c r="R39" s="5073"/>
      <c r="S39" s="5073"/>
      <c r="T39" s="5073"/>
      <c r="U39" s="5073"/>
      <c r="V39" s="5073"/>
      <c r="W39" s="5073"/>
      <c r="X39" s="5073"/>
      <c r="Y39" s="5073"/>
      <c r="Z39" s="5073"/>
      <c r="AA39" s="5073"/>
      <c r="AB39" s="5073"/>
      <c r="AC39" s="5073"/>
      <c r="AD39" s="5073"/>
      <c r="AE39" s="5073"/>
      <c r="AF39" s="5073"/>
      <c r="AG39" s="5074"/>
      <c r="AH39" s="2821"/>
      <c r="AI39" s="3030"/>
      <c r="AJ39" s="2816" t="s">
        <v>10272</v>
      </c>
      <c r="AM39" s="2816" t="b">
        <f>(IF(I27="",1,SUMPRODUCT(--NOT($O21:$R23=""),--(ISNUMBER(SEARCH($O21:$R23,I27)))))+IF(O27="",1,SUMPRODUCT(--NOT($O21:$R23=""),--(ISNUMBER(SEARCH($O21:$R23,O27)))))+IF(U27="",1,SUMPRODUCT(--NOT($O21:$R23=""),--(ISNUMBER(SEARCH($O21:$R23,U27)))))+IF(AA27="",1,SUMPRODUCT(--NOT($O21:$R23=""),--(ISNUMBER(SEARCH($O21:$R23,AA27)))))+IF(AG27="",1,SUMPRODUCT(--NOT($O21:$R23=""),--(ISNUMBER(SEARCH($O21:$R23,AG27))))))&lt;5</f>
        <v>0</v>
      </c>
      <c r="AR39" s="2816"/>
      <c r="AS39" s="2816"/>
      <c r="BB39" s="2816"/>
      <c r="BC39" s="2816"/>
      <c r="BD39" s="2816"/>
      <c r="BE39" s="2816"/>
      <c r="BF39" s="2817"/>
      <c r="DJ39" s="2823"/>
    </row>
    <row r="40" spans="1:114" ht="12" customHeight="1" x14ac:dyDescent="0.2">
      <c r="A40" s="2814"/>
      <c r="B40" s="3070">
        <v>1</v>
      </c>
      <c r="C40" s="5106"/>
      <c r="D40" s="5072"/>
      <c r="E40" s="5073"/>
      <c r="F40" s="5073"/>
      <c r="G40" s="5073"/>
      <c r="H40" s="5073"/>
      <c r="I40" s="5073"/>
      <c r="J40" s="5073"/>
      <c r="K40" s="5073"/>
      <c r="L40" s="5073"/>
      <c r="M40" s="5073"/>
      <c r="N40" s="5073"/>
      <c r="O40" s="5073"/>
      <c r="P40" s="5073"/>
      <c r="Q40" s="5073"/>
      <c r="R40" s="5073"/>
      <c r="S40" s="5073"/>
      <c r="T40" s="5073"/>
      <c r="U40" s="5073"/>
      <c r="V40" s="5073"/>
      <c r="W40" s="5073"/>
      <c r="X40" s="5073"/>
      <c r="Y40" s="5073"/>
      <c r="Z40" s="5073"/>
      <c r="AA40" s="5073"/>
      <c r="AB40" s="5073"/>
      <c r="AC40" s="5073"/>
      <c r="AD40" s="5073"/>
      <c r="AE40" s="5073"/>
      <c r="AF40" s="5073"/>
      <c r="AG40" s="5074"/>
      <c r="AH40" s="2821"/>
      <c r="AI40" s="3030"/>
      <c r="AJ40" s="2816" t="s">
        <v>10247</v>
      </c>
      <c r="AM40" s="2816" t="b">
        <f>AND((IF(SUM(V16:V20)&gt;0,1,0)+IF(SUM(X16:X20)&gt;0,1,0)+IF(SUM(Z16:Z20)&gt;0,1,0)+IF(SUM(AB16:AB20)&gt;0,1,0)+IF(SUM(AD16:AD20,)&gt;0,1,0)+IF(SUM(AF16:AF20)&gt;0,1,0))&lt;3,OR(V23&lt;0,X23&lt;0,Z23&lt;0,AB23&lt;0,AD23&lt;0,AF23&lt;0,Y22&lt;0))</f>
        <v>0</v>
      </c>
      <c r="AR40" s="2817"/>
      <c r="AS40" s="2817"/>
      <c r="AW40" s="2816"/>
      <c r="AX40" s="2816"/>
      <c r="AY40" s="2816"/>
      <c r="AZ40" s="2816"/>
      <c r="BA40" s="2816"/>
      <c r="BB40" s="2816"/>
      <c r="BC40" s="2817"/>
      <c r="BD40" s="2816"/>
      <c r="BE40" s="2816"/>
      <c r="BF40" s="2817"/>
      <c r="DJ40" s="2823"/>
    </row>
    <row r="41" spans="1:114" ht="12" customHeight="1" x14ac:dyDescent="0.2">
      <c r="A41" s="2814"/>
      <c r="B41" s="3070">
        <v>1</v>
      </c>
      <c r="C41" s="5106"/>
      <c r="D41" s="5072"/>
      <c r="E41" s="5073"/>
      <c r="F41" s="5073"/>
      <c r="G41" s="5073"/>
      <c r="H41" s="5073"/>
      <c r="I41" s="5073"/>
      <c r="J41" s="5073"/>
      <c r="K41" s="5073"/>
      <c r="L41" s="5073"/>
      <c r="M41" s="5073"/>
      <c r="N41" s="5073"/>
      <c r="O41" s="5073"/>
      <c r="P41" s="5073"/>
      <c r="Q41" s="5073"/>
      <c r="R41" s="5073"/>
      <c r="S41" s="5073"/>
      <c r="T41" s="5073"/>
      <c r="U41" s="5073"/>
      <c r="V41" s="5073"/>
      <c r="W41" s="5073"/>
      <c r="X41" s="5073"/>
      <c r="Y41" s="5073"/>
      <c r="Z41" s="5073"/>
      <c r="AA41" s="5073"/>
      <c r="AB41" s="5073"/>
      <c r="AC41" s="5073"/>
      <c r="AD41" s="5073"/>
      <c r="AE41" s="5073"/>
      <c r="AF41" s="5073"/>
      <c r="AG41" s="5074"/>
      <c r="AH41" s="2821"/>
      <c r="AI41" s="3030"/>
      <c r="AJ41" s="2816" t="s">
        <v>10274</v>
      </c>
      <c r="AM41" s="2816" t="b">
        <f>OR(-V23&gt;TRUNC(SUM(V16:V20)/2),-X23&gt;TRUNC(SUM(X16:X20)/2),-Z23&gt;TRUNC(SUM(Z16:Z20)/2),-AB23&gt;TRUNC(SUM(AB16:AB20)/2),-AD23&gt;TRUNC(SUM(AD16:AD20)/2),-AF23&gt;TRUNC(SUM(AF16:AF20)/2))</f>
        <v>0</v>
      </c>
      <c r="AR41" s="2817"/>
      <c r="AS41" s="2817"/>
      <c r="AW41" s="2816"/>
      <c r="BC41" s="2816"/>
      <c r="BD41" s="2816"/>
      <c r="BE41" s="2816"/>
      <c r="BF41" s="2816"/>
      <c r="BG41" s="2816"/>
      <c r="DJ41" s="2823"/>
    </row>
    <row r="42" spans="1:114" ht="12" customHeight="1" x14ac:dyDescent="0.2">
      <c r="A42" s="2814"/>
      <c r="B42" s="3070">
        <v>1</v>
      </c>
      <c r="C42" s="5106"/>
      <c r="D42" s="5072"/>
      <c r="E42" s="5073"/>
      <c r="F42" s="5073"/>
      <c r="G42" s="5073"/>
      <c r="H42" s="5073"/>
      <c r="I42" s="5073"/>
      <c r="J42" s="5073"/>
      <c r="K42" s="5073"/>
      <c r="L42" s="5073"/>
      <c r="M42" s="5073"/>
      <c r="N42" s="5073"/>
      <c r="O42" s="5073"/>
      <c r="P42" s="5073"/>
      <c r="Q42" s="5073"/>
      <c r="R42" s="5073"/>
      <c r="S42" s="5073"/>
      <c r="T42" s="5073"/>
      <c r="U42" s="5073"/>
      <c r="V42" s="5073"/>
      <c r="W42" s="5073"/>
      <c r="X42" s="5073"/>
      <c r="Y42" s="5073"/>
      <c r="Z42" s="5073"/>
      <c r="AA42" s="5073"/>
      <c r="AB42" s="5073"/>
      <c r="AC42" s="5073"/>
      <c r="AD42" s="5073"/>
      <c r="AE42" s="5073"/>
      <c r="AF42" s="5073"/>
      <c r="AG42" s="5074"/>
      <c r="AH42" s="2821"/>
      <c r="AI42" s="3030"/>
      <c r="AJ42" s="2816" t="s">
        <v>10276</v>
      </c>
      <c r="AM42" s="2816" t="b">
        <f>OR(AY16:AY20)</f>
        <v>0</v>
      </c>
      <c r="AN42" s="2818"/>
      <c r="AO42" s="2818"/>
      <c r="AP42" s="2818"/>
      <c r="AQ42" s="2818"/>
      <c r="AR42" s="2817"/>
      <c r="AS42" s="2817"/>
      <c r="AW42" s="2816"/>
      <c r="AZ42" s="2816"/>
      <c r="BA42" s="2816"/>
      <c r="BB42" s="2816"/>
      <c r="BC42" s="2816"/>
      <c r="BD42" s="2816"/>
      <c r="BE42" s="2816"/>
      <c r="BF42" s="2816"/>
      <c r="BG42" s="2816"/>
      <c r="DJ42" s="2823"/>
    </row>
    <row r="43" spans="1:114" s="3067" customFormat="1" ht="12" customHeight="1" thickBot="1" x14ac:dyDescent="0.25">
      <c r="A43" s="3030"/>
      <c r="B43" s="3070"/>
      <c r="C43" s="5107"/>
      <c r="D43" s="6225" t="str">
        <f>IF(AM36,"Efectos o desventajas de nivel excesivo. ","")&amp;IF(AM37,"No puede haber efectos mantenidos y sostenidos en la misma técnica. ","")&amp;IF(AM38,"No pueden ser Sostenidos los efectos de nivel 3 o las Técnicas de nivel 1. ","")&amp;IF(AM39,"Efectos no compatibles con la atadura elemental. ","")&amp;IF(AM40,"Para reducir el coste de Ki la técnica debe depender de 3+ características. ","")&amp;IF(AM41,"No se puede reducir el coste original de una característica por debajo de la mitad. ","")&amp;IF(AM42,"Solo un efecto puede ser Primario. ","")&amp;IF(AM43,"La modificación de costes de Ki es incorrecta. ","")&amp;IF(AM44,"Puntos de Ki empleados y necesarios no coinciden","")</f>
        <v/>
      </c>
      <c r="E43" s="6226"/>
      <c r="F43" s="6226"/>
      <c r="G43" s="6226"/>
      <c r="H43" s="6226"/>
      <c r="I43" s="6226"/>
      <c r="J43" s="6226"/>
      <c r="K43" s="6226"/>
      <c r="L43" s="6226"/>
      <c r="M43" s="6226"/>
      <c r="N43" s="6226"/>
      <c r="O43" s="6226"/>
      <c r="P43" s="6226"/>
      <c r="Q43" s="6226"/>
      <c r="R43" s="6226"/>
      <c r="S43" s="6226"/>
      <c r="T43" s="6226"/>
      <c r="U43" s="6226"/>
      <c r="V43" s="6226"/>
      <c r="W43" s="6226"/>
      <c r="X43" s="6226"/>
      <c r="Y43" s="6226"/>
      <c r="Z43" s="6226"/>
      <c r="AA43" s="6226"/>
      <c r="AB43" s="6226"/>
      <c r="AC43" s="6226"/>
      <c r="AD43" s="6226"/>
      <c r="AE43" s="6226"/>
      <c r="AF43" s="6226"/>
      <c r="AG43" s="6227"/>
      <c r="AH43" s="2821"/>
      <c r="AI43" s="3030"/>
      <c r="AJ43" s="2816" t="s">
        <v>10246</v>
      </c>
      <c r="AK43" s="2816"/>
      <c r="AL43" s="2816"/>
      <c r="AM43" s="2816" t="b">
        <f>SUM(V23:AG23)&lt;&gt;Y22+ABS(AC22)*2/5+IF(S12="Si",3*P12,0)</f>
        <v>0</v>
      </c>
      <c r="AN43" s="2816"/>
      <c r="AO43" s="2816"/>
      <c r="AP43" s="2816"/>
      <c r="AQ43" s="2816"/>
      <c r="AR43" s="2817"/>
      <c r="AS43" s="2817"/>
      <c r="AW43" s="2816"/>
      <c r="AZ43" s="2816"/>
      <c r="BA43" s="2816"/>
      <c r="BB43" s="2816"/>
      <c r="BC43" s="2816"/>
      <c r="BD43" s="2816"/>
      <c r="BE43" s="2816"/>
      <c r="BF43" s="2816"/>
      <c r="BG43" s="2816"/>
      <c r="DJ43" s="2823"/>
    </row>
    <row r="44" spans="1:114" ht="12" customHeight="1" x14ac:dyDescent="0.2">
      <c r="A44" s="2814"/>
      <c r="B44" s="3070"/>
      <c r="C44" s="5092"/>
      <c r="D44" s="5078" t="str">
        <f>IFERROR(VLOOKUP(D25,'Tablas Técnicas'!$C$9:$H$81,2,FALSE),"")</f>
        <v/>
      </c>
      <c r="E44" s="5078"/>
      <c r="F44" s="5078"/>
      <c r="G44" s="5078"/>
      <c r="H44" s="5078"/>
      <c r="I44" s="5078"/>
      <c r="J44" s="5078" t="str">
        <f>IFERROR(VLOOKUP(J25,'Tablas Técnicas'!$C$9:$H$81,2,FALSE),"")</f>
        <v>'Tablas Técnicas'!$P$11:$P$21</v>
      </c>
      <c r="K44" s="5078"/>
      <c r="L44" s="5078"/>
      <c r="M44" s="5078"/>
      <c r="N44" s="5078"/>
      <c r="O44" s="5078"/>
      <c r="P44" s="5078" t="str">
        <f>IFERROR(VLOOKUP(P25,'Tablas Técnicas'!$C$9:$H$81,2,FALSE),"")</f>
        <v>'Tablas Técnicas'!$P$23:$P$29</v>
      </c>
      <c r="Q44" s="5078"/>
      <c r="R44" s="5078"/>
      <c r="S44" s="5078"/>
      <c r="T44" s="5078"/>
      <c r="U44" s="5078"/>
      <c r="V44" s="5078" t="str">
        <f>IFERROR(VLOOKUP(V25,'Tablas Técnicas'!$C$9:$H$81,2,FALSE),"")</f>
        <v/>
      </c>
      <c r="W44" s="5078"/>
      <c r="X44" s="5078"/>
      <c r="Y44" s="5078"/>
      <c r="Z44" s="5078"/>
      <c r="AA44" s="5078"/>
      <c r="AB44" s="5078" t="str">
        <f>IFERROR(VLOOKUP(AB25,'Tablas Técnicas'!$C$9:$H$81,2,FALSE),"")</f>
        <v/>
      </c>
      <c r="AC44" s="5078"/>
      <c r="AD44" s="5078"/>
      <c r="AE44" s="5078"/>
      <c r="AF44" s="5078"/>
      <c r="AG44" s="5078"/>
      <c r="AH44" s="2821"/>
      <c r="AI44" s="3030"/>
      <c r="AJ44" s="2816" t="s">
        <v>10244</v>
      </c>
      <c r="AM44" s="2816" t="b">
        <f>AL32-AL33+AM32-AM33&lt;&gt;0</f>
        <v>0</v>
      </c>
      <c r="AQ44" s="2816"/>
      <c r="AR44" s="2817"/>
      <c r="AS44" s="2817"/>
      <c r="DJ44" s="2823"/>
    </row>
    <row r="45" spans="1:114" ht="12.75" customHeight="1" thickBot="1" x14ac:dyDescent="0.25">
      <c r="A45" s="3030"/>
      <c r="B45" s="3070"/>
      <c r="C45" s="5092"/>
      <c r="D45" s="3052"/>
      <c r="E45" s="3024"/>
      <c r="F45" s="3024"/>
      <c r="G45" s="3024"/>
      <c r="H45" s="3024"/>
      <c r="I45" s="3024"/>
      <c r="J45" s="3024"/>
      <c r="K45" s="3024"/>
      <c r="L45" s="3024"/>
      <c r="M45" s="3024"/>
      <c r="N45" s="3024"/>
      <c r="O45" s="3024"/>
      <c r="P45" s="3024"/>
      <c r="Q45" s="3024"/>
      <c r="R45" s="3024"/>
      <c r="S45" s="3024"/>
      <c r="T45" s="3024"/>
      <c r="U45" s="3024"/>
      <c r="V45" s="3054"/>
      <c r="W45" s="3054"/>
      <c r="X45" s="3054"/>
      <c r="Y45" s="3054"/>
      <c r="Z45" s="3054"/>
      <c r="AA45" s="3054"/>
      <c r="AB45" s="3054"/>
      <c r="AC45" s="3054"/>
      <c r="AD45" s="3054"/>
      <c r="AE45" s="3054"/>
      <c r="AF45" s="3024"/>
      <c r="AG45" s="3024"/>
      <c r="AH45" s="2821"/>
      <c r="AI45" s="3030"/>
      <c r="AJ45" s="2870"/>
      <c r="AK45" s="2870"/>
      <c r="AL45" s="2870"/>
      <c r="AM45" s="2870"/>
      <c r="AN45" s="2870"/>
      <c r="AO45" s="2870"/>
      <c r="AX45" s="2867"/>
      <c r="AY45" s="2867"/>
      <c r="AZ45" s="2867"/>
      <c r="BA45" s="2867"/>
      <c r="BB45" s="2867"/>
      <c r="BC45" s="2868"/>
      <c r="BD45" s="2868"/>
      <c r="BE45" s="2867"/>
      <c r="DG45" s="2822"/>
      <c r="DJ45" s="2823"/>
    </row>
    <row r="46" spans="1:114" ht="11.25" customHeight="1" x14ac:dyDescent="0.2">
      <c r="A46" s="3030"/>
      <c r="B46" s="3070">
        <f>1+B12</f>
        <v>2</v>
      </c>
      <c r="C46" s="5105" t="str">
        <f>"Técnica "&amp;B46</f>
        <v>Técnica 2</v>
      </c>
      <c r="D46" s="5181" t="s">
        <v>9559</v>
      </c>
      <c r="E46" s="5182"/>
      <c r="F46" s="5182"/>
      <c r="G46" s="5182"/>
      <c r="H46" s="5182"/>
      <c r="I46" s="5182"/>
      <c r="J46" s="5182"/>
      <c r="K46" s="5182"/>
      <c r="L46" s="5182"/>
      <c r="M46" s="5182"/>
      <c r="N46" s="5183"/>
      <c r="O46" s="5161" t="s">
        <v>1597</v>
      </c>
      <c r="P46" s="5163">
        <v>1</v>
      </c>
      <c r="Q46" s="5134" t="s">
        <v>9646</v>
      </c>
      <c r="R46" s="5165"/>
      <c r="S46" s="5167" t="s">
        <v>1654</v>
      </c>
      <c r="T46" s="5135" t="s">
        <v>1780</v>
      </c>
      <c r="U46" s="5174">
        <f>MAX(IF(P46=3,60,IF(P46=2,40,20)),MIN(IF(P46=3,200,IF(P46=2,100,50)),SUM(M55:M57))-10*Y56+AC56+IF(S46="Si",10*P46,0)+IF(COUNTIF(K50:M54,"Mantenido")&gt;0,P46*10)+IF(COUNTIF(K50:M54,"Sostenimiento Menor")&gt;0,P46*20)+IF(COUNTIF(K50:M54,"Sostenimiento Mayor")&gt;0,P46*30))</f>
        <v>20</v>
      </c>
      <c r="V46" s="5134" t="s">
        <v>9647</v>
      </c>
      <c r="W46" s="5135"/>
      <c r="X46" s="5138" t="str">
        <f>IFERROR(LEFT(AJ65&amp;AK65&amp;AL65&amp;AM65&amp;AN65&amp;AO65,LEN(AJ65&amp;AK65&amp;AL65&amp;AM65&amp;AN65&amp;AO65)-2),"")</f>
        <v/>
      </c>
      <c r="Y46" s="5138"/>
      <c r="Z46" s="5138"/>
      <c r="AA46" s="5138"/>
      <c r="AB46" s="5138"/>
      <c r="AC46" s="5138"/>
      <c r="AD46" s="5138"/>
      <c r="AE46" s="5138"/>
      <c r="AF46" s="5138"/>
      <c r="AG46" s="5139"/>
      <c r="AH46" s="2821"/>
      <c r="AI46" s="3030"/>
      <c r="AQ46" s="2816"/>
      <c r="AR46" s="2816"/>
      <c r="AS46" s="2816"/>
      <c r="AT46" s="2816"/>
      <c r="AU46" s="2816"/>
      <c r="AV46" s="3035"/>
      <c r="AW46" s="3035"/>
      <c r="AX46" s="2816"/>
      <c r="AY46" s="2816"/>
      <c r="AZ46" s="2824"/>
      <c r="BA46" s="3035"/>
      <c r="BB46" s="3035"/>
      <c r="BC46" s="3023"/>
      <c r="BD46" s="3023"/>
      <c r="BE46" s="2867"/>
      <c r="DG46" s="2822"/>
      <c r="DJ46" s="2823"/>
    </row>
    <row r="47" spans="1:114" ht="11.25" customHeight="1" x14ac:dyDescent="0.2">
      <c r="A47" s="3030"/>
      <c r="B47" s="3070">
        <f>1+B13</f>
        <v>2</v>
      </c>
      <c r="C47" s="5106"/>
      <c r="D47" s="5184"/>
      <c r="E47" s="5185"/>
      <c r="F47" s="5185"/>
      <c r="G47" s="5185"/>
      <c r="H47" s="5185"/>
      <c r="I47" s="5185"/>
      <c r="J47" s="5185"/>
      <c r="K47" s="5185"/>
      <c r="L47" s="5185"/>
      <c r="M47" s="5185"/>
      <c r="N47" s="5186"/>
      <c r="O47" s="5162"/>
      <c r="P47" s="5164"/>
      <c r="Q47" s="5136"/>
      <c r="R47" s="5166"/>
      <c r="S47" s="5164"/>
      <c r="T47" s="5137"/>
      <c r="U47" s="5175"/>
      <c r="V47" s="5136"/>
      <c r="W47" s="5137"/>
      <c r="X47" s="5140"/>
      <c r="Y47" s="5140"/>
      <c r="Z47" s="5140"/>
      <c r="AA47" s="5140"/>
      <c r="AB47" s="5140"/>
      <c r="AC47" s="5140"/>
      <c r="AD47" s="5140"/>
      <c r="AE47" s="5140"/>
      <c r="AF47" s="5140"/>
      <c r="AG47" s="5141"/>
      <c r="AH47" s="2821"/>
      <c r="AI47" s="3030"/>
      <c r="AJ47" s="2947" t="s">
        <v>10240</v>
      </c>
      <c r="AQ47" s="2816"/>
      <c r="AR47" s="2816"/>
      <c r="AS47" s="2816"/>
      <c r="AT47" s="2816"/>
      <c r="AU47" s="2816"/>
      <c r="AV47" s="3035"/>
      <c r="AW47" s="3035"/>
      <c r="AX47" s="3035"/>
      <c r="AZ47" s="3035"/>
      <c r="BA47" s="5063" t="s">
        <v>10254</v>
      </c>
      <c r="BB47" s="5063"/>
      <c r="BC47" s="3023"/>
      <c r="BD47" s="3023"/>
      <c r="BE47" s="2867"/>
      <c r="DG47" s="2822"/>
      <c r="DJ47" s="2823"/>
    </row>
    <row r="48" spans="1:114" ht="12" customHeight="1" x14ac:dyDescent="0.2">
      <c r="A48" s="3030"/>
      <c r="B48" s="3070">
        <f>1+B14</f>
        <v>2</v>
      </c>
      <c r="C48" s="5106"/>
      <c r="D48" s="5069" t="s">
        <v>3223</v>
      </c>
      <c r="E48" s="5070"/>
      <c r="F48" s="5070"/>
      <c r="G48" s="5070"/>
      <c r="H48" s="5070"/>
      <c r="I48" s="5070"/>
      <c r="J48" s="5070"/>
      <c r="K48" s="5070" t="str">
        <f>"Mant / SMe / Sma"</f>
        <v>Mant / SMe / Sma</v>
      </c>
      <c r="L48" s="5070"/>
      <c r="M48" s="5070"/>
      <c r="N48" s="5070" t="s">
        <v>1774</v>
      </c>
      <c r="O48" s="5145" t="s">
        <v>3221</v>
      </c>
      <c r="P48" s="5145" t="s">
        <v>9648</v>
      </c>
      <c r="Q48" s="5070" t="s">
        <v>1637</v>
      </c>
      <c r="R48" s="5070"/>
      <c r="S48" s="5070"/>
      <c r="T48" s="5070"/>
      <c r="U48" s="5070"/>
      <c r="V48" s="5108" t="s">
        <v>1646</v>
      </c>
      <c r="W48" s="5109"/>
      <c r="X48" s="5108" t="s">
        <v>1772</v>
      </c>
      <c r="Y48" s="5110"/>
      <c r="Z48" s="5109" t="s">
        <v>1651</v>
      </c>
      <c r="AA48" s="5109"/>
      <c r="AB48" s="5108" t="s">
        <v>1656</v>
      </c>
      <c r="AC48" s="5110"/>
      <c r="AD48" s="5109" t="s">
        <v>1664</v>
      </c>
      <c r="AE48" s="5109"/>
      <c r="AF48" s="5108" t="s">
        <v>1665</v>
      </c>
      <c r="AG48" s="5111"/>
      <c r="AH48" s="2821"/>
      <c r="AI48" s="3030"/>
      <c r="AL48" s="2816" t="s">
        <v>9649</v>
      </c>
      <c r="AQ48" s="2816"/>
      <c r="AR48" s="3035"/>
      <c r="AT48" s="2816" t="s">
        <v>10237</v>
      </c>
      <c r="AU48" s="2816"/>
      <c r="AV48" s="2816" t="s">
        <v>9650</v>
      </c>
      <c r="AW48" s="2816" t="s">
        <v>9651</v>
      </c>
      <c r="AX48" s="2816" t="s">
        <v>10238</v>
      </c>
      <c r="AY48" s="2816"/>
      <c r="AZ48" s="3035"/>
      <c r="BA48" s="3035" t="s">
        <v>9652</v>
      </c>
      <c r="BB48" s="2816" t="s">
        <v>9653</v>
      </c>
      <c r="BC48" s="2816" t="s">
        <v>9653</v>
      </c>
      <c r="BD48" s="3023"/>
      <c r="BE48" s="2867"/>
      <c r="DG48" s="2822"/>
      <c r="DJ48" s="2823"/>
    </row>
    <row r="49" spans="1:114" x14ac:dyDescent="0.2">
      <c r="A49" s="3030"/>
      <c r="B49" s="3070">
        <f>1+B15</f>
        <v>2</v>
      </c>
      <c r="C49" s="5106"/>
      <c r="D49" s="5142"/>
      <c r="E49" s="5143"/>
      <c r="F49" s="5143"/>
      <c r="G49" s="5143"/>
      <c r="H49" s="5143"/>
      <c r="I49" s="5143"/>
      <c r="J49" s="5143"/>
      <c r="K49" s="5143"/>
      <c r="L49" s="5143"/>
      <c r="M49" s="5143"/>
      <c r="N49" s="5144"/>
      <c r="O49" s="5146"/>
      <c r="P49" s="5147"/>
      <c r="Q49" s="5144"/>
      <c r="R49" s="5144"/>
      <c r="S49" s="5144"/>
      <c r="T49" s="5144"/>
      <c r="U49" s="5144"/>
      <c r="V49" s="3045" t="s">
        <v>10248</v>
      </c>
      <c r="W49" s="3031" t="s">
        <v>3227</v>
      </c>
      <c r="X49" s="3045" t="s">
        <v>10248</v>
      </c>
      <c r="Y49" s="3031" t="s">
        <v>3227</v>
      </c>
      <c r="Z49" s="3045" t="s">
        <v>10248</v>
      </c>
      <c r="AA49" s="3031" t="s">
        <v>3227</v>
      </c>
      <c r="AB49" s="3045" t="s">
        <v>10248</v>
      </c>
      <c r="AC49" s="3031" t="s">
        <v>3227</v>
      </c>
      <c r="AD49" s="3045" t="s">
        <v>10248</v>
      </c>
      <c r="AE49" s="3031" t="s">
        <v>3227</v>
      </c>
      <c r="AF49" s="3045" t="s">
        <v>10248</v>
      </c>
      <c r="AG49" s="2825" t="s">
        <v>3227</v>
      </c>
      <c r="AH49" s="2821"/>
      <c r="AI49" s="3030"/>
      <c r="AK49" s="2816" t="s">
        <v>10261</v>
      </c>
      <c r="AL49" s="2816">
        <v>1</v>
      </c>
      <c r="AM49" s="2816">
        <v>2</v>
      </c>
      <c r="AN49" s="2816">
        <v>3</v>
      </c>
      <c r="AO49" s="2816">
        <v>4</v>
      </c>
      <c r="AP49" s="2816">
        <v>5</v>
      </c>
      <c r="AQ49" s="2816">
        <v>6</v>
      </c>
      <c r="AR49" s="2816">
        <v>7</v>
      </c>
      <c r="AS49" s="2816"/>
      <c r="AT49" s="3035"/>
      <c r="AV49" s="2816"/>
      <c r="AW49" s="3035"/>
      <c r="AX49" s="3035"/>
      <c r="AZ49" s="3035"/>
      <c r="BA49" s="3035"/>
      <c r="BB49" s="3035"/>
      <c r="BC49" s="3023"/>
      <c r="BD49" s="3023"/>
      <c r="BE49" s="2867"/>
      <c r="DJ49" s="2823"/>
    </row>
    <row r="50" spans="1:114" x14ac:dyDescent="0.2">
      <c r="A50" s="3030"/>
      <c r="B50" s="3070">
        <f>1+B16</f>
        <v>2</v>
      </c>
      <c r="C50" s="5106"/>
      <c r="D50" s="5124" t="s">
        <v>9654</v>
      </c>
      <c r="E50" s="5125"/>
      <c r="F50" s="5126"/>
      <c r="G50" s="5127"/>
      <c r="H50" s="5127"/>
      <c r="I50" s="5127"/>
      <c r="J50" s="5128"/>
      <c r="K50" s="5124" t="s">
        <v>1729</v>
      </c>
      <c r="L50" s="5129"/>
      <c r="M50" s="5125"/>
      <c r="N50" s="3036">
        <f>SUMPRODUCT(INDEX('Tablas Técnicas'!$O$10:$X$639,,5),--(INDEX('Tablas Técnicas'!$O$10:$X$639,,1)=F50),--(ISNUMBER(MATCH(INDEX('Tablas Técnicas'!$O$10:$X$639,,2),$AL50:$AR50,0))))</f>
        <v>0</v>
      </c>
      <c r="O50" s="3036" t="str">
        <f>V50+X50+Z50+AB50+AD50+AF50&amp;" / "&amp;SUMPRODUCT(INDEX('Tablas Técnicas'!$O$10:$X$639,,IF(D50="Primario",3,4)),--(INDEX('Tablas Técnicas'!$O$10:$X$639,,1)=F50),--(ISNUMBER(MATCH(INDEX('Tablas Técnicas'!$O$10:$X$639,,2),$AL50:$AR50,0))))+IF(AND(K50&lt;&gt;"-",K50&lt;&gt;""),SUMPRODUCT(INDEX('Tablas Técnicas'!$O$10:$X$639,,IF(K50="Mantenido",6,IF(K50="Sostenimiento menor",7,IF(K50="Sostenimiento mayor",8,0)))),--(INDEX('Tablas Técnicas'!$O$10:$X$639,,1)=F50),--(ISNUMBER(MATCH(INDEX('Tablas Técnicas'!$O$10:$X$639,,2),$AL50:$AR50,0)))),0)+AT50</f>
        <v>0 / 0</v>
      </c>
      <c r="P50" s="3036" t="str">
        <f>W50+Y50+AA50+AC50+AE50+AG50&amp;" / "&amp;IF(K50="Mantenido",SUMPRODUCT(INDEX('Tablas Técnicas'!$O$10:$X$639,,6),--(INDEX('Tablas Técnicas'!$O$10:$X$639,,1)=F50),--(ISNUMBER(MATCH(INDEX('Tablas Técnicas'!$O$10:$X$639,,2),$AL50:$AR50,0)))),0)</f>
        <v>0 / 0</v>
      </c>
      <c r="Q50" s="5130" t="str">
        <f>IFERROR(VLOOKUP(F50,'Tablas Técnicas'!$C$9:$H$81,5,FALSE),"")</f>
        <v/>
      </c>
      <c r="R50" s="5130"/>
      <c r="S50" s="5130"/>
      <c r="T50" s="5130"/>
      <c r="U50" s="5130"/>
      <c r="V50" s="2826"/>
      <c r="W50" s="2827"/>
      <c r="X50" s="2826"/>
      <c r="Y50" s="2828"/>
      <c r="Z50" s="2829"/>
      <c r="AA50" s="2827"/>
      <c r="AB50" s="2826"/>
      <c r="AC50" s="2828"/>
      <c r="AD50" s="2829"/>
      <c r="AE50" s="2827"/>
      <c r="AF50" s="2826"/>
      <c r="AG50" s="2830"/>
      <c r="AH50" s="2821"/>
      <c r="AI50" s="3030"/>
      <c r="AJ50" s="2816">
        <v>1</v>
      </c>
      <c r="AK50" s="2816">
        <f>P46</f>
        <v>1</v>
      </c>
      <c r="AL50" s="2816" t="str">
        <f>IF(INDEX($A$1:$AI$343,ROW($D$29)+($B50-1)*(ROW($D$63)-ROW($D$29))+Tablas!A$1-1,COLUMN($D$29)+($AJ50-1)*(COLUMN($J$29)-COLUMN($D$29)))="","",INDEX($A$1:$AI$343,ROW($D$29)+($B50-1)*(ROW($D$63)-ROW($D$29))+Tablas!A$1-1,COLUMN($D$29)+($AJ50-1)*(COLUMN($J$29)-COLUMN($D$29))))</f>
        <v/>
      </c>
      <c r="AM50" s="2816" t="str">
        <f>IF(INDEX($A$1:$AI$343,ROW($D$29)+($B50-1)*(ROW($D$63)-ROW($D$29))+Tablas!B$1-1,COLUMN($D$29)+($AJ50-1)*(COLUMN($J$29)-COLUMN($D$29)))="","",INDEX($A$1:$AI$343,ROW($D$29)+($B50-1)*(ROW($D$63)-ROW($D$29))+Tablas!B$1-1,COLUMN($D$29)+($AJ50-1)*(COLUMN($J$29)-COLUMN($D$29))))</f>
        <v/>
      </c>
      <c r="AN50" s="2816" t="str">
        <f>IF(INDEX($A$1:$AI$343,ROW($D$29)+($B50-1)*(ROW($D$63)-ROW($D$29))+Tablas!C$1-1,COLUMN($D$29)+($AJ50-1)*(COLUMN($J$29)-COLUMN($D$29)))="","",INDEX($A$1:$AI$343,ROW($D$29)+($B50-1)*(ROW($D$63)-ROW($D$29))+Tablas!C$1-1,COLUMN($D$29)+($AJ50-1)*(COLUMN($J$29)-COLUMN($D$29))))</f>
        <v/>
      </c>
      <c r="AO50" s="2816" t="str">
        <f>IF(INDEX($A$1:$AI$343,ROW($D$29)+($B50-1)*(ROW($D$63)-ROW($D$29))+Tablas!D$1-1,COLUMN($D$29)+($AJ50-1)*(COLUMN($J$29)-COLUMN($D$29)))="","",INDEX($A$1:$AI$343,ROW($D$29)+($B50-1)*(ROW($D$63)-ROW($D$29))+Tablas!D$1-1,COLUMN($D$29)+($AJ50-1)*(COLUMN($J$29)-COLUMN($D$29))))</f>
        <v/>
      </c>
      <c r="AP50" s="2816" t="str">
        <f>IF(INDEX($A$1:$AI$343,ROW($D$29)+($B50-1)*(ROW($D$63)-ROW($D$29))+Tablas!E$1-1,COLUMN($D$29)+($AJ50-1)*(COLUMN($J$29)-COLUMN($D$29)))="","",INDEX($A$1:$AI$343,ROW($D$29)+($B50-1)*(ROW($D$63)-ROW($D$29))+Tablas!E$1-1,COLUMN($D$29)+($AJ50-1)*(COLUMN($J$29)-COLUMN($D$29))))</f>
        <v/>
      </c>
      <c r="AQ50" s="2816" t="str">
        <f>IF(INDEX($A$1:$AI$343,ROW($D$29)+($B50-1)*(ROW($D$63)-ROW($D$29))+Tablas!F$1-1,COLUMN($D$29)+($AJ50-1)*(COLUMN($J$29)-COLUMN($D$29)))="","",INDEX($A$1:$AI$343,ROW($D$29)+($B50-1)*(ROW($D$63)-ROW($D$29))+Tablas!F$1-1,COLUMN($D$29)+($AJ50-1)*(COLUMN($J$29)-COLUMN($D$29))))</f>
        <v/>
      </c>
      <c r="AR50" s="2816" t="str">
        <f>IF(INDEX($A$1:$AI$343,ROW($D$29)+($B50-1)*(ROW($D$63)-ROW($D$29))+Tablas!G$1-1,COLUMN($D$29)+($AJ50-1)*(COLUMN($J$29)-COLUMN($D$29)))="","",INDEX($A$1:$AI$343,ROW($D$29)+($B50-1)*(ROW($D$63)-ROW($D$29))+Tablas!G$1-1,COLUMN($D$29)+($AJ50-1)*(COLUMN($J$29)-COLUMN($D$29))))</f>
        <v/>
      </c>
      <c r="AS50" s="2816"/>
      <c r="AT50" s="3035">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2816" t="str">
        <f>IFERROR(VLOOKUP(F50,'Tablas Técnicas'!$C$9:$H$81,6,FALSE),"")</f>
        <v/>
      </c>
      <c r="AW50" s="3035" t="b">
        <f>OR(AV50="",ISNUMBER(SEARCH($O55,AV50)),ISNUMBER(SEARCH($Q55,AV50)),ISNUMBER(SEARCH($O56,AV50)),ISNUMBER(SEARCH($Q56,AV50)),ISNUMBER(SEARCH($O57,AV50)),ISNUMBER(SEARCH($Q57,AV50)),)</f>
        <v>1</v>
      </c>
      <c r="AX50" s="3035" t="b">
        <f>AND(P46&gt;1,OR(MAX(I63:I69)=1,MAX(I63:I69)=2))</f>
        <v>0</v>
      </c>
      <c r="AZ50" s="3035"/>
      <c r="BA50" s="2816" t="str">
        <f>IF(F50="","",F50&amp;" ("&amp;IF(AL50="","",AL50&amp;", ")&amp;IF(AM50="","",AM50&amp;", ")&amp;IF(AN50="","",AN50&amp;", ")&amp;IF(AO50="","",AO50&amp;", ")&amp;IF(AP50="","",AP50&amp;", ")&amp;IF(AQ50="","",AQ50&amp;", ")&amp;IF(AR50="","",AR50&amp;", "))</f>
        <v/>
      </c>
      <c r="BB50" s="3035" t="str">
        <f t="shared" ref="BB50:BB52" si="3">IFERROR(LEFT(BA50,LEN(BA50)-2)&amp;"), ","")</f>
        <v/>
      </c>
      <c r="BC50" s="3023" t="str">
        <f t="shared" ref="BC50:BC52" si="4">IFERROR(LEFT(BB50,LEN(BB50)-2)&amp;"), ","")</f>
        <v/>
      </c>
      <c r="BD50" s="3023"/>
      <c r="BE50" s="2867"/>
      <c r="DJ50" s="2823"/>
    </row>
    <row r="51" spans="1:114" x14ac:dyDescent="0.2">
      <c r="A51" s="3030"/>
      <c r="B51" s="3070">
        <f>1+B17</f>
        <v>2</v>
      </c>
      <c r="C51" s="5106"/>
      <c r="D51" s="5090" t="s">
        <v>790</v>
      </c>
      <c r="E51" s="5091"/>
      <c r="F51" s="5112"/>
      <c r="G51" s="5113"/>
      <c r="H51" s="5113"/>
      <c r="I51" s="5113"/>
      <c r="J51" s="5114"/>
      <c r="K51" s="5115" t="s">
        <v>1729</v>
      </c>
      <c r="L51" s="5116"/>
      <c r="M51" s="5117"/>
      <c r="N51" s="3039">
        <f>SUMPRODUCT(INDEX('Tablas Técnicas'!$O$10:$X$639,,5),--(INDEX('Tablas Técnicas'!$O$10:$X$639,,1)=F51),--(ISNUMBER(MATCH(INDEX('Tablas Técnicas'!$O$10:$X$639,,2),$AL51:$AR51,0))))</f>
        <v>0</v>
      </c>
      <c r="O51" s="3039" t="str">
        <f>V51+X51+Z51+AB51+AD51+AF51&amp;" / "&amp;SUMPRODUCT(INDEX('Tablas Técnicas'!$O$10:$X$639,,IF(D51="Primario",3,4)),--(INDEX('Tablas Técnicas'!$O$10:$X$639,,1)=F51),--(ISNUMBER(MATCH(INDEX('Tablas Técnicas'!$O$10:$X$639,,2),$AL51:$AR51,0))))+IF(AND(K51&lt;&gt;"-",K51&lt;&gt;""),SUMPRODUCT(INDEX('Tablas Técnicas'!$O$10:$X$639,,IF(K51="Mantenido",6,IF(K51="Sostenimiento menor",7,IF(K51="Sostenimiento mayor",8,0)))),--(INDEX('Tablas Técnicas'!$O$10:$X$639,,1)=F51),--(ISNUMBER(MATCH(INDEX('Tablas Técnicas'!$O$10:$X$639,,2),$AL51:$AR51,0)))),0)+AT51</f>
        <v>0 / 0</v>
      </c>
      <c r="P51" s="3039" t="str">
        <f>W51+Y51+AA51+AC51+AE51+AG51&amp;" / "&amp;IF(K51="Mantenido",SUMPRODUCT(INDEX('Tablas Técnicas'!$O$10:$X$639,,6),--(INDEX('Tablas Técnicas'!$O$10:$X$639,,1)=F51),--(ISNUMBER(MATCH(INDEX('Tablas Técnicas'!$O$10:$X$639,,2),$AL51:$AR51,0)))),0)</f>
        <v>0 / 0</v>
      </c>
      <c r="Q51" s="5092" t="str">
        <f>IFERROR(VLOOKUP(F51,'Tablas Técnicas'!$C$9:$H$81,5,FALSE),"")</f>
        <v/>
      </c>
      <c r="R51" s="5092"/>
      <c r="S51" s="5092"/>
      <c r="T51" s="5092"/>
      <c r="U51" s="5092"/>
      <c r="V51" s="3034"/>
      <c r="W51" s="2831"/>
      <c r="X51" s="3034"/>
      <c r="Y51" s="3033"/>
      <c r="Z51" s="3028"/>
      <c r="AA51" s="2831"/>
      <c r="AB51" s="3034"/>
      <c r="AC51" s="3033"/>
      <c r="AD51" s="3028"/>
      <c r="AE51" s="2831"/>
      <c r="AF51" s="3034"/>
      <c r="AG51" s="2832"/>
      <c r="AH51" s="2821"/>
      <c r="AI51" s="3030"/>
      <c r="AJ51" s="2816">
        <v>2</v>
      </c>
      <c r="AK51" s="2816">
        <f>P46</f>
        <v>1</v>
      </c>
      <c r="AL51" s="2816" t="str">
        <f>IF(INDEX($A$1:$AI$343,ROW($D$29)+($B51-1)*(ROW($D$63)-ROW($D$29))+Tablas!A$1-1,COLUMN($D$29)+($AJ51-1)*(COLUMN($J$29)-COLUMN($D$29)))="","",INDEX($A$1:$AI$343,ROW($D$29)+($B51-1)*(ROW($D$63)-ROW($D$29))+Tablas!A$1-1,COLUMN($D$29)+($AJ51-1)*(COLUMN($J$29)-COLUMN($D$29))))</f>
        <v/>
      </c>
      <c r="AM51" s="2816" t="str">
        <f>IF(INDEX($A$1:$AI$343,ROW($D$29)+($B51-1)*(ROW($D$63)-ROW($D$29))+Tablas!B$1-1,COLUMN($D$29)+($AJ51-1)*(COLUMN($J$29)-COLUMN($D$29)))="","",INDEX($A$1:$AI$343,ROW($D$29)+($B51-1)*(ROW($D$63)-ROW($D$29))+Tablas!B$1-1,COLUMN($D$29)+($AJ51-1)*(COLUMN($J$29)-COLUMN($D$29))))</f>
        <v/>
      </c>
      <c r="AN51" s="2816" t="str">
        <f>IF(INDEX($A$1:$AI$343,ROW($D$29)+($B51-1)*(ROW($D$63)-ROW($D$29))+Tablas!C$1-1,COLUMN($D$29)+($AJ51-1)*(COLUMN($J$29)-COLUMN($D$29)))="","",INDEX($A$1:$AI$343,ROW($D$29)+($B51-1)*(ROW($D$63)-ROW($D$29))+Tablas!C$1-1,COLUMN($D$29)+($AJ51-1)*(COLUMN($J$29)-COLUMN($D$29))))</f>
        <v/>
      </c>
      <c r="AO51" s="2816" t="str">
        <f>IF(INDEX($A$1:$AI$343,ROW($D$29)+($B51-1)*(ROW($D$63)-ROW($D$29))+Tablas!D$1-1,COLUMN($D$29)+($AJ51-1)*(COLUMN($J$29)-COLUMN($D$29)))="","",INDEX($A$1:$AI$343,ROW($D$29)+($B51-1)*(ROW($D$63)-ROW($D$29))+Tablas!D$1-1,COLUMN($D$29)+($AJ51-1)*(COLUMN($J$29)-COLUMN($D$29))))</f>
        <v/>
      </c>
      <c r="AP51" s="2816" t="str">
        <f>IF(INDEX($A$1:$AI$343,ROW($D$29)+($B51-1)*(ROW($D$63)-ROW($D$29))+Tablas!E$1-1,COLUMN($D$29)+($AJ51-1)*(COLUMN($J$29)-COLUMN($D$29)))="","",INDEX($A$1:$AI$343,ROW($D$29)+($B51-1)*(ROW($D$63)-ROW($D$29))+Tablas!E$1-1,COLUMN($D$29)+($AJ51-1)*(COLUMN($J$29)-COLUMN($D$29))))</f>
        <v/>
      </c>
      <c r="AQ51" s="2816" t="str">
        <f>IF(INDEX($A$1:$AI$343,ROW($D$29)+($B51-1)*(ROW($D$63)-ROW($D$29))+Tablas!F$1-1,COLUMN($D$29)+($AJ51-1)*(COLUMN($J$29)-COLUMN($D$29)))="","",INDEX($A$1:$AI$343,ROW($D$29)+($B51-1)*(ROW($D$63)-ROW($D$29))+Tablas!F$1-1,COLUMN($D$29)+($AJ51-1)*(COLUMN($J$29)-COLUMN($D$29))))</f>
        <v/>
      </c>
      <c r="AR51" s="2816" t="str">
        <f>IF(INDEX($A$1:$AI$343,ROW($D$29)+($B51-1)*(ROW($D$63)-ROW($D$29))+Tablas!G$1-1,COLUMN($D$29)+($AJ51-1)*(COLUMN($J$29)-COLUMN($D$29)))="","",INDEX($A$1:$AI$343,ROW($D$29)+($B51-1)*(ROW($D$63)-ROW($D$29))+Tablas!G$1-1,COLUMN($D$29)+($AJ51-1)*(COLUMN($J$29)-COLUMN($D$29))))</f>
        <v/>
      </c>
      <c r="AS51" s="2816"/>
      <c r="AT51" s="3035">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2816" t="str">
        <f>IFERROR(VLOOKUP(F51,'Tablas Técnicas'!$C$9:$H$81,6,FALSE),"")</f>
        <v/>
      </c>
      <c r="AW51" s="3035" t="b">
        <f>OR(AX34="",OR(ISNUMBER(SEARCH($O55,AV51)),ISNUMBER(SEARCH($Q55,AV51)),ISNUMBER(SEARCH($O56,AV51)),ISNUMBER(SEARCH($Q56,AV51)),ISNUMBER(SEARCH($O57,AV51)),ISNUMBER(SEARCH($Q57,AV51)),))</f>
        <v>1</v>
      </c>
      <c r="AX51" s="3035" t="b">
        <f>AND(P46&gt;1,OR(MAX(O63:O69)=1,MAX(O63:O69)=2))</f>
        <v>0</v>
      </c>
      <c r="AZ51" s="3035"/>
      <c r="BA51" s="2816" t="str">
        <f>IF(F51="","",F51&amp;" ("&amp;IF(AL51="","",AL51&amp;", ")&amp;IF(AM51="","",AM51&amp;", ")&amp;IF(AN51="","",AN51&amp;", ")&amp;IF(AO51="","",AO51&amp;", ")&amp;IF(AP51="","",AP51&amp;", ")&amp;IF(AQ51="","",AQ51&amp;", ")&amp;IF(AR51="","",AR51&amp;", "))</f>
        <v/>
      </c>
      <c r="BB51" s="3035" t="str">
        <f t="shared" si="3"/>
        <v/>
      </c>
      <c r="BC51" s="3023" t="str">
        <f t="shared" si="4"/>
        <v/>
      </c>
      <c r="BD51" s="3023"/>
      <c r="BE51" s="2867"/>
      <c r="DJ51" s="2823"/>
    </row>
    <row r="52" spans="1:114" x14ac:dyDescent="0.2">
      <c r="A52" s="3030"/>
      <c r="B52" s="3070">
        <f>1+B18</f>
        <v>2</v>
      </c>
      <c r="C52" s="5106"/>
      <c r="D52" s="5131" t="s">
        <v>790</v>
      </c>
      <c r="E52" s="5132"/>
      <c r="F52" s="5118"/>
      <c r="G52" s="5119"/>
      <c r="H52" s="5119"/>
      <c r="I52" s="5119"/>
      <c r="J52" s="5120"/>
      <c r="K52" s="5121" t="s">
        <v>1729</v>
      </c>
      <c r="L52" s="5122"/>
      <c r="M52" s="5123"/>
      <c r="N52" s="3040">
        <f>SUMPRODUCT(INDEX('Tablas Técnicas'!$O$10:$X$639,,5),--(INDEX('Tablas Técnicas'!$O$10:$X$639,,1)=F52),--(ISNUMBER(MATCH(INDEX('Tablas Técnicas'!$O$10:$X$639,,2),$AL52:$AR52,0))))</f>
        <v>0</v>
      </c>
      <c r="O52" s="3040" t="str">
        <f>V52+X52+Z52+AB52+AD52+AF52&amp;" / "&amp;SUMPRODUCT(INDEX('Tablas Técnicas'!$O$10:$X$639,,IF(D52="Primario",3,4)),--(INDEX('Tablas Técnicas'!$O$10:$X$639,,1)=F52),--(ISNUMBER(MATCH(INDEX('Tablas Técnicas'!$O$10:$X$639,,2),$AL52:$AR52,0))))+IF(AND(K52&lt;&gt;"-",K52&lt;&gt;""),SUMPRODUCT(INDEX('Tablas Técnicas'!$O$10:$X$639,,IF(K52="Mantenido",6,IF(K52="Sostenimiento menor",7,IF(K52="Sostenimiento mayor",8,0)))),--(INDEX('Tablas Técnicas'!$O$10:$X$639,,1)=F52),--(ISNUMBER(MATCH(INDEX('Tablas Técnicas'!$O$10:$X$639,,2),$AL52:$AR52,0)))),0)+AT52</f>
        <v>0 / 0</v>
      </c>
      <c r="P52" s="3040" t="str">
        <f>W52+Y52+AA52+AC52+AE52+AG52&amp;" / "&amp;IF(K52="Mantenido",SUMPRODUCT(INDEX('Tablas Técnicas'!$O$10:$X$639,,6),--(INDEX('Tablas Técnicas'!$O$10:$X$639,,1)=F52),--(ISNUMBER(MATCH(INDEX('Tablas Técnicas'!$O$10:$X$639,,2),$AL52:$AR52,0)))),0)</f>
        <v>0 / 0</v>
      </c>
      <c r="Q52" s="5133" t="str">
        <f>IFERROR(VLOOKUP(F52,'Tablas Técnicas'!$C$9:$H$81,5,FALSE),"")</f>
        <v/>
      </c>
      <c r="R52" s="5133"/>
      <c r="S52" s="5133"/>
      <c r="T52" s="5133"/>
      <c r="U52" s="5133"/>
      <c r="V52" s="2833"/>
      <c r="W52" s="2834"/>
      <c r="X52" s="3038"/>
      <c r="Y52" s="3037"/>
      <c r="Z52" s="3029"/>
      <c r="AA52" s="2834"/>
      <c r="AB52" s="3038"/>
      <c r="AC52" s="3037"/>
      <c r="AD52" s="3029"/>
      <c r="AE52" s="2834"/>
      <c r="AF52" s="3038"/>
      <c r="AG52" s="2835"/>
      <c r="AH52" s="2821"/>
      <c r="AI52" s="3030"/>
      <c r="AJ52" s="2816">
        <v>3</v>
      </c>
      <c r="AK52" s="2816">
        <f>P46</f>
        <v>1</v>
      </c>
      <c r="AL52" s="2816" t="str">
        <f>IF(INDEX($A$1:$AI$343,ROW($D$29)+($B52-1)*(ROW($D$63)-ROW($D$29))+Tablas!A$1-1,COLUMN($D$29)+($AJ52-1)*(COLUMN($J$29)-COLUMN($D$29)))="","",INDEX($A$1:$AI$343,ROW($D$29)+($B52-1)*(ROW($D$63)-ROW($D$29))+Tablas!A$1-1,COLUMN($D$29)+($AJ52-1)*(COLUMN($J$29)-COLUMN($D$29))))</f>
        <v/>
      </c>
      <c r="AM52" s="2816" t="str">
        <f>IF(INDEX($A$1:$AI$343,ROW($D$29)+($B52-1)*(ROW($D$63)-ROW($D$29))+Tablas!B$1-1,COLUMN($D$29)+($AJ52-1)*(COLUMN($J$29)-COLUMN($D$29)))="","",INDEX($A$1:$AI$343,ROW($D$29)+($B52-1)*(ROW($D$63)-ROW($D$29))+Tablas!B$1-1,COLUMN($D$29)+($AJ52-1)*(COLUMN($J$29)-COLUMN($D$29))))</f>
        <v/>
      </c>
      <c r="AN52" s="2816" t="str">
        <f>IF(INDEX($A$1:$AI$343,ROW($D$29)+($B52-1)*(ROW($D$63)-ROW($D$29))+Tablas!C$1-1,COLUMN($D$29)+($AJ52-1)*(COLUMN($J$29)-COLUMN($D$29)))="","",INDEX($A$1:$AI$343,ROW($D$29)+($B52-1)*(ROW($D$63)-ROW($D$29))+Tablas!C$1-1,COLUMN($D$29)+($AJ52-1)*(COLUMN($J$29)-COLUMN($D$29))))</f>
        <v/>
      </c>
      <c r="AO52" s="2816" t="str">
        <f>IF(INDEX($A$1:$AI$343,ROW($D$29)+($B52-1)*(ROW($D$63)-ROW($D$29))+Tablas!D$1-1,COLUMN($D$29)+($AJ52-1)*(COLUMN($J$29)-COLUMN($D$29)))="","",INDEX($A$1:$AI$343,ROW($D$29)+($B52-1)*(ROW($D$63)-ROW($D$29))+Tablas!D$1-1,COLUMN($D$29)+($AJ52-1)*(COLUMN($J$29)-COLUMN($D$29))))</f>
        <v/>
      </c>
      <c r="AP52" s="2816" t="str">
        <f>IF(INDEX($A$1:$AI$343,ROW($D$29)+($B52-1)*(ROW($D$63)-ROW($D$29))+Tablas!E$1-1,COLUMN($D$29)+($AJ52-1)*(COLUMN($J$29)-COLUMN($D$29)))="","",INDEX($A$1:$AI$343,ROW($D$29)+($B52-1)*(ROW($D$63)-ROW($D$29))+Tablas!E$1-1,COLUMN($D$29)+($AJ52-1)*(COLUMN($J$29)-COLUMN($D$29))))</f>
        <v/>
      </c>
      <c r="AQ52" s="2816" t="str">
        <f>IF(INDEX($A$1:$AI$343,ROW($D$29)+($B52-1)*(ROW($D$63)-ROW($D$29))+Tablas!F$1-1,COLUMN($D$29)+($AJ52-1)*(COLUMN($J$29)-COLUMN($D$29)))="","",INDEX($A$1:$AI$343,ROW($D$29)+($B52-1)*(ROW($D$63)-ROW($D$29))+Tablas!F$1-1,COLUMN($D$29)+($AJ52-1)*(COLUMN($J$29)-COLUMN($D$29))))</f>
        <v/>
      </c>
      <c r="AR52" s="2816" t="str">
        <f>IF(INDEX($A$1:$AI$343,ROW($D$29)+($B52-1)*(ROW($D$63)-ROW($D$29))+Tablas!G$1-1,COLUMN($D$29)+($AJ52-1)*(COLUMN($J$29)-COLUMN($D$29)))="","",INDEX($A$1:$AI$343,ROW($D$29)+($B52-1)*(ROW($D$63)-ROW($D$29))+Tablas!G$1-1,COLUMN($D$29)+($AJ52-1)*(COLUMN($J$29)-COLUMN($D$29))))</f>
        <v/>
      </c>
      <c r="AS52" s="2816"/>
      <c r="AT52" s="3035">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2816" t="str">
        <f>IFERROR(VLOOKUP(F52,'Tablas Técnicas'!$C$9:$H$81,6,FALSE),"")</f>
        <v/>
      </c>
      <c r="AW52" s="3035" t="b">
        <f>OR(AV52="",OR(ISNUMBER(SEARCH($O55,AV52)),ISNUMBER(SEARCH($Q55,AV52)),ISNUMBER(SEARCH($O56,AV52)),ISNUMBER(SEARCH($Q56,AV52)),ISNUMBER(SEARCH($O57,AV52)),ISNUMBER(SEARCH($Q57,AV52)),))</f>
        <v>1</v>
      </c>
      <c r="AX52" s="3035" t="b">
        <f>AND(P46&gt;1,OR(MAX(U63:U69)=1,MAX(U63:U69)=2))</f>
        <v>0</v>
      </c>
      <c r="AZ52" s="3035"/>
      <c r="BA52" s="2816" t="str">
        <f>IF(F52="","",F52&amp;" ("&amp;IF(AL52="","",AL52&amp;", ")&amp;IF(AM52="","",AM52&amp;", ")&amp;IF(AN52="","",AN52&amp;", ")&amp;IF(AO52="","",AO52&amp;", ")&amp;IF(AP52="","",AP52&amp;", ")&amp;IF(AQ52="","",AQ52&amp;", ")&amp;IF(AR52="","",AR52&amp;", "))</f>
        <v/>
      </c>
      <c r="BB52" s="3035" t="str">
        <f t="shared" si="3"/>
        <v/>
      </c>
      <c r="BC52" s="3023" t="str">
        <f t="shared" si="4"/>
        <v/>
      </c>
      <c r="BD52" s="3023"/>
      <c r="BE52" s="2867"/>
      <c r="DJ52" s="2823"/>
    </row>
    <row r="53" spans="1:114" x14ac:dyDescent="0.2">
      <c r="A53" s="3030"/>
      <c r="B53" s="3070">
        <f>1+B19</f>
        <v>2</v>
      </c>
      <c r="C53" s="5106"/>
      <c r="D53" s="5090" t="s">
        <v>790</v>
      </c>
      <c r="E53" s="5091"/>
      <c r="F53" s="5112"/>
      <c r="G53" s="5113"/>
      <c r="H53" s="5113"/>
      <c r="I53" s="5113"/>
      <c r="J53" s="5114"/>
      <c r="K53" s="5115" t="s">
        <v>1729</v>
      </c>
      <c r="L53" s="5116"/>
      <c r="M53" s="5117"/>
      <c r="N53" s="3039">
        <f>SUMPRODUCT(INDEX('Tablas Técnicas'!$O$10:$X$639,,5),--(INDEX('Tablas Técnicas'!$O$10:$X$639,,1)=F53),--(ISNUMBER(MATCH(INDEX('Tablas Técnicas'!$O$10:$X$639,,2),$AL53:$AR53,0))))</f>
        <v>0</v>
      </c>
      <c r="O53" s="3039" t="str">
        <f>V53+X53+Z53+AB53+AD53+AF53&amp;" / "&amp;SUMPRODUCT(INDEX('Tablas Técnicas'!$O$10:$X$639,,IF(D53="Primario",3,4)),--(INDEX('Tablas Técnicas'!$O$10:$X$639,,1)=F53),--(ISNUMBER(MATCH(INDEX('Tablas Técnicas'!$O$10:$X$639,,2),$AL53:$AR53,0))))+IF(AND(K53&lt;&gt;"-",K53&lt;&gt;""),SUMPRODUCT(INDEX('Tablas Técnicas'!$O$10:$X$639,,IF(K53="Mantenido",6,IF(K53="Sostenimiento menor",7,IF(K53="Sostenimiento mayor",8,0)))),--(INDEX('Tablas Técnicas'!$O$10:$X$639,,1)=F53),--(ISNUMBER(MATCH(INDEX('Tablas Técnicas'!$O$10:$X$639,,2),$AL53:$AR53,0)))),0)+AT53</f>
        <v>0 / 0</v>
      </c>
      <c r="P53" s="3039" t="str">
        <f>W53+Y53+AA53+AC53+AE53+AG53&amp;" / "&amp;IF(K53="Mantenido",SUMPRODUCT(INDEX('Tablas Técnicas'!$O$10:$X$639,,6),--(INDEX('Tablas Técnicas'!$O$10:$X$639,,1)=F53),--(ISNUMBER(MATCH(INDEX('Tablas Técnicas'!$O$10:$X$639,,2),$AL53:$AR53,0)))),0)</f>
        <v>0 / 0</v>
      </c>
      <c r="Q53" s="5092" t="str">
        <f>IFERROR(VLOOKUP(F53,'Tablas Técnicas'!$C$9:$H$81,5,FALSE),"")</f>
        <v/>
      </c>
      <c r="R53" s="5092"/>
      <c r="S53" s="5092"/>
      <c r="T53" s="5092"/>
      <c r="U53" s="5092"/>
      <c r="V53" s="3034"/>
      <c r="W53" s="2831"/>
      <c r="X53" s="3034"/>
      <c r="Y53" s="3033"/>
      <c r="Z53" s="3028"/>
      <c r="AA53" s="2831"/>
      <c r="AB53" s="3034"/>
      <c r="AC53" s="3033"/>
      <c r="AD53" s="3028"/>
      <c r="AE53" s="2831"/>
      <c r="AF53" s="3034"/>
      <c r="AG53" s="2832"/>
      <c r="AH53" s="2821"/>
      <c r="AI53" s="3030"/>
      <c r="AJ53" s="2816">
        <v>4</v>
      </c>
      <c r="AK53" s="2816">
        <f>P46</f>
        <v>1</v>
      </c>
      <c r="AL53" s="2816" t="str">
        <f>IF(INDEX($A$1:$AI$343,ROW($D$29)+($B53-1)*(ROW($D$63)-ROW($D$29))+Tablas!A$1-1,COLUMN($D$29)+($AJ53-1)*(COLUMN($J$29)-COLUMN($D$29)))="","",INDEX($A$1:$AI$343,ROW($D$29)+($B53-1)*(ROW($D$63)-ROW($D$29))+Tablas!A$1-1,COLUMN($D$29)+($AJ53-1)*(COLUMN($J$29)-COLUMN($D$29))))</f>
        <v/>
      </c>
      <c r="AM53" s="2816" t="str">
        <f>IF(INDEX($A$1:$AI$343,ROW($D$29)+($B53-1)*(ROW($D$63)-ROW($D$29))+Tablas!B$1-1,COLUMN($D$29)+($AJ53-1)*(COLUMN($J$29)-COLUMN($D$29)))="","",INDEX($A$1:$AI$343,ROW($D$29)+($B53-1)*(ROW($D$63)-ROW($D$29))+Tablas!B$1-1,COLUMN($D$29)+($AJ53-1)*(COLUMN($J$29)-COLUMN($D$29))))</f>
        <v/>
      </c>
      <c r="AN53" s="2816" t="str">
        <f>IF(INDEX($A$1:$AI$343,ROW($D$29)+($B53-1)*(ROW($D$63)-ROW($D$29))+Tablas!C$1-1,COLUMN($D$29)+($AJ53-1)*(COLUMN($J$29)-COLUMN($D$29)))="","",INDEX($A$1:$AI$343,ROW($D$29)+($B53-1)*(ROW($D$63)-ROW($D$29))+Tablas!C$1-1,COLUMN($D$29)+($AJ53-1)*(COLUMN($J$29)-COLUMN($D$29))))</f>
        <v/>
      </c>
      <c r="AO53" s="2816" t="str">
        <f>IF(INDEX($A$1:$AI$343,ROW($D$29)+($B53-1)*(ROW($D$63)-ROW($D$29))+Tablas!D$1-1,COLUMN($D$29)+($AJ53-1)*(COLUMN($J$29)-COLUMN($D$29)))="","",INDEX($A$1:$AI$343,ROW($D$29)+($B53-1)*(ROW($D$63)-ROW($D$29))+Tablas!D$1-1,COLUMN($D$29)+($AJ53-1)*(COLUMN($J$29)-COLUMN($D$29))))</f>
        <v/>
      </c>
      <c r="AP53" s="2816" t="str">
        <f>IF(INDEX($A$1:$AI$343,ROW($D$29)+($B53-1)*(ROW($D$63)-ROW($D$29))+Tablas!E$1-1,COLUMN($D$29)+($AJ53-1)*(COLUMN($J$29)-COLUMN($D$29)))="","",INDEX($A$1:$AI$343,ROW($D$29)+($B53-1)*(ROW($D$63)-ROW($D$29))+Tablas!E$1-1,COLUMN($D$29)+($AJ53-1)*(COLUMN($J$29)-COLUMN($D$29))))</f>
        <v/>
      </c>
      <c r="AQ53" s="2816" t="str">
        <f>IF(INDEX($A$1:$AI$343,ROW($D$29)+($B53-1)*(ROW($D$63)-ROW($D$29))+Tablas!F$1-1,COLUMN($D$29)+($AJ53-1)*(COLUMN($J$29)-COLUMN($D$29)))="","",INDEX($A$1:$AI$343,ROW($D$29)+($B53-1)*(ROW($D$63)-ROW($D$29))+Tablas!F$1-1,COLUMN($D$29)+($AJ53-1)*(COLUMN($J$29)-COLUMN($D$29))))</f>
        <v/>
      </c>
      <c r="AR53" s="2816" t="str">
        <f>IF(INDEX($A$1:$AI$343,ROW($D$29)+($B53-1)*(ROW($D$63)-ROW($D$29))+Tablas!G$1-1,COLUMN($D$29)+($AJ53-1)*(COLUMN($J$29)-COLUMN($D$29)))="","",INDEX($A$1:$AI$343,ROW($D$29)+($B53-1)*(ROW($D$63)-ROW($D$29))+Tablas!G$1-1,COLUMN($D$29)+($AJ53-1)*(COLUMN($J$29)-COLUMN($D$29))))</f>
        <v/>
      </c>
      <c r="AS53" s="2816"/>
      <c r="AT53" s="3035">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2816" t="str">
        <f>IFERROR(VLOOKUP(F53,'Tablas Técnicas'!$C$9:$H$81,6,FALSE),"")</f>
        <v/>
      </c>
      <c r="AW53" s="3035" t="b">
        <f>OR(AV53="",OR(ISNUMBER(SEARCH($O55,AV53)),ISNUMBER(SEARCH($Q55,AV53)),ISNUMBER(SEARCH($O56,AV53)),ISNUMBER(SEARCH($Q56,AV53)),ISNUMBER(SEARCH($O57,AV53)),ISNUMBER(SEARCH($Q57,AV53)),))</f>
        <v>1</v>
      </c>
      <c r="AX53" s="3035" t="b">
        <f>AND(P46&gt;1,OR(MAX(AA63:AA69)=1,MAX(AA63:AA69)=2))</f>
        <v>0</v>
      </c>
      <c r="AZ53" s="3035"/>
      <c r="BA53" s="2816" t="str">
        <f>IF(F53="","",F53&amp;" ("&amp;IF(AL53="","",AL53&amp;", ")&amp;IF(AM53="","",AM53&amp;", ")&amp;IF(AN53="","",AN53&amp;", ")&amp;IF(AO53="","",AO53&amp;", ")&amp;IF(AP53="","",AP53&amp;", ")&amp;IF(AQ53="","",AQ53&amp;", ")&amp;IF(AR53="","",AR53&amp;", "))</f>
        <v/>
      </c>
      <c r="BB53" s="3035" t="str">
        <f>IFERROR(LEFT(BA53,LEN(BA53)-2)&amp;"), ","")</f>
        <v/>
      </c>
      <c r="BC53" s="3023" t="str">
        <f>IFERROR(LEFT(BB53,LEN(BB53)-2)&amp;"), ","")</f>
        <v/>
      </c>
      <c r="BD53" s="3023"/>
      <c r="BE53" s="2867"/>
      <c r="DJ53" s="2823"/>
    </row>
    <row r="54" spans="1:114" x14ac:dyDescent="0.2">
      <c r="A54" s="3030"/>
      <c r="B54" s="3070">
        <f>1+B20</f>
        <v>2</v>
      </c>
      <c r="C54" s="5106"/>
      <c r="D54" s="5093" t="s">
        <v>790</v>
      </c>
      <c r="E54" s="5094"/>
      <c r="F54" s="5084"/>
      <c r="G54" s="5085"/>
      <c r="H54" s="5085"/>
      <c r="I54" s="5085"/>
      <c r="J54" s="5086"/>
      <c r="K54" s="5087" t="s">
        <v>1729</v>
      </c>
      <c r="L54" s="5088"/>
      <c r="M54" s="5089"/>
      <c r="N54" s="3032">
        <f>SUMPRODUCT(INDEX('Tablas Técnicas'!$O$10:$X$639,,5),--(INDEX('Tablas Técnicas'!$O$10:$X$639,,1)=F54),--(ISNUMBER(MATCH(INDEX('Tablas Técnicas'!$O$10:$X$639,,2),$AL54:$AR54,0))))</f>
        <v>0</v>
      </c>
      <c r="O54" s="3032" t="str">
        <f>V54+X54+Z54+AB54+AD54+AF54&amp;" / "&amp;SUMPRODUCT(INDEX('Tablas Técnicas'!$O$10:$X$639,,IF(D54="Primario",3,4)),--(INDEX('Tablas Técnicas'!$O$10:$X$639,,1)=F54),--(ISNUMBER(MATCH(INDEX('Tablas Técnicas'!$O$10:$X$639,,2),$AL54:$AR54,0))))+IF(AND(K54&lt;&gt;"-",K54&lt;&gt;""),SUMPRODUCT(INDEX('Tablas Técnicas'!$O$10:$X$639,,IF(K54="Mantenido",6,IF(K54="Sostenimiento menor",7,IF(K54="Sostenimiento mayor",8,0)))),--(INDEX('Tablas Técnicas'!$O$10:$X$639,,1)=F54),--(ISNUMBER(MATCH(INDEX('Tablas Técnicas'!$O$10:$X$639,,2),$AL54:$AR54,0)))),0)+AT54</f>
        <v>0 / 0</v>
      </c>
      <c r="P54" s="3032" t="str">
        <f>W54+Y54+AA54+AC54+AE54+AG54&amp;" / "&amp;IF(K54="Mantenido",SUMPRODUCT(INDEX('Tablas Técnicas'!$O$10:$X$639,,6),--(INDEX('Tablas Técnicas'!$O$10:$X$639,,1)=F54),--(ISNUMBER(MATCH(INDEX('Tablas Técnicas'!$O$10:$X$639,,2),$AL54:$AR54,0)))),0)</f>
        <v>0 / 0</v>
      </c>
      <c r="Q54" s="5095" t="str">
        <f>IFERROR(VLOOKUP(F54,'Tablas Técnicas'!$C$9:$H$81,5,FALSE),"")</f>
        <v/>
      </c>
      <c r="R54" s="5095"/>
      <c r="S54" s="5095"/>
      <c r="T54" s="5095"/>
      <c r="U54" s="5095"/>
      <c r="V54" s="2836"/>
      <c r="W54" s="2837"/>
      <c r="X54" s="2836"/>
      <c r="Y54" s="2838"/>
      <c r="Z54" s="2839"/>
      <c r="AA54" s="2837"/>
      <c r="AB54" s="2836"/>
      <c r="AC54" s="2838"/>
      <c r="AD54" s="2839"/>
      <c r="AE54" s="2837"/>
      <c r="AF54" s="2836"/>
      <c r="AG54" s="2840"/>
      <c r="AH54" s="2821"/>
      <c r="AI54" s="3030"/>
      <c r="AJ54" s="2816">
        <v>5</v>
      </c>
      <c r="AK54" s="2816">
        <f>P46</f>
        <v>1</v>
      </c>
      <c r="AL54" s="2816" t="str">
        <f>IF(INDEX($A$1:$AI$343,ROW($D$29)+($B54-1)*(ROW($D$63)-ROW($D$29))+Tablas!A$1-1,COLUMN($D$29)+($AJ54-1)*(COLUMN($J$29)-COLUMN($D$29)))="","",INDEX($A$1:$AI$343,ROW($D$29)+($B54-1)*(ROW($D$63)-ROW($D$29))+Tablas!A$1-1,COLUMN($D$29)+($AJ54-1)*(COLUMN($J$29)-COLUMN($D$29))))</f>
        <v/>
      </c>
      <c r="AM54" s="2816" t="str">
        <f>IF(INDEX($A$1:$AI$343,ROW($D$29)+($B54-1)*(ROW($D$63)-ROW($D$29))+Tablas!B$1-1,COLUMN($D$29)+($AJ54-1)*(COLUMN($J$29)-COLUMN($D$29)))="","",INDEX($A$1:$AI$343,ROW($D$29)+($B54-1)*(ROW($D$63)-ROW($D$29))+Tablas!B$1-1,COLUMN($D$29)+($AJ54-1)*(COLUMN($J$29)-COLUMN($D$29))))</f>
        <v/>
      </c>
      <c r="AN54" s="2816" t="str">
        <f>IF(INDEX($A$1:$AI$343,ROW($D$29)+($B54-1)*(ROW($D$63)-ROW($D$29))+Tablas!C$1-1,COLUMN($D$29)+($AJ54-1)*(COLUMN($J$29)-COLUMN($D$29)))="","",INDEX($A$1:$AI$343,ROW($D$29)+($B54-1)*(ROW($D$63)-ROW($D$29))+Tablas!C$1-1,COLUMN($D$29)+($AJ54-1)*(COLUMN($J$29)-COLUMN($D$29))))</f>
        <v/>
      </c>
      <c r="AO54" s="2816" t="str">
        <f>IF(INDEX($A$1:$AI$343,ROW($D$29)+($B54-1)*(ROW($D$63)-ROW($D$29))+Tablas!D$1-1,COLUMN($D$29)+($AJ54-1)*(COLUMN($J$29)-COLUMN($D$29)))="","",INDEX($A$1:$AI$343,ROW($D$29)+($B54-1)*(ROW($D$63)-ROW($D$29))+Tablas!D$1-1,COLUMN($D$29)+($AJ54-1)*(COLUMN($J$29)-COLUMN($D$29))))</f>
        <v/>
      </c>
      <c r="AP54" s="2816" t="str">
        <f>IF(INDEX($A$1:$AI$343,ROW($D$29)+($B54-1)*(ROW($D$63)-ROW($D$29))+Tablas!E$1-1,COLUMN($D$29)+($AJ54-1)*(COLUMN($J$29)-COLUMN($D$29)))="","",INDEX($A$1:$AI$343,ROW($D$29)+($B54-1)*(ROW($D$63)-ROW($D$29))+Tablas!E$1-1,COLUMN($D$29)+($AJ54-1)*(COLUMN($J$29)-COLUMN($D$29))))</f>
        <v/>
      </c>
      <c r="AQ54" s="2816" t="str">
        <f>IF(INDEX($A$1:$AI$343,ROW($D$29)+($B54-1)*(ROW($D$63)-ROW($D$29))+Tablas!F$1-1,COLUMN($D$29)+($AJ54-1)*(COLUMN($J$29)-COLUMN($D$29)))="","",INDEX($A$1:$AI$343,ROW($D$29)+($B54-1)*(ROW($D$63)-ROW($D$29))+Tablas!F$1-1,COLUMN($D$29)+($AJ54-1)*(COLUMN($J$29)-COLUMN($D$29))))</f>
        <v/>
      </c>
      <c r="AR54" s="2816" t="str">
        <f>IF(INDEX($A$1:$AI$343,ROW($D$29)+($B54-1)*(ROW($D$63)-ROW($D$29))+Tablas!G$1-1,COLUMN($D$29)+($AJ54-1)*(COLUMN($J$29)-COLUMN($D$29)))="","",INDEX($A$1:$AI$343,ROW($D$29)+($B54-1)*(ROW($D$63)-ROW($D$29))+Tablas!G$1-1,COLUMN($D$29)+($AJ54-1)*(COLUMN($J$29)-COLUMN($D$29))))</f>
        <v/>
      </c>
      <c r="AS54" s="2816"/>
      <c r="AT54" s="3035">
        <f>IF(AND(ISNUMBER(FIND(V$14&amp;"+",$Q54)),V54&gt;0),MID($Q54,FIND(V$14&amp;"+",$Q54)+4,1),0)+IF(AND(ISNUMBER(FIND(X$14&amp;"+",$Q54)),X54&gt;0),MID($Q54,FIND(X$14&amp;"+",$Q54)+4,1),0)+IF(AND(ISNUMBER(FIND(Z$14&amp;"+",$Q54)),Z54&gt;0),MID($Q54,FIND(Z$14&amp;"+",$Q54)+4,1),0)+IF(AND(ISNUMBER(FIND(AB$14&amp;"+",$Q54)),AB54&gt;0),MID($Q54,FIND(AB$14&amp;"+",$Q54)+4,1),0)+IF(AND(ISNUMBER(FIND(AD$14&amp;"+",$Q54)),AD54&gt;0),MID($Q54,FIND(AD$14&amp;"+",$Q54)+4,1),0)+IF(AND(ISNUMBER(FIND(AF$14&amp;"+",$Q54)),AF54&gt;0),MID($Q54,FIND(AF$14&amp;"+",$Q54)+4,1),0)</f>
        <v>0</v>
      </c>
      <c r="AV54" s="2816" t="str">
        <f>IFERROR(VLOOKUP(F54,'Tablas Técnicas'!$C$9:$H$81,6,FALSE),"")</f>
        <v/>
      </c>
      <c r="AW54" s="3035" t="b">
        <f>OR(AV54="",OR(ISNUMBER(SEARCH($O55,AV54)),ISNUMBER(SEARCH($Q55,AV54)),ISNUMBER(SEARCH($O56,AV54)),ISNUMBER(SEARCH($Q56,AV54)),ISNUMBER(SEARCH($O57,AV54)),ISNUMBER(SEARCH($Q57,AV54)),))</f>
        <v>1</v>
      </c>
      <c r="AX54" s="3035" t="b">
        <f>AND(P46&gt;1,OR(MAX(AG63:AG69)=1,MAX(AG63:AG69)=2))</f>
        <v>0</v>
      </c>
      <c r="AZ54" s="3035"/>
      <c r="BA54" s="2816" t="str">
        <f>IF(F54="","",F54&amp;" ("&amp;IF(AL54="","",AL54&amp;", ")&amp;IF(AM54="","",AM54&amp;", ")&amp;IF(AN54="","",AN54&amp;", ")&amp;IF(AO54="","",AO54&amp;", ")&amp;IF(AP54="","",AP54&amp;", ")&amp;IF(AQ54="","",AQ54&amp;", ")&amp;IF(AR54="","",AR54&amp;", "))</f>
        <v/>
      </c>
      <c r="BB54" s="3035" t="str">
        <f t="shared" ref="BB54" si="5">IFERROR(LEFT(BA54,LEN(BA54)-2)&amp;"), ","")</f>
        <v/>
      </c>
      <c r="BC54" s="3023" t="str">
        <f t="shared" ref="BC54" si="6">IFERROR(LEFT(BB54,LEN(BB54)-2)&amp;"), ","")</f>
        <v/>
      </c>
      <c r="BD54" s="3023"/>
      <c r="BE54" s="2867"/>
      <c r="DJ54" s="2823"/>
    </row>
    <row r="55" spans="1:114" x14ac:dyDescent="0.2">
      <c r="A55" s="3030"/>
      <c r="B55" s="3070">
        <f>1+B21</f>
        <v>2</v>
      </c>
      <c r="C55" s="5106"/>
      <c r="D55" s="5096" t="s">
        <v>3218</v>
      </c>
      <c r="E55" s="5097"/>
      <c r="F55" s="5102"/>
      <c r="G55" s="5103"/>
      <c r="H55" s="5103"/>
      <c r="I55" s="5103"/>
      <c r="J55" s="5104"/>
      <c r="K55" s="5128"/>
      <c r="L55" s="5176"/>
      <c r="M55" s="5177"/>
      <c r="N55" s="2841" t="str">
        <f>IF(F55="","",SUMPRODUCT(--(INDEX('Tablas Técnicas'!$C$114:$F$200,,1)=F55),--(INDEX('Tablas Técnicas'!$C$114:$F$200,,2)=K55),INDEX('Tablas Técnicas'!$C$114:$F$200,,3)))</f>
        <v/>
      </c>
      <c r="O55" s="5178"/>
      <c r="P55" s="5179"/>
      <c r="Q55" s="5180"/>
      <c r="R55" s="5179"/>
      <c r="S55" s="3036" t="str">
        <f>IF(K55="","","Nivel: "&amp;MAX(1,SUMPRODUCT(--(INDEX('Tablas Técnicas'!$C$114:$F$200,,1)=F55),--(INDEX('Tablas Técnicas'!$C$114:$F$200,,2)=K55),INDEX('Tablas Técnicas'!$C$114:$F$200,,4))))</f>
        <v/>
      </c>
      <c r="T55" s="2842"/>
      <c r="U55" s="2843" t="str">
        <f>IFERROR("("&amp;VLOOKUP(F55,'Tablas Técnicas'!$C$86:$E$108,3,FALSE)&amp;")","")</f>
        <v/>
      </c>
      <c r="V55" s="5195" t="s">
        <v>10245</v>
      </c>
      <c r="W55" s="5196"/>
      <c r="X55" s="5196"/>
      <c r="Y55" s="5196"/>
      <c r="Z55" s="5196"/>
      <c r="AA55" s="5196"/>
      <c r="AB55" s="5196"/>
      <c r="AC55" s="5196"/>
      <c r="AD55" s="5196"/>
      <c r="AE55" s="5196"/>
      <c r="AF55" s="5196"/>
      <c r="AG55" s="5197"/>
      <c r="AH55" s="2821"/>
      <c r="AI55" s="3030"/>
      <c r="AJ55" s="2816">
        <v>1</v>
      </c>
      <c r="AK55" s="2816">
        <f>P46</f>
        <v>1</v>
      </c>
      <c r="AL55" s="2816" t="e">
        <f>VLOOKUP(F55,'Tablas Técnicas'!$C$86:$E$108,2,FALSE)</f>
        <v>#N/A</v>
      </c>
      <c r="AN55" s="2817"/>
      <c r="AR55" s="2816"/>
      <c r="AS55" s="2816"/>
      <c r="AT55" s="2816"/>
      <c r="AU55" s="2816"/>
      <c r="AV55" s="3035"/>
      <c r="AW55" s="3035" t="b">
        <f>F55="Atadura Elemental"</f>
        <v>0</v>
      </c>
      <c r="AX55" s="3035"/>
      <c r="AZ55" s="3035"/>
      <c r="BA55" s="3035"/>
      <c r="BB55" s="2816" t="str">
        <f>IF(F55="","",F55&amp;IF(K55="",""," ("&amp;IF(F55="Atadura Elemental",O55&amp;IF(Q55="","",", "&amp;Q55),K55)&amp;")")&amp;", ")</f>
        <v/>
      </c>
      <c r="BC55" s="2816" t="str">
        <f>IF(F55="","",F55&amp;IF(K55="",""," ("&amp;IF(F55="Atadura Elemental",O55&amp;IF(Q55="","",", "&amp;Q55),K55)&amp;")")&amp;", ")</f>
        <v/>
      </c>
      <c r="BD55" s="3023"/>
      <c r="BE55" s="2867"/>
      <c r="DJ55" s="2823"/>
    </row>
    <row r="56" spans="1:114" ht="12" customHeight="1" x14ac:dyDescent="0.2">
      <c r="A56" s="3030"/>
      <c r="B56" s="3070">
        <f>1+B22</f>
        <v>2</v>
      </c>
      <c r="C56" s="5106"/>
      <c r="D56" s="5098"/>
      <c r="E56" s="5099"/>
      <c r="F56" s="5171"/>
      <c r="G56" s="5172"/>
      <c r="H56" s="5172"/>
      <c r="I56" s="5172"/>
      <c r="J56" s="5173"/>
      <c r="K56" s="5114"/>
      <c r="L56" s="5156"/>
      <c r="M56" s="5157"/>
      <c r="N56" s="2844" t="str">
        <f>IF(F56="","",SUMPRODUCT(--(INDEX('Tablas Técnicas'!$C$114:$F$200,,1)=F56),--(INDEX('Tablas Técnicas'!$C$114:$F$200,,2)=K56),INDEX('Tablas Técnicas'!$C$114:$F$200,,3)))</f>
        <v/>
      </c>
      <c r="O56" s="5158"/>
      <c r="P56" s="5159"/>
      <c r="Q56" s="5160"/>
      <c r="R56" s="5159"/>
      <c r="S56" s="3039" t="str">
        <f>IF(K56="","","Nivel: "&amp;MAX(1,SUMPRODUCT(--(INDEX('Tablas Técnicas'!$C$114:$F$200,,1)=F56),--(INDEX('Tablas Técnicas'!$C$114:$F$200,,2)=K56),INDEX('Tablas Técnicas'!$C$114:$F$200,,4))))</f>
        <v/>
      </c>
      <c r="T56" s="3015"/>
      <c r="U56" s="3016" t="str">
        <f>IFERROR("("&amp;VLOOKUP(F56,'Tablas Técnicas'!$C$86:$E$108,3,FALSE)&amp;")","")</f>
        <v/>
      </c>
      <c r="V56" s="5198" t="s">
        <v>9659</v>
      </c>
      <c r="W56" s="5199"/>
      <c r="X56" s="5200"/>
      <c r="Y56" s="3025">
        <v>0</v>
      </c>
      <c r="Z56" s="5201" t="s">
        <v>9660</v>
      </c>
      <c r="AA56" s="5202"/>
      <c r="AB56" s="5203"/>
      <c r="AC56" s="3025">
        <v>0</v>
      </c>
      <c r="AD56" s="5204" t="str">
        <f>"Ki repartido / total: "&amp;AL67&amp;IF(AM66=0,""," ("&amp;AM66&amp;")")&amp;" / "&amp;AL66&amp;IF(AM67=0,""," ("&amp;AM67&amp;")")</f>
        <v>Ki repartido / total: 0 / 0</v>
      </c>
      <c r="AE56" s="5205"/>
      <c r="AF56" s="5205"/>
      <c r="AG56" s="5206"/>
      <c r="AH56" s="2821"/>
      <c r="AI56" s="3030"/>
      <c r="AJ56" s="2816">
        <v>2</v>
      </c>
      <c r="AK56" s="2816">
        <f>P46</f>
        <v>1</v>
      </c>
      <c r="AL56" s="2816" t="e">
        <f>VLOOKUP(F56,'Tablas Técnicas'!$C$86:$E$108,2,FALSE)</f>
        <v>#N/A</v>
      </c>
      <c r="AN56" s="2817"/>
      <c r="AR56" s="2816"/>
      <c r="AS56" s="2816"/>
      <c r="AT56" s="2816"/>
      <c r="AU56" s="2816"/>
      <c r="AV56" s="3035"/>
      <c r="AW56" s="3035" t="b">
        <f>F56="Atadura Elemental"</f>
        <v>0</v>
      </c>
      <c r="AX56" s="3035"/>
      <c r="AZ56" s="3035"/>
      <c r="BA56" s="3035"/>
      <c r="BB56" s="2816" t="str">
        <f>IF(F56="","",F56&amp;IF(K56="",""," ("&amp;IF(F56="Atadura Elemental",O56&amp;IF(Q56="","",", "&amp;Q56),K56)&amp;")")&amp;", ")</f>
        <v/>
      </c>
      <c r="BC56" s="2816" t="str">
        <f>IF(F56="","",F56&amp;IF(K56="",""," ("&amp;IF(F56="Atadura Elemental",O56&amp;IF(Q56="","",", "&amp;Q56),K56)&amp;")")&amp;", ")</f>
        <v/>
      </c>
      <c r="BD56" s="3023"/>
      <c r="BE56" s="2867"/>
      <c r="BF56" s="2866"/>
      <c r="BG56" s="2866"/>
      <c r="BH56" s="2866"/>
      <c r="DJ56" s="2823"/>
    </row>
    <row r="57" spans="1:114" x14ac:dyDescent="0.2">
      <c r="A57" s="3030"/>
      <c r="B57" s="3070">
        <f>1+B23</f>
        <v>2</v>
      </c>
      <c r="C57" s="5106"/>
      <c r="D57" s="5100"/>
      <c r="E57" s="5101"/>
      <c r="F57" s="5168"/>
      <c r="G57" s="5169"/>
      <c r="H57" s="5169"/>
      <c r="I57" s="5169"/>
      <c r="J57" s="5170"/>
      <c r="K57" s="5148"/>
      <c r="L57" s="5149"/>
      <c r="M57" s="5150"/>
      <c r="N57" s="2845" t="str">
        <f>IF(F57="","",SUMPRODUCT(--(INDEX('Tablas Técnicas'!$C$114:$F$200,,1)=F57),--(INDEX('Tablas Técnicas'!$C$114:$F$200,,2)=K57),INDEX('Tablas Técnicas'!$C$114:$F$200,,3)))</f>
        <v/>
      </c>
      <c r="O57" s="5151"/>
      <c r="P57" s="5152"/>
      <c r="Q57" s="5153"/>
      <c r="R57" s="5152"/>
      <c r="S57" s="3032" t="str">
        <f>IF(K57="","","Nivel: "&amp;MAX(1,SUMPRODUCT(--(INDEX('Tablas Técnicas'!$C$114:$F$200,,1)=F57),--(INDEX('Tablas Técnicas'!$C$114:$F$200,,2)=K57),INDEX('Tablas Técnicas'!$C$114:$F$200,,4))))</f>
        <v/>
      </c>
      <c r="T57" s="2846"/>
      <c r="U57" s="3017" t="str">
        <f>IFERROR("("&amp;VLOOKUP(F57,'Tablas Técnicas'!$C$86:$E$108,3,FALSE)&amp;")","")</f>
        <v/>
      </c>
      <c r="V57" s="5154"/>
      <c r="W57" s="5154"/>
      <c r="X57" s="5154"/>
      <c r="Y57" s="5154"/>
      <c r="Z57" s="5154"/>
      <c r="AA57" s="5154"/>
      <c r="AB57" s="5154"/>
      <c r="AC57" s="5154"/>
      <c r="AD57" s="5154"/>
      <c r="AE57" s="5154"/>
      <c r="AF57" s="5154"/>
      <c r="AG57" s="5155"/>
      <c r="AH57" s="2821"/>
      <c r="AI57" s="3030"/>
      <c r="AJ57" s="2816">
        <v>3</v>
      </c>
      <c r="AK57" s="2816">
        <f>P46</f>
        <v>1</v>
      </c>
      <c r="AL57" s="2816" t="e">
        <f>VLOOKUP(F57,'Tablas Técnicas'!$C$86:$E$108,2,FALSE)</f>
        <v>#N/A</v>
      </c>
      <c r="AN57" s="2817"/>
      <c r="AR57" s="3035"/>
      <c r="AT57" s="3035"/>
      <c r="AV57" s="3035"/>
      <c r="AW57" s="3035" t="b">
        <f>F57="Atadura Elemental"</f>
        <v>0</v>
      </c>
      <c r="AX57" s="3035"/>
      <c r="AZ57" s="3035"/>
      <c r="BA57" s="3035"/>
      <c r="BB57" s="2816" t="str">
        <f>IF(F57="","",F57&amp;IF(K57="",""," ("&amp;IF(F57="Atadura Elemental",O57&amp;IF(Q57="","",", "&amp;Q57),K57)&amp;")")&amp;", ")</f>
        <v/>
      </c>
      <c r="BC57" s="2816" t="str">
        <f>IF(F57="","",F57&amp;IF(K57="",""," ("&amp;IF(F57="Atadura Elemental",O57&amp;IF(Q57="","",", "&amp;Q57),K57)&amp;")")&amp;", ")</f>
        <v/>
      </c>
      <c r="BD57" s="3023"/>
      <c r="BE57" s="2867"/>
      <c r="BF57" s="2868"/>
      <c r="BG57" s="2868"/>
      <c r="BH57" s="2868"/>
      <c r="DJ57" s="2823"/>
    </row>
    <row r="58" spans="1:114" x14ac:dyDescent="0.2">
      <c r="A58" s="3030"/>
      <c r="B58" s="3070">
        <f>1+B24</f>
        <v>2</v>
      </c>
      <c r="C58" s="5106"/>
      <c r="D58" s="5069" t="s">
        <v>10241</v>
      </c>
      <c r="E58" s="5070"/>
      <c r="F58" s="5070"/>
      <c r="G58" s="5070"/>
      <c r="H58" s="5070"/>
      <c r="I58" s="5070"/>
      <c r="J58" s="5070"/>
      <c r="K58" s="5070"/>
      <c r="L58" s="5070"/>
      <c r="M58" s="5070"/>
      <c r="N58" s="5070"/>
      <c r="O58" s="5070"/>
      <c r="P58" s="5070"/>
      <c r="Q58" s="5070"/>
      <c r="R58" s="5070"/>
      <c r="S58" s="5070"/>
      <c r="T58" s="5070"/>
      <c r="U58" s="5070"/>
      <c r="V58" s="5070"/>
      <c r="W58" s="5070"/>
      <c r="X58" s="5070"/>
      <c r="Y58" s="5070"/>
      <c r="Z58" s="5070"/>
      <c r="AA58" s="5070"/>
      <c r="AB58" s="5070"/>
      <c r="AC58" s="5070"/>
      <c r="AD58" s="5070"/>
      <c r="AE58" s="5070"/>
      <c r="AF58" s="5070"/>
      <c r="AG58" s="5071"/>
      <c r="AH58" s="2821"/>
      <c r="AI58" s="3030"/>
      <c r="AN58" s="2817" t="s">
        <v>9661</v>
      </c>
      <c r="AO58" s="2816" t="e">
        <f>LEFT(BB50&amp;BB51&amp;BB52&amp;BB53&amp;BB54,LEN(BB50&amp;BB51&amp;BB52&amp;BB53&amp;BB54)-2)</f>
        <v>#VALUE!</v>
      </c>
      <c r="AR58" s="3035"/>
      <c r="AT58" s="2817"/>
      <c r="AU58" s="2817"/>
      <c r="AV58" s="3035"/>
      <c r="AW58" s="3035"/>
      <c r="AX58" s="3035"/>
      <c r="AZ58" s="3035"/>
      <c r="BA58" s="3035"/>
      <c r="BB58" s="3035"/>
      <c r="BC58" s="3023"/>
      <c r="BD58" s="3023"/>
      <c r="BE58" s="2867"/>
      <c r="BF58" s="2866"/>
      <c r="BG58" s="2866"/>
      <c r="BH58" s="2866"/>
      <c r="DJ58" s="2823"/>
    </row>
    <row r="59" spans="1:114" x14ac:dyDescent="0.2">
      <c r="A59" s="3030"/>
      <c r="B59" s="3070">
        <f>1+B25</f>
        <v>2</v>
      </c>
      <c r="C59" s="5106"/>
      <c r="D59" s="5066" t="str">
        <f>IF(F50="","",F50)</f>
        <v/>
      </c>
      <c r="E59" s="5067"/>
      <c r="F59" s="5067"/>
      <c r="G59" s="5067"/>
      <c r="H59" s="5067"/>
      <c r="I59" s="5068"/>
      <c r="J59" s="5066" t="str">
        <f>IF(F51="","",F51)</f>
        <v/>
      </c>
      <c r="K59" s="5067"/>
      <c r="L59" s="5067"/>
      <c r="M59" s="5067"/>
      <c r="N59" s="5067"/>
      <c r="O59" s="5068"/>
      <c r="P59" s="5067" t="str">
        <f>IF(F52="","",F52)</f>
        <v/>
      </c>
      <c r="Q59" s="5067"/>
      <c r="R59" s="5067"/>
      <c r="S59" s="5067"/>
      <c r="T59" s="5067"/>
      <c r="U59" s="5068"/>
      <c r="V59" s="5066" t="str">
        <f>IF(F53="","",F53)</f>
        <v/>
      </c>
      <c r="W59" s="5067"/>
      <c r="X59" s="5067"/>
      <c r="Y59" s="5067"/>
      <c r="Z59" s="5067"/>
      <c r="AA59" s="5068"/>
      <c r="AB59" s="5067" t="str">
        <f>IF(F54="","",F54)</f>
        <v/>
      </c>
      <c r="AC59" s="5067"/>
      <c r="AD59" s="5067"/>
      <c r="AE59" s="5067"/>
      <c r="AF59" s="5067"/>
      <c r="AG59" s="5083"/>
      <c r="AH59" s="2821"/>
      <c r="AI59" s="3030"/>
      <c r="AN59" s="2817" t="s">
        <v>9662</v>
      </c>
      <c r="AO59" s="2816" t="e">
        <f>LEFT(BB55&amp;BB56&amp;BB57,LEN(BB55&amp;BB56&amp;BB57)-2)</f>
        <v>#VALUE!</v>
      </c>
      <c r="AR59" s="3035"/>
      <c r="AT59" s="2817"/>
      <c r="AU59" s="2817"/>
      <c r="AV59" s="3035"/>
      <c r="AW59" s="3035"/>
      <c r="AX59" s="3035"/>
      <c r="AZ59" s="3035"/>
      <c r="BA59" s="3035"/>
      <c r="BB59" s="3035"/>
      <c r="BC59" s="3023"/>
      <c r="BD59" s="3023"/>
      <c r="BE59" s="2867"/>
      <c r="BF59" s="2868"/>
      <c r="BG59" s="2868"/>
      <c r="BH59" s="2868"/>
      <c r="DJ59" s="2823"/>
    </row>
    <row r="60" spans="1:114" x14ac:dyDescent="0.2">
      <c r="A60" s="3030"/>
      <c r="B60" s="3070">
        <f>1+B26</f>
        <v>2</v>
      </c>
      <c r="C60" s="5106"/>
      <c r="D60" s="3046" t="s">
        <v>2121</v>
      </c>
      <c r="E60" s="3040" t="str">
        <f>IFERROR(VLOOKUP(D59,'Tablas Técnicas'!$C$9:$H$81,3,FALSE),"")</f>
        <v/>
      </c>
      <c r="F60" s="3019"/>
      <c r="G60" s="3018"/>
      <c r="H60" s="3018" t="s">
        <v>1636</v>
      </c>
      <c r="I60" s="3040" t="str">
        <f>IFERROR(VLOOKUP(D59,'Tablas Técnicas'!$C$9:$H$81,4,FALSE),"")</f>
        <v/>
      </c>
      <c r="J60" s="3046" t="s">
        <v>2121</v>
      </c>
      <c r="K60" s="3040" t="str">
        <f>IFERROR(VLOOKUP(J59,'Tablas Técnicas'!$C$9:$H$81,3,FALSE),"")</f>
        <v/>
      </c>
      <c r="L60" s="3019"/>
      <c r="M60" s="3018"/>
      <c r="N60" s="3018" t="s">
        <v>1636</v>
      </c>
      <c r="O60" s="2847" t="str">
        <f>IFERROR(VLOOKUP(J59,'Tablas Técnicas'!$C$9:$H$81,4,FALSE),"")</f>
        <v/>
      </c>
      <c r="P60" s="3018" t="s">
        <v>2121</v>
      </c>
      <c r="Q60" s="3040" t="str">
        <f>IFERROR(VLOOKUP(P59,'Tablas Técnicas'!$C$9:$H$81,3,FALSE),"")</f>
        <v/>
      </c>
      <c r="R60" s="3019"/>
      <c r="S60" s="3018"/>
      <c r="T60" s="3018" t="s">
        <v>1636</v>
      </c>
      <c r="U60" s="3040" t="str">
        <f>IFERROR(VLOOKUP(P59,'Tablas Técnicas'!$C$9:$H$81,4,FALSE),"")</f>
        <v/>
      </c>
      <c r="V60" s="3046" t="s">
        <v>2121</v>
      </c>
      <c r="W60" s="3040" t="str">
        <f>IFERROR(VLOOKUP(V59,'Tablas Técnicas'!$C$9:$H$81,3,FALSE),"")</f>
        <v/>
      </c>
      <c r="X60" s="3019"/>
      <c r="Y60" s="3018"/>
      <c r="Z60" s="3018" t="s">
        <v>1636</v>
      </c>
      <c r="AA60" s="2847" t="str">
        <f>IFERROR(VLOOKUP(V59,'Tablas Técnicas'!$C$9:$H$81,4,FALSE),"")</f>
        <v/>
      </c>
      <c r="AB60" s="3018" t="s">
        <v>2121</v>
      </c>
      <c r="AC60" s="3040" t="str">
        <f>IFERROR(VLOOKUP(AB59,'Tablas Técnicas'!$C$9:$H$81,3,FALSE),"")</f>
        <v/>
      </c>
      <c r="AD60" s="3019"/>
      <c r="AE60" s="3018"/>
      <c r="AF60" s="3018" t="s">
        <v>1636</v>
      </c>
      <c r="AG60" s="2848" t="str">
        <f>IFERROR(VLOOKUP(AB59,'Tablas Técnicas'!$C$9:$H$81,4,FALSE),"")</f>
        <v/>
      </c>
      <c r="AH60" s="2821"/>
      <c r="AI60" s="3030"/>
      <c r="AN60" s="2817"/>
      <c r="AR60" s="3035"/>
      <c r="AT60" s="3035"/>
      <c r="AV60" s="3035"/>
      <c r="AW60" s="3035"/>
      <c r="AX60" s="3035"/>
      <c r="AZ60" s="3035"/>
      <c r="BA60" s="3035"/>
      <c r="BB60" s="3035"/>
      <c r="BC60" s="3023"/>
      <c r="BD60" s="3023"/>
      <c r="BE60" s="2867"/>
      <c r="BF60" s="2866"/>
      <c r="BG60" s="2866"/>
      <c r="BH60" s="2866"/>
      <c r="DJ60" s="2823"/>
    </row>
    <row r="61" spans="1:114" x14ac:dyDescent="0.2">
      <c r="A61" s="3030"/>
      <c r="B61" s="3070">
        <f>1+B27</f>
        <v>2</v>
      </c>
      <c r="C61" s="5106"/>
      <c r="D61" s="3047" t="s">
        <v>9663</v>
      </c>
      <c r="E61" s="3018"/>
      <c r="F61" s="3019"/>
      <c r="G61" s="3020"/>
      <c r="H61" s="3020"/>
      <c r="I61" s="3017" t="str">
        <f>AV50</f>
        <v/>
      </c>
      <c r="J61" s="2849" t="s">
        <v>9663</v>
      </c>
      <c r="K61" s="2850"/>
      <c r="L61" s="2851"/>
      <c r="M61" s="2852"/>
      <c r="N61" s="2852"/>
      <c r="O61" s="2853" t="str">
        <f>IFERROR(VLOOKUP(J59,'Tablas Técnicas'!$C$9:$H$81,6,FALSE),"")</f>
        <v/>
      </c>
      <c r="P61" s="2854" t="s">
        <v>9663</v>
      </c>
      <c r="Q61" s="2850"/>
      <c r="R61" s="2851"/>
      <c r="S61" s="2852"/>
      <c r="T61" s="2852"/>
      <c r="U61" s="2855" t="str">
        <f>IFERROR(VLOOKUP(P59,'Tablas Técnicas'!$C$9:$H$81,6,FALSE),"")</f>
        <v/>
      </c>
      <c r="V61" s="2849" t="s">
        <v>9663</v>
      </c>
      <c r="W61" s="2850"/>
      <c r="X61" s="2851"/>
      <c r="Y61" s="2852"/>
      <c r="Z61" s="2852"/>
      <c r="AA61" s="2853" t="str">
        <f>IFERROR(VLOOKUP(V59,'Tablas Técnicas'!$C$9:$H$81,6,FALSE),"")</f>
        <v/>
      </c>
      <c r="AB61" s="2854" t="s">
        <v>9663</v>
      </c>
      <c r="AC61" s="2850"/>
      <c r="AD61" s="2851"/>
      <c r="AE61" s="2852"/>
      <c r="AF61" s="2852"/>
      <c r="AG61" s="2856" t="str">
        <f>IFERROR(VLOOKUP(AB59,'Tablas Técnicas'!$C$9:$H$81,6,FALSE),"")</f>
        <v/>
      </c>
      <c r="AH61" s="2821"/>
      <c r="AI61" s="3030"/>
      <c r="AJ61" s="2816" t="s">
        <v>9664</v>
      </c>
      <c r="AR61" s="3035"/>
      <c r="AT61" s="3035"/>
      <c r="AV61" s="3035"/>
      <c r="AW61" s="3035"/>
      <c r="AX61" s="3035"/>
      <c r="AZ61" s="3035"/>
      <c r="BA61" s="3035"/>
      <c r="BB61" s="2816"/>
      <c r="BC61" s="2816"/>
      <c r="BD61" s="2816"/>
      <c r="BE61" s="2867"/>
      <c r="BF61" s="2868"/>
      <c r="BG61" s="2868"/>
      <c r="BH61" s="2868"/>
      <c r="DJ61" s="2823"/>
    </row>
    <row r="62" spans="1:114" x14ac:dyDescent="0.2">
      <c r="A62" s="3030"/>
      <c r="B62" s="3070">
        <f>1+B28</f>
        <v>2</v>
      </c>
      <c r="C62" s="5106"/>
      <c r="D62" s="5066" t="s">
        <v>3226</v>
      </c>
      <c r="E62" s="5067"/>
      <c r="F62" s="5067"/>
      <c r="G62" s="5067"/>
      <c r="H62" s="5068"/>
      <c r="I62" s="2857" t="s">
        <v>1676</v>
      </c>
      <c r="J62" s="5066" t="s">
        <v>3226</v>
      </c>
      <c r="K62" s="5067"/>
      <c r="L62" s="5067"/>
      <c r="M62" s="5067"/>
      <c r="N62" s="5068"/>
      <c r="O62" s="2858" t="s">
        <v>1676</v>
      </c>
      <c r="P62" s="5066" t="s">
        <v>3226</v>
      </c>
      <c r="Q62" s="5067"/>
      <c r="R62" s="5067"/>
      <c r="S62" s="5067"/>
      <c r="T62" s="5068"/>
      <c r="U62" s="2858" t="s">
        <v>1676</v>
      </c>
      <c r="V62" s="5066" t="s">
        <v>3226</v>
      </c>
      <c r="W62" s="5067"/>
      <c r="X62" s="5067"/>
      <c r="Y62" s="5067"/>
      <c r="Z62" s="5068"/>
      <c r="AA62" s="2858" t="s">
        <v>1676</v>
      </c>
      <c r="AB62" s="5066" t="s">
        <v>3226</v>
      </c>
      <c r="AC62" s="5067"/>
      <c r="AD62" s="5067"/>
      <c r="AE62" s="5067"/>
      <c r="AF62" s="5068"/>
      <c r="AG62" s="2859" t="s">
        <v>1676</v>
      </c>
      <c r="AH62" s="2821"/>
      <c r="AI62" s="3030"/>
      <c r="AJ62" s="2816" t="s">
        <v>9665</v>
      </c>
      <c r="AQ62" s="2816"/>
      <c r="AR62" s="2816"/>
      <c r="AS62" s="2816"/>
      <c r="AT62" s="2816"/>
      <c r="AU62" s="2816"/>
      <c r="AV62" s="2816"/>
      <c r="AW62" s="2816"/>
      <c r="AX62" s="2816"/>
      <c r="AY62" s="2816"/>
      <c r="AZ62" s="3035"/>
      <c r="BA62" s="3035"/>
      <c r="BB62" s="3035"/>
      <c r="BC62" s="3023"/>
      <c r="BD62" s="3023"/>
      <c r="BE62" s="2867"/>
      <c r="BF62" s="2866"/>
      <c r="BG62" s="2866"/>
      <c r="BH62" s="2866"/>
      <c r="DJ62" s="2823"/>
    </row>
    <row r="63" spans="1:114" x14ac:dyDescent="0.2">
      <c r="A63" s="3030"/>
      <c r="B63" s="3070">
        <f>1+B29</f>
        <v>2</v>
      </c>
      <c r="C63" s="5106"/>
      <c r="D63" s="5081"/>
      <c r="E63" s="5082"/>
      <c r="F63" s="5082"/>
      <c r="G63" s="5082"/>
      <c r="H63" s="5082"/>
      <c r="I63" s="2860" t="str">
        <f>IF(OR(D59="",D63=""),"",MAX(1,SUMPRODUCT(--(INDEX('Tablas Técnicas'!$O$10:$X$639,,1)=D59),--(INDEX('Tablas Técnicas'!$O$10:$X$639,,2)=D63),INDEX('Tablas Técnicas'!$O$10:$X$639,,9))))</f>
        <v/>
      </c>
      <c r="J63" s="5082"/>
      <c r="K63" s="5082"/>
      <c r="L63" s="5082"/>
      <c r="M63" s="5082"/>
      <c r="N63" s="5082"/>
      <c r="O63" s="2860" t="str">
        <f>IF(OR(J59="",J63=""),"",MAX(1,SUMPRODUCT(--(INDEX('Tablas Técnicas'!$O$10:$X$639,,1)=J59),--(INDEX('Tablas Técnicas'!$O$10:$X$639,,2)=J63),INDEX('Tablas Técnicas'!$O$10:$X$639,,9))))</f>
        <v/>
      </c>
      <c r="P63" s="5081"/>
      <c r="Q63" s="5082"/>
      <c r="R63" s="5082"/>
      <c r="S63" s="5082"/>
      <c r="T63" s="5082"/>
      <c r="U63" s="2860" t="str">
        <f>IF(OR(P59="",P63=""),"",MAX(1,SUMPRODUCT(--(INDEX('Tablas Técnicas'!$O$10:$X$639,,1)=P59),--(INDEX('Tablas Técnicas'!$O$10:$X$639,,2)=P63),INDEX('Tablas Técnicas'!$O$10:$X$639,,9))))</f>
        <v/>
      </c>
      <c r="V63" s="5081"/>
      <c r="W63" s="5082"/>
      <c r="X63" s="5082"/>
      <c r="Y63" s="5082"/>
      <c r="Z63" s="5082"/>
      <c r="AA63" s="2860" t="str">
        <f>IF(OR(V59="",V63=""),"",MAX(1,SUMPRODUCT(--(INDEX('Tablas Técnicas'!$O$10:$X$639,,1)=V59),--(INDEX('Tablas Técnicas'!$O$10:$X$639,,2)=V63),INDEX('Tablas Técnicas'!$O$10:$X$639,,9))))</f>
        <v/>
      </c>
      <c r="AB63" s="5081"/>
      <c r="AC63" s="5082"/>
      <c r="AD63" s="5082"/>
      <c r="AE63" s="5082"/>
      <c r="AF63" s="5082"/>
      <c r="AG63" s="2861" t="str">
        <f>IF(OR(AB59="",AB63=""),"",MAX(1,SUMPRODUCT(--(INDEX('Tablas Técnicas'!$O$10:$X$639,,1)=AB59),--(INDEX('Tablas Técnicas'!$O$10:$X$639,,2)=AB63),INDEX('Tablas Técnicas'!$O$10:$X$639,,9))))</f>
        <v/>
      </c>
      <c r="AH63" s="2821">
        <f>P46</f>
        <v>1</v>
      </c>
      <c r="AI63" s="3030"/>
      <c r="AJ63" s="2816" t="s">
        <v>9667</v>
      </c>
      <c r="AK63" s="3035"/>
      <c r="AL63" s="3035"/>
      <c r="AM63" s="3035"/>
      <c r="AN63" s="3035"/>
      <c r="AO63" s="3035"/>
      <c r="AP63" s="2824"/>
      <c r="AQ63" s="2824"/>
      <c r="AR63" s="2824"/>
      <c r="AS63" s="2824"/>
      <c r="AT63" s="2824"/>
      <c r="AU63" s="2824"/>
      <c r="AV63" s="2824"/>
      <c r="AW63" s="2824"/>
      <c r="AX63" s="2824"/>
      <c r="AY63" s="2824"/>
      <c r="AZ63" s="3035"/>
      <c r="BA63" s="3035"/>
      <c r="BB63" s="3035"/>
      <c r="BC63" s="3023"/>
      <c r="BD63" s="3023"/>
      <c r="BE63" s="2867"/>
      <c r="BF63" s="2868"/>
      <c r="BG63" s="2868"/>
      <c r="BH63" s="2868"/>
      <c r="DJ63" s="2823"/>
    </row>
    <row r="64" spans="1:114" x14ac:dyDescent="0.2">
      <c r="A64" s="3030"/>
      <c r="B64" s="3070">
        <f>1+B30</f>
        <v>2</v>
      </c>
      <c r="C64" s="5106"/>
      <c r="D64" s="5064"/>
      <c r="E64" s="5065"/>
      <c r="F64" s="5065"/>
      <c r="G64" s="5065"/>
      <c r="H64" s="5065"/>
      <c r="I64" s="2862" t="str">
        <f>IF(OR(D59="",D64=""),"",MAX(1,SUMPRODUCT(--(INDEX('Tablas Técnicas'!$O$10:$X$639,,1)=D59),--(INDEX('Tablas Técnicas'!$O$10:$X$639,,2)=D64),INDEX('Tablas Técnicas'!$O$10:$X$639,,9))))</f>
        <v/>
      </c>
      <c r="J64" s="5065"/>
      <c r="K64" s="5065"/>
      <c r="L64" s="5065"/>
      <c r="M64" s="5065"/>
      <c r="N64" s="5065"/>
      <c r="O64" s="2862" t="str">
        <f>IF(OR(J59="",J64=""),"",MAX(1,SUMPRODUCT(--(INDEX('Tablas Técnicas'!$O$10:$X$639,,1)=J59),--(INDEX('Tablas Técnicas'!$O$10:$X$639,,2)=J64),INDEX('Tablas Técnicas'!$O$10:$X$639,,9))))</f>
        <v/>
      </c>
      <c r="P64" s="5064"/>
      <c r="Q64" s="5065"/>
      <c r="R64" s="5065"/>
      <c r="S64" s="5065"/>
      <c r="T64" s="5065"/>
      <c r="U64" s="2862" t="str">
        <f>IF(OR(P59="",P64=""),"",MAX(1,SUMPRODUCT(--(INDEX('Tablas Técnicas'!$O$10:$X$639,,1)=P59),--(INDEX('Tablas Técnicas'!$O$10:$X$639,,2)=P64),INDEX('Tablas Técnicas'!$O$10:$X$639,,9))))</f>
        <v/>
      </c>
      <c r="V64" s="5064"/>
      <c r="W64" s="5065"/>
      <c r="X64" s="5065"/>
      <c r="Y64" s="5065"/>
      <c r="Z64" s="5065"/>
      <c r="AA64" s="2862" t="str">
        <f>IF(OR(V59="",V64=""),"",MAX(1,SUMPRODUCT(--(INDEX('Tablas Técnicas'!$O$10:$X$639,,1)=V59),--(INDEX('Tablas Técnicas'!$O$10:$X$639,,2)=V64),INDEX('Tablas Técnicas'!$O$10:$X$639,,9))))</f>
        <v/>
      </c>
      <c r="AB64" s="5064"/>
      <c r="AC64" s="5065"/>
      <c r="AD64" s="5065"/>
      <c r="AE64" s="5065"/>
      <c r="AF64" s="5065"/>
      <c r="AG64" s="2863" t="str">
        <f>IF(OR(AB59="",AB64=""),"",MAX(1,SUMPRODUCT(--(INDEX('Tablas Técnicas'!$O$10:$X$639,,1)=AB59),--(INDEX('Tablas Técnicas'!$O$10:$X$639,,2)=AB64),INDEX('Tablas Técnicas'!$O$10:$X$639,,9))))</f>
        <v/>
      </c>
      <c r="AH64" s="2821">
        <f>P46</f>
        <v>1</v>
      </c>
      <c r="AI64" s="3030"/>
      <c r="AJ64" s="3035" t="s">
        <v>1646</v>
      </c>
      <c r="AK64" s="3035" t="s">
        <v>1772</v>
      </c>
      <c r="AL64" s="3035" t="s">
        <v>1651</v>
      </c>
      <c r="AM64" s="3035" t="s">
        <v>1656</v>
      </c>
      <c r="AN64" s="3035" t="s">
        <v>1664</v>
      </c>
      <c r="AO64" s="3035" t="s">
        <v>1665</v>
      </c>
      <c r="AQ64" s="2816"/>
      <c r="AR64" s="2816"/>
      <c r="AS64" s="2816"/>
      <c r="AT64" s="2816"/>
      <c r="AU64" s="2816"/>
      <c r="AV64" s="3035"/>
      <c r="AW64" s="2816"/>
      <c r="AX64" s="2816"/>
      <c r="AY64" s="2816"/>
      <c r="AZ64" s="2816"/>
      <c r="BA64" s="2816"/>
      <c r="BB64" s="2816"/>
      <c r="BC64" s="2816"/>
      <c r="BD64" s="2816"/>
      <c r="BE64" s="2867"/>
      <c r="BF64" s="2866"/>
      <c r="BG64" s="2866"/>
      <c r="BH64" s="2866"/>
      <c r="DJ64" s="2823"/>
    </row>
    <row r="65" spans="1:114" x14ac:dyDescent="0.2">
      <c r="A65" s="3030"/>
      <c r="B65" s="3070">
        <f>1+B31</f>
        <v>2</v>
      </c>
      <c r="C65" s="5106"/>
      <c r="D65" s="5064"/>
      <c r="E65" s="5065"/>
      <c r="F65" s="5065"/>
      <c r="G65" s="5065"/>
      <c r="H65" s="5065"/>
      <c r="I65" s="2862" t="str">
        <f>IF(OR(D59="",D65=""),"",MAX(1,SUMPRODUCT(--(INDEX('Tablas Técnicas'!$O$10:$X$639,,1)=D59),--(INDEX('Tablas Técnicas'!$O$10:$X$639,,2)=D65),INDEX('Tablas Técnicas'!$O$10:$X$639,,9))))</f>
        <v/>
      </c>
      <c r="J65" s="5065"/>
      <c r="K65" s="5065"/>
      <c r="L65" s="5065"/>
      <c r="M65" s="5065"/>
      <c r="N65" s="5065"/>
      <c r="O65" s="2862" t="str">
        <f>IF(OR(J59="",J65=""),"",MAX(1,SUMPRODUCT(--(INDEX('Tablas Técnicas'!$O$10:$X$639,,1)=J59),--(INDEX('Tablas Técnicas'!$O$10:$X$639,,2)=J65),INDEX('Tablas Técnicas'!$O$10:$X$639,,9))))</f>
        <v/>
      </c>
      <c r="P65" s="5064"/>
      <c r="Q65" s="5065"/>
      <c r="R65" s="5065"/>
      <c r="S65" s="5065"/>
      <c r="T65" s="5065"/>
      <c r="U65" s="2862" t="str">
        <f>IF(OR(P59="",P65=""),"",MAX(1,SUMPRODUCT(--(INDEX('Tablas Técnicas'!$O$10:$X$639,,1)=P59),--(INDEX('Tablas Técnicas'!$O$10:$X$639,,2)=P65),INDEX('Tablas Técnicas'!$O$10:$X$639,,9))))</f>
        <v/>
      </c>
      <c r="V65" s="5064"/>
      <c r="W65" s="5065"/>
      <c r="X65" s="5065"/>
      <c r="Y65" s="5065"/>
      <c r="Z65" s="5065"/>
      <c r="AA65" s="2862" t="str">
        <f>IF(OR(V59="",V65=""),"",MAX(1,SUMPRODUCT(--(INDEX('Tablas Técnicas'!$O$10:$X$639,,1)=V59),--(INDEX('Tablas Técnicas'!$O$10:$X$639,,2)=V65),INDEX('Tablas Técnicas'!$O$10:$X$639,,9))))</f>
        <v/>
      </c>
      <c r="AB65" s="5064"/>
      <c r="AC65" s="5065"/>
      <c r="AD65" s="5065"/>
      <c r="AE65" s="5065"/>
      <c r="AF65" s="5065"/>
      <c r="AG65" s="2863" t="str">
        <f>IF(OR(AB59="",AB65=""),"",MAX(1,SUMPRODUCT(--(INDEX('Tablas Técnicas'!$O$10:$X$639,,1)=AB59),--(INDEX('Tablas Técnicas'!$O$10:$X$639,,2)=AB65),INDEX('Tablas Técnicas'!$O$10:$X$639,,9))))</f>
        <v/>
      </c>
      <c r="AH65" s="2821">
        <f>P46</f>
        <v>1</v>
      </c>
      <c r="AI65" s="3030"/>
      <c r="AJ65" s="2816" t="str">
        <f>IF(V48="","",IF(SUM(V50:V54)=0,"",V48&amp;" "&amp;SUM(V50:V54)+V57&amp;IF(SUM(W50)=0,""," ("&amp;SUM(W50)&amp;")")&amp;", "))</f>
        <v/>
      </c>
      <c r="AK65" s="2816" t="str">
        <f>IF(X48="","",IF(SUM(X50:X54)=0,"",X48&amp;" "&amp;SUM(X50:X54)+X57&amp;IF(SUM(Y50)=0,""," ("&amp;SUM(Y50)&amp;")")&amp;", "))</f>
        <v/>
      </c>
      <c r="AL65" s="2816" t="str">
        <f>IF(Z48="","",IF(SUM(Z50:Z54)=0,"",Z48&amp;" "&amp;SUM(Z50:Z54)+Z57&amp;IF(SUM(AA50)=0,""," ("&amp;SUM(AA50)&amp;")")&amp;", "))</f>
        <v/>
      </c>
      <c r="AM65" s="2816" t="str">
        <f>IF(AB48="","",IF(SUM(AB50:AB54)=0,"",AB48&amp;" "&amp;SUM(AB50:AB54)+AB57&amp;IF(SUM(AC50)=0,""," ("&amp;SUM(AC50)&amp;")")&amp;", "))</f>
        <v/>
      </c>
      <c r="AN65" s="2816" t="str">
        <f>IF(AD48="","",IF(SUM(AD50:AD54)=0,"",AD48&amp;" "&amp;SUM(AD50:AD54)+AD57&amp;IF(SUM(AE50)=0,""," ("&amp;SUM(AE50)&amp;")")&amp;", "))</f>
        <v/>
      </c>
      <c r="AO65" s="2816" t="str">
        <f>IF(AF48="","",IF(SUM(AF50:AF54)=0,"",AF48&amp;" "&amp;SUM(AF50:AF54)+AF57&amp;IF(SUM(AG50)=0,""," ("&amp;SUM(AG50)&amp;")")&amp;", "))</f>
        <v/>
      </c>
      <c r="AQ65" s="2816"/>
      <c r="AR65" s="2816"/>
      <c r="AS65" s="2816"/>
      <c r="AT65" s="2816"/>
      <c r="AU65" s="2816"/>
      <c r="AV65" s="3035"/>
      <c r="AW65" s="3035"/>
      <c r="AX65" s="3035"/>
      <c r="AZ65" s="3035"/>
      <c r="BA65" s="3035"/>
      <c r="BB65" s="2816"/>
      <c r="BC65" s="2816"/>
      <c r="BD65" s="2816"/>
      <c r="BE65" s="2867"/>
      <c r="BF65" s="2868"/>
      <c r="BG65" s="2868"/>
      <c r="BH65" s="2868"/>
      <c r="DJ65" s="2823"/>
    </row>
    <row r="66" spans="1:114" x14ac:dyDescent="0.2">
      <c r="A66" s="3030"/>
      <c r="B66" s="3070">
        <f>1+B32</f>
        <v>2</v>
      </c>
      <c r="C66" s="5106"/>
      <c r="D66" s="5064"/>
      <c r="E66" s="5065"/>
      <c r="F66" s="5065"/>
      <c r="G66" s="5065"/>
      <c r="H66" s="5065"/>
      <c r="I66" s="2862" t="str">
        <f>IF(OR(D59="",D66=""),"",MAX(1,SUMPRODUCT(--(INDEX('Tablas Técnicas'!$O$10:$X$639,,1)=D59),--(INDEX('Tablas Técnicas'!$O$10:$X$639,,2)=D66),INDEX('Tablas Técnicas'!$O$10:$X$639,,9))))</f>
        <v/>
      </c>
      <c r="J66" s="5065"/>
      <c r="K66" s="5065"/>
      <c r="L66" s="5065"/>
      <c r="M66" s="5065"/>
      <c r="N66" s="5065"/>
      <c r="O66" s="2862" t="str">
        <f>IF(OR(J59="",J66=""),"",MAX(1,SUMPRODUCT(--(INDEX('Tablas Técnicas'!$O$10:$X$639,,1)=J59),--(INDEX('Tablas Técnicas'!$O$10:$X$639,,2)=J66),INDEX('Tablas Técnicas'!$O$10:$X$639,,9))))</f>
        <v/>
      </c>
      <c r="P66" s="5064"/>
      <c r="Q66" s="5065"/>
      <c r="R66" s="5065"/>
      <c r="S66" s="5065"/>
      <c r="T66" s="5065"/>
      <c r="U66" s="2862" t="str">
        <f>IF(OR(P59="",P66=""),"",MAX(1,SUMPRODUCT(--(INDEX('Tablas Técnicas'!$O$10:$X$639,,1)=P59),--(INDEX('Tablas Técnicas'!$O$10:$X$639,,2)=P66),INDEX('Tablas Técnicas'!$O$10:$X$639,,9))))</f>
        <v/>
      </c>
      <c r="V66" s="5064"/>
      <c r="W66" s="5065"/>
      <c r="X66" s="5065"/>
      <c r="Y66" s="5065"/>
      <c r="Z66" s="5065"/>
      <c r="AA66" s="2862" t="str">
        <f>IF(OR(V59="",V66=""),"",MAX(1,SUMPRODUCT(--(INDEX('Tablas Técnicas'!$O$10:$X$639,,1)=V59),--(INDEX('Tablas Técnicas'!$O$10:$X$639,,2)=V66),INDEX('Tablas Técnicas'!$O$10:$X$639,,9))))</f>
        <v/>
      </c>
      <c r="AB66" s="5064"/>
      <c r="AC66" s="5065"/>
      <c r="AD66" s="5065"/>
      <c r="AE66" s="5065"/>
      <c r="AF66" s="5065"/>
      <c r="AG66" s="2863" t="str">
        <f>IF(OR(AB59="",AB66=""),"",MAX(1,SUMPRODUCT(--(INDEX('Tablas Técnicas'!$O$10:$X$639,,1)=AB59),--(INDEX('Tablas Técnicas'!$O$10:$X$639,,2)=AB66),INDEX('Tablas Técnicas'!$O$10:$X$639,,9))))</f>
        <v/>
      </c>
      <c r="AH66" s="2821">
        <f>P46</f>
        <v>1</v>
      </c>
      <c r="AI66" s="3030"/>
      <c r="AJ66" s="2816" t="s">
        <v>10242</v>
      </c>
      <c r="AL66" s="2816">
        <f t="array" ref="AL66">MAX(0,SUM(VALUE(RIGHT(O50:O54,2)))+ABS($AC56*2/5))+IF(AM73,Y56,0)+IF(S46="Si",3*P46,0)</f>
        <v>0</v>
      </c>
      <c r="AM66" s="2816">
        <f t="array" ref="AM66">IF(ISNUMBER(SEARCH("Mantenido",K50&amp;K51&amp;K52&amp;K53&amp;K54)),MAX(0,SUM(VALUE(RIGHT($P50:$P54,2)))),0)</f>
        <v>0</v>
      </c>
      <c r="AR66" s="3035"/>
      <c r="AT66" s="3035"/>
      <c r="AV66" s="3035"/>
      <c r="AW66" s="3035"/>
      <c r="AX66" s="3035"/>
      <c r="AZ66" s="3035"/>
      <c r="BA66" s="3035"/>
      <c r="BB66" s="2816"/>
      <c r="BC66" s="2816"/>
      <c r="BD66" s="2816"/>
      <c r="BE66" s="2867"/>
      <c r="BF66" s="2866"/>
      <c r="BG66" s="2866"/>
      <c r="BH66" s="2866"/>
      <c r="DJ66" s="2823"/>
    </row>
    <row r="67" spans="1:114" x14ac:dyDescent="0.2">
      <c r="A67" s="3030"/>
      <c r="B67" s="3070">
        <f>1+B33</f>
        <v>2</v>
      </c>
      <c r="C67" s="5106"/>
      <c r="D67" s="5064"/>
      <c r="E67" s="5065"/>
      <c r="F67" s="5065"/>
      <c r="G67" s="5065"/>
      <c r="H67" s="5065"/>
      <c r="I67" s="2862" t="str">
        <f>IF(OR(D59="",D67=""),"",MAX(1,SUMPRODUCT(--(INDEX('Tablas Técnicas'!$O$10:$X$639,,1)=D59),--(INDEX('Tablas Técnicas'!$O$10:$X$639,,2)=D67),INDEX('Tablas Técnicas'!$O$10:$X$639,,9))))</f>
        <v/>
      </c>
      <c r="J67" s="5065"/>
      <c r="K67" s="5065"/>
      <c r="L67" s="5065"/>
      <c r="M67" s="5065"/>
      <c r="N67" s="5065"/>
      <c r="O67" s="2862" t="str">
        <f>IF(OR(J59="",J67=""),"",MAX(1,SUMPRODUCT(--(INDEX('Tablas Técnicas'!$O$10:$X$639,,1)=J59),--(INDEX('Tablas Técnicas'!$O$10:$X$639,,2)=J67),INDEX('Tablas Técnicas'!$O$10:$X$639,,9))))</f>
        <v/>
      </c>
      <c r="P67" s="5064"/>
      <c r="Q67" s="5065"/>
      <c r="R67" s="5065"/>
      <c r="S67" s="5065"/>
      <c r="T67" s="5065"/>
      <c r="U67" s="2862" t="str">
        <f>IF(OR(P59="",P67=""),"",MAX(1,SUMPRODUCT(--(INDEX('Tablas Técnicas'!$O$10:$X$639,,1)=P59),--(INDEX('Tablas Técnicas'!$O$10:$X$639,,2)=P67),INDEX('Tablas Técnicas'!$O$10:$X$639,,9))))</f>
        <v/>
      </c>
      <c r="V67" s="5064"/>
      <c r="W67" s="5065"/>
      <c r="X67" s="5065"/>
      <c r="Y67" s="5065"/>
      <c r="Z67" s="5065"/>
      <c r="AA67" s="2862" t="str">
        <f>IF(OR(V59="",V67=""),"",MAX(1,SUMPRODUCT(--(INDEX('Tablas Técnicas'!$O$10:$X$639,,1)=V59),--(INDEX('Tablas Técnicas'!$O$10:$X$639,,2)=V67),INDEX('Tablas Técnicas'!$O$10:$X$639,,9))))</f>
        <v/>
      </c>
      <c r="AB67" s="5064"/>
      <c r="AC67" s="5065"/>
      <c r="AD67" s="5065"/>
      <c r="AE67" s="5065"/>
      <c r="AF67" s="5065"/>
      <c r="AG67" s="2863" t="str">
        <f>IF(OR(AB59="",AB67=""),"",MAX(1,SUMPRODUCT(--(INDEX('Tablas Técnicas'!$O$10:$X$639,,1)=AB59),--(INDEX('Tablas Técnicas'!$O$10:$X$639,,2)=AB67),INDEX('Tablas Técnicas'!$O$10:$X$639,,9))))</f>
        <v/>
      </c>
      <c r="AH67" s="2821">
        <f>P46</f>
        <v>1</v>
      </c>
      <c r="AI67" s="3030"/>
      <c r="AJ67" s="2816" t="s">
        <v>9668</v>
      </c>
      <c r="AL67" s="2816">
        <f>SUM(V50:V54,X50:X54,Z50:Z54,AB50:AB54,AD50:AD54,AF50:AF54)+SUM(V57:AG57)</f>
        <v>0</v>
      </c>
      <c r="AM67" s="2816">
        <f>SUM(W50:W54,Y50:Y54,AA50:AA54,AC50:AC54,AE50:AE54,AG50:AG54)</f>
        <v>0</v>
      </c>
      <c r="AR67" s="3035"/>
      <c r="AT67" s="3035"/>
      <c r="AV67" s="3035"/>
      <c r="AW67" s="3035"/>
      <c r="AX67" s="3035"/>
      <c r="AZ67" s="3035"/>
      <c r="BA67" s="3035"/>
      <c r="BB67" s="2816"/>
      <c r="BC67" s="2816"/>
      <c r="BD67" s="2816"/>
      <c r="BE67" s="2867"/>
      <c r="BF67" s="2868"/>
      <c r="BG67" s="2868"/>
      <c r="BH67" s="2868"/>
      <c r="DJ67" s="2823"/>
    </row>
    <row r="68" spans="1:114" x14ac:dyDescent="0.2">
      <c r="A68" s="3030"/>
      <c r="B68" s="3070">
        <f>1+B34</f>
        <v>2</v>
      </c>
      <c r="C68" s="5106"/>
      <c r="D68" s="5064"/>
      <c r="E68" s="5065"/>
      <c r="F68" s="5065"/>
      <c r="G68" s="5065"/>
      <c r="H68" s="5065"/>
      <c r="I68" s="2862" t="str">
        <f>IF(OR(D59="",D68=""),"",MAX(1,SUMPRODUCT(--(INDEX('Tablas Técnicas'!$O$10:$X$639,,1)=D59),--(INDEX('Tablas Técnicas'!$O$10:$X$639,,2)=D68),INDEX('Tablas Técnicas'!$O$10:$X$639,,9))))</f>
        <v/>
      </c>
      <c r="J68" s="5065"/>
      <c r="K68" s="5065"/>
      <c r="L68" s="5065"/>
      <c r="M68" s="5065"/>
      <c r="N68" s="5065"/>
      <c r="O68" s="2862" t="str">
        <f>IF(OR(J59="",J68=""),"",MAX(1,SUMPRODUCT(--(INDEX('Tablas Técnicas'!$O$10:$X$639,,1)=J59),--(INDEX('Tablas Técnicas'!$O$10:$X$639,,2)=J68),INDEX('Tablas Técnicas'!$O$10:$X$639,,9))))</f>
        <v/>
      </c>
      <c r="P68" s="5064"/>
      <c r="Q68" s="5065"/>
      <c r="R68" s="5065"/>
      <c r="S68" s="5065"/>
      <c r="T68" s="5065"/>
      <c r="U68" s="2862" t="str">
        <f>IF(OR(P59="",P68=""),"",MAX(1,SUMPRODUCT(--(INDEX('Tablas Técnicas'!$O$10:$X$639,,1)=P59),--(INDEX('Tablas Técnicas'!$O$10:$X$639,,2)=P68),INDEX('Tablas Técnicas'!$O$10:$X$639,,9))))</f>
        <v/>
      </c>
      <c r="V68" s="5064"/>
      <c r="W68" s="5065"/>
      <c r="X68" s="5065"/>
      <c r="Y68" s="5065"/>
      <c r="Z68" s="5065"/>
      <c r="AA68" s="2862" t="str">
        <f>IF(OR(V59="",V68=""),"",MAX(1,SUMPRODUCT(--(INDEX('Tablas Técnicas'!$O$10:$X$639,,1)=V59),--(INDEX('Tablas Técnicas'!$O$10:$X$639,,2)=V68),INDEX('Tablas Técnicas'!$O$10:$X$639,,9))))</f>
        <v/>
      </c>
      <c r="AB68" s="5064"/>
      <c r="AC68" s="5065"/>
      <c r="AD68" s="5065"/>
      <c r="AE68" s="5065"/>
      <c r="AF68" s="5065"/>
      <c r="AG68" s="2863" t="str">
        <f>IF(OR(AB59="",AB68=""),"",MAX(1,SUMPRODUCT(--(INDEX('Tablas Técnicas'!$O$10:$X$639,,1)=AB59),--(INDEX('Tablas Técnicas'!$O$10:$X$639,,2)=AB68),INDEX('Tablas Técnicas'!$O$10:$X$639,,9))))</f>
        <v/>
      </c>
      <c r="AH68" s="2821">
        <f>P46</f>
        <v>1</v>
      </c>
      <c r="AI68" s="3030"/>
      <c r="AR68" s="3035"/>
      <c r="AT68" s="3035"/>
      <c r="AV68" s="3035"/>
      <c r="AW68" s="3035"/>
      <c r="AX68" s="3035"/>
      <c r="AZ68" s="3035"/>
      <c r="BA68" s="3035"/>
      <c r="BB68" s="2816"/>
      <c r="BC68" s="2816"/>
      <c r="BD68" s="2816"/>
      <c r="DJ68" s="2823"/>
    </row>
    <row r="69" spans="1:114" x14ac:dyDescent="0.2">
      <c r="A69" s="3030"/>
      <c r="B69" s="3070">
        <f>1+B35</f>
        <v>2</v>
      </c>
      <c r="C69" s="5106"/>
      <c r="D69" s="5079"/>
      <c r="E69" s="5080"/>
      <c r="F69" s="5080"/>
      <c r="G69" s="5080"/>
      <c r="H69" s="5080"/>
      <c r="I69" s="2864" t="str">
        <f>IF(OR(D59="",D69=""),"",MAX(1,SUMPRODUCT(--(INDEX('Tablas Técnicas'!$O$10:$X$639,,1)=D59),--(INDEX('Tablas Técnicas'!$O$10:$X$639,,2)=D69),INDEX('Tablas Técnicas'!$O$10:$X$639,,9))))</f>
        <v/>
      </c>
      <c r="J69" s="5080"/>
      <c r="K69" s="5080"/>
      <c r="L69" s="5080"/>
      <c r="M69" s="5080"/>
      <c r="N69" s="5080"/>
      <c r="O69" s="2864" t="str">
        <f>IF(OR(J59="",J69=""),"",MAX(1,SUMPRODUCT(--(INDEX('Tablas Técnicas'!$O$10:$X$639,,1)=J59),--(INDEX('Tablas Técnicas'!$O$10:$X$639,,2)=J69),INDEX('Tablas Técnicas'!$O$10:$X$639,,9))))</f>
        <v/>
      </c>
      <c r="P69" s="5079"/>
      <c r="Q69" s="5080"/>
      <c r="R69" s="5080"/>
      <c r="S69" s="5080"/>
      <c r="T69" s="5080"/>
      <c r="U69" s="2864" t="str">
        <f>IF(OR(P59="",P69=""),"",MAX(1,SUMPRODUCT(--(INDEX('Tablas Técnicas'!$O$10:$X$639,,1)=P59),--(INDEX('Tablas Técnicas'!$O$10:$X$639,,2)=P69),INDEX('Tablas Técnicas'!$O$10:$X$639,,9))))</f>
        <v/>
      </c>
      <c r="V69" s="5079"/>
      <c r="W69" s="5080"/>
      <c r="X69" s="5080"/>
      <c r="Y69" s="5080"/>
      <c r="Z69" s="5080"/>
      <c r="AA69" s="2864" t="str">
        <f>IF(OR(V59="",V69=""),"",MAX(1,SUMPRODUCT(--(INDEX('Tablas Técnicas'!$O$10:$X$639,,1)=V59),--(INDEX('Tablas Técnicas'!$O$10:$X$639,,2)=V69),INDEX('Tablas Técnicas'!$O$10:$X$639,,9))))</f>
        <v/>
      </c>
      <c r="AB69" s="5079"/>
      <c r="AC69" s="5080"/>
      <c r="AD69" s="5080"/>
      <c r="AE69" s="5080"/>
      <c r="AF69" s="5080"/>
      <c r="AG69" s="2865" t="str">
        <f>IF(OR(AB59="",AB69=""),"",MAX(1,SUMPRODUCT(--(INDEX('Tablas Técnicas'!$O$10:$X$639,,1)=AB59),--(INDEX('Tablas Técnicas'!$O$10:$X$639,,2)=AB69),INDEX('Tablas Técnicas'!$O$10:$X$639,,9))))</f>
        <v/>
      </c>
      <c r="AH69" s="2821">
        <f>P46</f>
        <v>1</v>
      </c>
      <c r="AI69" s="3030"/>
      <c r="AJ69" s="2816" t="s">
        <v>9669</v>
      </c>
      <c r="AN69" s="2817" t="s">
        <v>10256</v>
      </c>
      <c r="AO69" s="2816" t="s">
        <v>10255</v>
      </c>
      <c r="AQ69" s="2816"/>
      <c r="AR69" s="2816" t="b">
        <f>AND(D50="Primario",COUNTIF(D50:E54,"Primario")&gt;1)</f>
        <v>0</v>
      </c>
      <c r="AS69" s="2816"/>
      <c r="AT69" s="3035"/>
      <c r="AV69" s="3035"/>
      <c r="AW69" s="3035"/>
      <c r="AX69" s="3035"/>
      <c r="AZ69" s="3035"/>
      <c r="BA69" s="3035"/>
      <c r="BB69" s="2816"/>
      <c r="BC69" s="2816"/>
      <c r="BD69" s="2816"/>
      <c r="DJ69" s="2823"/>
    </row>
    <row r="70" spans="1:114" x14ac:dyDescent="0.2">
      <c r="A70" s="3030"/>
      <c r="B70" s="3070">
        <f>1+B36</f>
        <v>2</v>
      </c>
      <c r="C70" s="5106"/>
      <c r="D70" s="5069" t="s">
        <v>1824</v>
      </c>
      <c r="E70" s="5070"/>
      <c r="F70" s="5070"/>
      <c r="G70" s="5070"/>
      <c r="H70" s="5070"/>
      <c r="I70" s="5070"/>
      <c r="J70" s="5070"/>
      <c r="K70" s="5070"/>
      <c r="L70" s="5070"/>
      <c r="M70" s="5070"/>
      <c r="N70" s="5070"/>
      <c r="O70" s="5070"/>
      <c r="P70" s="5070"/>
      <c r="Q70" s="5070"/>
      <c r="R70" s="5070"/>
      <c r="S70" s="5070"/>
      <c r="T70" s="5070"/>
      <c r="U70" s="5070"/>
      <c r="V70" s="5070"/>
      <c r="W70" s="5070"/>
      <c r="X70" s="5070"/>
      <c r="Y70" s="5070"/>
      <c r="Z70" s="5070"/>
      <c r="AA70" s="5070"/>
      <c r="AB70" s="5070"/>
      <c r="AC70" s="5070"/>
      <c r="AD70" s="5070"/>
      <c r="AE70" s="5070"/>
      <c r="AF70" s="5070"/>
      <c r="AG70" s="5071"/>
      <c r="AH70" s="2821"/>
      <c r="AI70" s="3030"/>
      <c r="AJ70" s="2816" t="s">
        <v>9670</v>
      </c>
      <c r="AM70" s="2816" t="b">
        <f t="array" ref="AM70">MAX(I63:I69,O63:O69,U63:U69,AA63:AA69,AG63:AG69,RIGHT(S55:S57,1))&gt;P46</f>
        <v>0</v>
      </c>
      <c r="AN70" s="2817" t="s">
        <v>10257</v>
      </c>
      <c r="AO70" s="2816" t="s">
        <v>10255</v>
      </c>
      <c r="AR70" s="2816" t="b">
        <f>AND(D51="Primario",COUNTIF(D50:E54,"Primario")&gt;1)</f>
        <v>0</v>
      </c>
      <c r="AS70" s="2816"/>
      <c r="AT70" s="3035"/>
      <c r="AV70" s="3035"/>
      <c r="AW70" s="3035"/>
      <c r="AX70" s="3035"/>
      <c r="AZ70" s="3035"/>
      <c r="BA70" s="3035"/>
      <c r="BB70" s="2816" t="str">
        <f>$F54&amp;INDEX($D63:$AG69,Tablas!E$1,1+6*(Tablas!$A$4-1))</f>
        <v/>
      </c>
      <c r="BC70" s="2816" t="str">
        <f>$F54&amp;INDEX($D63:$AG69,Tablas!F$1,1+6*(Tablas!$A$4-1))</f>
        <v/>
      </c>
      <c r="BD70" s="2816" t="str">
        <f>$F54&amp;INDEX($D63:$AG69,Tablas!G$1,1+6*(Tablas!$A$4-1))</f>
        <v/>
      </c>
      <c r="DJ70" s="2823"/>
    </row>
    <row r="71" spans="1:114" x14ac:dyDescent="0.2">
      <c r="A71" s="3030"/>
      <c r="B71" s="3070">
        <f>1+B37</f>
        <v>2</v>
      </c>
      <c r="C71" s="5106"/>
      <c r="D71" s="5072"/>
      <c r="E71" s="5073"/>
      <c r="F71" s="5073"/>
      <c r="G71" s="5073"/>
      <c r="H71" s="5073"/>
      <c r="I71" s="5073"/>
      <c r="J71" s="5073"/>
      <c r="K71" s="5073"/>
      <c r="L71" s="5073"/>
      <c r="M71" s="5073"/>
      <c r="N71" s="5073"/>
      <c r="O71" s="5073"/>
      <c r="P71" s="5073"/>
      <c r="Q71" s="5073"/>
      <c r="R71" s="5073"/>
      <c r="S71" s="5073"/>
      <c r="T71" s="5073"/>
      <c r="U71" s="5073"/>
      <c r="V71" s="5073"/>
      <c r="W71" s="5073"/>
      <c r="X71" s="5073"/>
      <c r="Y71" s="5073"/>
      <c r="Z71" s="5073"/>
      <c r="AA71" s="5073"/>
      <c r="AB71" s="5073"/>
      <c r="AC71" s="5073"/>
      <c r="AD71" s="5073"/>
      <c r="AE71" s="5073"/>
      <c r="AF71" s="5073"/>
      <c r="AG71" s="5074"/>
      <c r="AH71" s="2821"/>
      <c r="AI71" s="3030"/>
      <c r="AJ71" s="2816" t="s">
        <v>10243</v>
      </c>
      <c r="AM71" s="2816" t="b">
        <f>NOT(AND(AW50:AW54))</f>
        <v>0</v>
      </c>
      <c r="AN71" s="2817" t="s">
        <v>10258</v>
      </c>
      <c r="AO71" s="2816" t="s">
        <v>10255</v>
      </c>
      <c r="AR71" s="2816" t="b">
        <f>AND(D52="Primario",COUNTIF(D50:E54,"Primario")&gt;1)</f>
        <v>0</v>
      </c>
      <c r="AS71" s="2816"/>
      <c r="AT71" s="3035"/>
      <c r="AV71" s="3035"/>
      <c r="AW71" s="3035"/>
      <c r="AX71" s="3035"/>
      <c r="AZ71" s="3035"/>
      <c r="BA71" s="3035"/>
      <c r="BB71" s="2816"/>
      <c r="BC71" s="2816"/>
      <c r="BD71" s="2816"/>
      <c r="DJ71" s="2823"/>
    </row>
    <row r="72" spans="1:114" x14ac:dyDescent="0.2">
      <c r="A72" s="3030"/>
      <c r="B72" s="3070">
        <f>1+B38</f>
        <v>2</v>
      </c>
      <c r="C72" s="5106"/>
      <c r="D72" s="5072"/>
      <c r="E72" s="5073"/>
      <c r="F72" s="5073"/>
      <c r="G72" s="5073"/>
      <c r="H72" s="5073"/>
      <c r="I72" s="5073"/>
      <c r="J72" s="5073"/>
      <c r="K72" s="5073"/>
      <c r="L72" s="5073"/>
      <c r="M72" s="5073"/>
      <c r="N72" s="5073"/>
      <c r="O72" s="5073"/>
      <c r="P72" s="5073"/>
      <c r="Q72" s="5073"/>
      <c r="R72" s="5073"/>
      <c r="S72" s="5073"/>
      <c r="T72" s="5073"/>
      <c r="U72" s="5073"/>
      <c r="V72" s="5073"/>
      <c r="W72" s="5073"/>
      <c r="X72" s="5073"/>
      <c r="Y72" s="5073"/>
      <c r="Z72" s="5073"/>
      <c r="AA72" s="5073"/>
      <c r="AB72" s="5073"/>
      <c r="AC72" s="5073"/>
      <c r="AD72" s="5073"/>
      <c r="AE72" s="5073"/>
      <c r="AF72" s="5073"/>
      <c r="AG72" s="5074"/>
      <c r="AH72" s="2821"/>
      <c r="AI72" s="3030"/>
      <c r="AJ72" s="2816" t="s">
        <v>10244</v>
      </c>
      <c r="AM72" s="2816" t="b">
        <f>AL66-AL67+AM66-AM67&lt;&gt;0</f>
        <v>0</v>
      </c>
      <c r="AN72" s="2817" t="s">
        <v>10259</v>
      </c>
      <c r="AO72" s="2816" t="s">
        <v>10255</v>
      </c>
      <c r="AR72" s="2816" t="b">
        <f>AND(D53="Primario",COUNTIF(D50:E54,"Primario")&gt;1)</f>
        <v>0</v>
      </c>
      <c r="AS72" s="2816"/>
      <c r="AT72" s="3035"/>
      <c r="AV72" s="3035"/>
      <c r="AW72" s="3035"/>
      <c r="AX72" s="3035"/>
      <c r="AZ72" s="3035"/>
      <c r="BA72" s="3035"/>
      <c r="BB72" s="2816"/>
      <c r="BC72" s="2816"/>
      <c r="BD72" s="2816"/>
      <c r="DJ72" s="2823"/>
    </row>
    <row r="73" spans="1:114" x14ac:dyDescent="0.2">
      <c r="A73" s="3030"/>
      <c r="B73" s="3070">
        <f>1+B39</f>
        <v>2</v>
      </c>
      <c r="C73" s="5106"/>
      <c r="D73" s="5072"/>
      <c r="E73" s="5073"/>
      <c r="F73" s="5073"/>
      <c r="G73" s="5073"/>
      <c r="H73" s="5073"/>
      <c r="I73" s="5073"/>
      <c r="J73" s="5073"/>
      <c r="K73" s="5073"/>
      <c r="L73" s="5073"/>
      <c r="M73" s="5073"/>
      <c r="N73" s="5073"/>
      <c r="O73" s="5073"/>
      <c r="P73" s="5073"/>
      <c r="Q73" s="5073"/>
      <c r="R73" s="5073"/>
      <c r="S73" s="5073"/>
      <c r="T73" s="5073"/>
      <c r="U73" s="5073"/>
      <c r="V73" s="5073"/>
      <c r="W73" s="5073"/>
      <c r="X73" s="5073"/>
      <c r="Y73" s="5073"/>
      <c r="Z73" s="5073"/>
      <c r="AA73" s="5073"/>
      <c r="AB73" s="5073"/>
      <c r="AC73" s="5073"/>
      <c r="AD73" s="5073"/>
      <c r="AE73" s="5073"/>
      <c r="AF73" s="5073"/>
      <c r="AG73" s="5074"/>
      <c r="AH73" s="2821"/>
      <c r="AI73" s="3030"/>
      <c r="AJ73" s="2816" t="s">
        <v>10247</v>
      </c>
      <c r="AM73" s="2816" t="b">
        <f>(IF(SUM(V50:V54)&gt;0,1,0)+IF(SUM(X50:X54)&gt;0,1,0)+IF(SUM(Z50:Z54)&gt;0,1,0)+IF(SUM(AB50:AB54)&gt;0,1,0)+IF(SUM(AD50:AD54,)&gt;0,1,0)+IF(SUM(AF50:AF54)&gt;0,1,0))&lt;3</f>
        <v>1</v>
      </c>
      <c r="AN73" s="2817" t="s">
        <v>10260</v>
      </c>
      <c r="AO73" s="2816" t="s">
        <v>10255</v>
      </c>
      <c r="AQ73" s="2816"/>
      <c r="AR73" s="2816" t="b">
        <f>AND(D54="Primario",COUNTIF(D50:E54,"Primario")&gt;1)</f>
        <v>0</v>
      </c>
      <c r="AS73" s="2816"/>
      <c r="AT73" s="3035"/>
      <c r="AV73" s="3035"/>
      <c r="AW73" s="3035"/>
      <c r="AX73" s="3035"/>
      <c r="AZ73" s="3035"/>
      <c r="BA73" s="3035"/>
      <c r="BB73" s="2816"/>
      <c r="BC73" s="2816"/>
      <c r="BD73" s="2816"/>
      <c r="BE73" s="2867"/>
      <c r="DJ73" s="2823"/>
    </row>
    <row r="74" spans="1:114" x14ac:dyDescent="0.2">
      <c r="A74" s="3030"/>
      <c r="B74" s="3070">
        <f>1+B40</f>
        <v>2</v>
      </c>
      <c r="C74" s="5106"/>
      <c r="D74" s="5072"/>
      <c r="E74" s="5073"/>
      <c r="F74" s="5073"/>
      <c r="G74" s="5073"/>
      <c r="H74" s="5073"/>
      <c r="I74" s="5073"/>
      <c r="J74" s="5073"/>
      <c r="K74" s="5073"/>
      <c r="L74" s="5073"/>
      <c r="M74" s="5073"/>
      <c r="N74" s="5073"/>
      <c r="O74" s="5073"/>
      <c r="P74" s="5073"/>
      <c r="Q74" s="5073"/>
      <c r="R74" s="5073"/>
      <c r="S74" s="5073"/>
      <c r="T74" s="5073"/>
      <c r="U74" s="5073"/>
      <c r="V74" s="5073"/>
      <c r="W74" s="5073"/>
      <c r="X74" s="5073"/>
      <c r="Y74" s="5073"/>
      <c r="Z74" s="5073"/>
      <c r="AA74" s="5073"/>
      <c r="AB74" s="5073"/>
      <c r="AC74" s="5073"/>
      <c r="AD74" s="5073"/>
      <c r="AE74" s="5073"/>
      <c r="AF74" s="5073"/>
      <c r="AG74" s="5074"/>
      <c r="AH74" s="2821"/>
      <c r="AI74" s="3030"/>
      <c r="AJ74" s="2816" t="s">
        <v>10246</v>
      </c>
      <c r="AM74" s="2816" t="b">
        <f>SUM(V57:AG57)&lt;&gt;Y56+ABS(AC56)*2/5+IF(S46="Si",3*P46,0)</f>
        <v>0</v>
      </c>
      <c r="AQ74" s="2816"/>
      <c r="AR74" s="2817"/>
      <c r="AS74" s="2817"/>
      <c r="AT74" s="3035"/>
      <c r="AV74" s="3035"/>
      <c r="AW74" s="2816"/>
      <c r="AX74" s="2816"/>
      <c r="AY74" s="2816"/>
      <c r="AZ74" s="2816"/>
      <c r="BA74" s="2816"/>
      <c r="BB74" s="2816"/>
      <c r="BC74" s="2817"/>
      <c r="BD74" s="2816"/>
      <c r="BE74" s="2867"/>
      <c r="DJ74" s="2823"/>
    </row>
    <row r="75" spans="1:114" x14ac:dyDescent="0.2">
      <c r="A75" s="3030"/>
      <c r="B75" s="3070">
        <f>1+B41</f>
        <v>2</v>
      </c>
      <c r="C75" s="5106"/>
      <c r="D75" s="5072"/>
      <c r="E75" s="5073"/>
      <c r="F75" s="5073"/>
      <c r="G75" s="5073"/>
      <c r="H75" s="5073"/>
      <c r="I75" s="5073"/>
      <c r="J75" s="5073"/>
      <c r="K75" s="5073"/>
      <c r="L75" s="5073"/>
      <c r="M75" s="5073"/>
      <c r="N75" s="5073"/>
      <c r="O75" s="5073"/>
      <c r="P75" s="5073"/>
      <c r="Q75" s="5073"/>
      <c r="R75" s="5073"/>
      <c r="S75" s="5073"/>
      <c r="T75" s="5073"/>
      <c r="U75" s="5073"/>
      <c r="V75" s="5073"/>
      <c r="W75" s="5073"/>
      <c r="X75" s="5073"/>
      <c r="Y75" s="5073"/>
      <c r="Z75" s="5073"/>
      <c r="AA75" s="5073"/>
      <c r="AB75" s="5073"/>
      <c r="AC75" s="5073"/>
      <c r="AD75" s="5073"/>
      <c r="AE75" s="5073"/>
      <c r="AF75" s="5073"/>
      <c r="AG75" s="5074"/>
      <c r="AH75" s="2821"/>
      <c r="AI75" s="3030"/>
      <c r="AQ75" s="2816"/>
      <c r="AR75" s="2817"/>
      <c r="AS75" s="2817"/>
      <c r="AT75" s="3035"/>
      <c r="AV75" s="3035"/>
      <c r="AW75" s="2816"/>
      <c r="AX75" s="3035"/>
      <c r="AZ75" s="3035"/>
      <c r="BA75" s="3035"/>
      <c r="BB75" s="3035"/>
      <c r="BC75" s="2816"/>
      <c r="BD75" s="2816"/>
      <c r="BE75" s="2867"/>
      <c r="DJ75" s="2823"/>
    </row>
    <row r="76" spans="1:114" ht="12" thickBot="1" x14ac:dyDescent="0.25">
      <c r="A76" s="3030"/>
      <c r="B76" s="3070">
        <f>1+B42</f>
        <v>2</v>
      </c>
      <c r="C76" s="5107"/>
      <c r="D76" s="5075"/>
      <c r="E76" s="5076"/>
      <c r="F76" s="5076"/>
      <c r="G76" s="5076"/>
      <c r="H76" s="5076"/>
      <c r="I76" s="5076"/>
      <c r="J76" s="5076"/>
      <c r="K76" s="5076"/>
      <c r="L76" s="5076"/>
      <c r="M76" s="5076"/>
      <c r="N76" s="5076"/>
      <c r="O76" s="5076"/>
      <c r="P76" s="5076"/>
      <c r="Q76" s="5076"/>
      <c r="R76" s="5076"/>
      <c r="S76" s="5076"/>
      <c r="T76" s="5076"/>
      <c r="U76" s="5076"/>
      <c r="V76" s="5076"/>
      <c r="W76" s="5076"/>
      <c r="X76" s="5076"/>
      <c r="Y76" s="5076"/>
      <c r="Z76" s="5076"/>
      <c r="AA76" s="5076"/>
      <c r="AB76" s="5076"/>
      <c r="AC76" s="5076"/>
      <c r="AD76" s="5076"/>
      <c r="AE76" s="5076"/>
      <c r="AF76" s="5076"/>
      <c r="AG76" s="5077"/>
      <c r="AH76" s="2821"/>
      <c r="AI76" s="3030"/>
      <c r="AQ76" s="2816"/>
      <c r="AR76" s="2817"/>
      <c r="AS76" s="2817"/>
      <c r="AT76" s="3035"/>
      <c r="AV76" s="3035"/>
      <c r="AW76" s="2816"/>
      <c r="AX76" s="3035"/>
      <c r="AZ76" s="2816"/>
      <c r="BA76" s="2816"/>
      <c r="BB76" s="2816"/>
      <c r="BC76" s="2816"/>
      <c r="BD76" s="2816"/>
      <c r="BE76" s="2867"/>
      <c r="DJ76" s="2823"/>
    </row>
    <row r="77" spans="1:114" x14ac:dyDescent="0.2">
      <c r="A77" s="3030"/>
      <c r="B77" s="3070"/>
      <c r="C77" s="5092"/>
      <c r="D77" s="5092" t="str">
        <f>IFERROR(VLOOKUP(D59,'Tablas Técnicas'!$C$9:$H$81,2,FALSE),"")</f>
        <v/>
      </c>
      <c r="E77" s="5092"/>
      <c r="F77" s="5092"/>
      <c r="G77" s="5092"/>
      <c r="H77" s="5092"/>
      <c r="I77" s="5092"/>
      <c r="J77" s="5078" t="str">
        <f>IFERROR(VLOOKUP(J59,'Tablas Técnicas'!$C$9:$H$81,2,FALSE),"")</f>
        <v/>
      </c>
      <c r="K77" s="5078"/>
      <c r="L77" s="5078"/>
      <c r="M77" s="5078"/>
      <c r="N77" s="5078"/>
      <c r="O77" s="5078"/>
      <c r="P77" s="5078" t="str">
        <f>IFERROR(VLOOKUP(P59,'Tablas Técnicas'!$C$9:$H$81,2,FALSE),"")</f>
        <v/>
      </c>
      <c r="Q77" s="5078"/>
      <c r="R77" s="5078"/>
      <c r="S77" s="5078"/>
      <c r="T77" s="5078"/>
      <c r="U77" s="5078"/>
      <c r="V77" s="5078" t="str">
        <f>IFERROR(VLOOKUP(V59,'Tablas Técnicas'!$C$9:$H$81,2,FALSE),"")</f>
        <v/>
      </c>
      <c r="W77" s="5078"/>
      <c r="X77" s="5078"/>
      <c r="Y77" s="5078"/>
      <c r="Z77" s="5078"/>
      <c r="AA77" s="5078"/>
      <c r="AB77" s="5078" t="str">
        <f>IFERROR(VLOOKUP(AB59,'Tablas Técnicas'!$C$9:$H$81,2,FALSE),"")</f>
        <v/>
      </c>
      <c r="AC77" s="5078"/>
      <c r="AD77" s="5078"/>
      <c r="AE77" s="5078"/>
      <c r="AF77" s="5078"/>
      <c r="AG77" s="5078"/>
      <c r="AH77" s="2821"/>
      <c r="AI77" s="3030"/>
      <c r="AQ77" s="2816"/>
      <c r="AR77" s="2817"/>
      <c r="AS77" s="2817"/>
      <c r="AT77" s="3023"/>
      <c r="AV77" s="3023"/>
      <c r="AW77" s="3023"/>
      <c r="AX77" s="3023"/>
      <c r="AZ77" s="3023"/>
      <c r="BA77" s="3023"/>
      <c r="BB77" s="3023"/>
      <c r="BC77" s="3023"/>
      <c r="DJ77" s="2823"/>
    </row>
    <row r="78" spans="1:114" ht="12" thickBot="1" x14ac:dyDescent="0.25">
      <c r="A78" s="3030"/>
      <c r="B78" s="3070"/>
      <c r="C78" s="5092"/>
      <c r="D78" s="3052"/>
      <c r="E78" s="3024"/>
      <c r="F78" s="3024"/>
      <c r="G78" s="3024"/>
      <c r="H78" s="3024"/>
      <c r="I78" s="3024"/>
      <c r="J78" s="3024"/>
      <c r="K78" s="3024"/>
      <c r="L78" s="3024"/>
      <c r="M78" s="3024"/>
      <c r="N78" s="3024"/>
      <c r="O78" s="3024"/>
      <c r="P78" s="3024"/>
      <c r="Q78" s="3024"/>
      <c r="R78" s="3024"/>
      <c r="S78" s="3024"/>
      <c r="T78" s="3024"/>
      <c r="U78" s="3024"/>
      <c r="V78" s="3054"/>
      <c r="W78" s="3054"/>
      <c r="X78" s="3054"/>
      <c r="Y78" s="3054"/>
      <c r="Z78" s="3054"/>
      <c r="AA78" s="3054"/>
      <c r="AB78" s="3054"/>
      <c r="AC78" s="3054"/>
      <c r="AD78" s="3054"/>
      <c r="AE78" s="3054"/>
      <c r="AF78" s="3024"/>
      <c r="AG78" s="3024"/>
      <c r="AH78" s="2821"/>
      <c r="AI78" s="3030"/>
      <c r="AJ78" s="2870"/>
      <c r="AK78" s="2870"/>
      <c r="AL78" s="2870"/>
      <c r="AM78" s="2870"/>
      <c r="AN78" s="2870"/>
      <c r="AO78" s="2870"/>
      <c r="AR78" s="3023"/>
      <c r="AT78" s="3023"/>
      <c r="AV78" s="3023"/>
      <c r="AW78" s="3023"/>
      <c r="AX78" s="2867"/>
      <c r="AY78" s="2867"/>
      <c r="AZ78" s="2867"/>
      <c r="BA78" s="2867"/>
      <c r="BB78" s="2867"/>
      <c r="BC78" s="2868"/>
    </row>
    <row r="79" spans="1:114" ht="11.25" customHeight="1" x14ac:dyDescent="0.2">
      <c r="A79" s="3030"/>
      <c r="B79" s="3070">
        <f t="shared" ref="B79:B109" si="7">1+B46</f>
        <v>3</v>
      </c>
      <c r="C79" s="5105" t="str">
        <f>"Técnica "&amp;B79</f>
        <v>Técnica 3</v>
      </c>
      <c r="D79" s="5181" t="s">
        <v>9559</v>
      </c>
      <c r="E79" s="5182"/>
      <c r="F79" s="5182"/>
      <c r="G79" s="5182"/>
      <c r="H79" s="5182"/>
      <c r="I79" s="5182"/>
      <c r="J79" s="5182"/>
      <c r="K79" s="5182"/>
      <c r="L79" s="5182"/>
      <c r="M79" s="5182"/>
      <c r="N79" s="5183"/>
      <c r="O79" s="5161" t="s">
        <v>1597</v>
      </c>
      <c r="P79" s="5163">
        <v>1</v>
      </c>
      <c r="Q79" s="5134" t="s">
        <v>9646</v>
      </c>
      <c r="R79" s="5165"/>
      <c r="S79" s="5167" t="s">
        <v>1654</v>
      </c>
      <c r="T79" s="5135" t="s">
        <v>1780</v>
      </c>
      <c r="U79" s="5174">
        <f>MAX(IF(P79=3,60,IF(P79=2,40,20)),MIN(IF(P79=3,200,IF(P79=2,100,50)),SUM(M88:M90))-10*Y89+AC89+IF(S79="Si",10*P79,0)+IF(COUNTIF(K83:M87,"Mantenido")&gt;0,P79*10)+IF(COUNTIF(K83:M87,"Sostenimiento Menor")&gt;0,P79*20)+IF(COUNTIF(K83:M87,"Sostenimiento Mayor")&gt;0,P79*30))</f>
        <v>20</v>
      </c>
      <c r="V79" s="5134" t="s">
        <v>9647</v>
      </c>
      <c r="W79" s="5135"/>
      <c r="X79" s="5138" t="str">
        <f>IFERROR(LEFT(AJ98&amp;AK98&amp;AL98&amp;AM98&amp;AN98&amp;AO98,LEN(AJ98&amp;AK98&amp;AL98&amp;AM98&amp;AN98&amp;AO98)-2),"")</f>
        <v/>
      </c>
      <c r="Y79" s="5138"/>
      <c r="Z79" s="5138"/>
      <c r="AA79" s="5138"/>
      <c r="AB79" s="5138"/>
      <c r="AC79" s="5138"/>
      <c r="AD79" s="5138"/>
      <c r="AE79" s="5138"/>
      <c r="AF79" s="5138"/>
      <c r="AG79" s="5139"/>
      <c r="AH79" s="2821"/>
      <c r="AI79" s="3030"/>
      <c r="AQ79" s="2816"/>
      <c r="AR79" s="2816"/>
      <c r="AS79" s="2816"/>
      <c r="AT79" s="2816"/>
      <c r="AU79" s="2816"/>
      <c r="AV79" s="3035"/>
      <c r="AW79" s="3035"/>
      <c r="AX79" s="2816"/>
      <c r="AY79" s="2816"/>
      <c r="AZ79" s="2824"/>
      <c r="BA79" s="3035"/>
      <c r="BB79" s="3035"/>
      <c r="BC79" s="3023"/>
      <c r="BD79" s="3023"/>
    </row>
    <row r="80" spans="1:114" ht="11.25" customHeight="1" x14ac:dyDescent="0.2">
      <c r="A80" s="3030"/>
      <c r="B80" s="3070">
        <f t="shared" si="7"/>
        <v>3</v>
      </c>
      <c r="C80" s="5106"/>
      <c r="D80" s="5184"/>
      <c r="E80" s="5185"/>
      <c r="F80" s="5185"/>
      <c r="G80" s="5185"/>
      <c r="H80" s="5185"/>
      <c r="I80" s="5185"/>
      <c r="J80" s="5185"/>
      <c r="K80" s="5185"/>
      <c r="L80" s="5185"/>
      <c r="M80" s="5185"/>
      <c r="N80" s="5186"/>
      <c r="O80" s="5162"/>
      <c r="P80" s="5164"/>
      <c r="Q80" s="5136"/>
      <c r="R80" s="5166"/>
      <c r="S80" s="5164"/>
      <c r="T80" s="5137"/>
      <c r="U80" s="5175"/>
      <c r="V80" s="5136"/>
      <c r="W80" s="5137"/>
      <c r="X80" s="5140"/>
      <c r="Y80" s="5140"/>
      <c r="Z80" s="5140"/>
      <c r="AA80" s="5140"/>
      <c r="AB80" s="5140"/>
      <c r="AC80" s="5140"/>
      <c r="AD80" s="5140"/>
      <c r="AE80" s="5140"/>
      <c r="AF80" s="5140"/>
      <c r="AG80" s="5141"/>
      <c r="AH80" s="2821"/>
      <c r="AI80" s="3030"/>
      <c r="AJ80" s="2947" t="s">
        <v>10240</v>
      </c>
      <c r="AQ80" s="2816"/>
      <c r="AR80" s="2816"/>
      <c r="AS80" s="2816"/>
      <c r="AT80" s="2816"/>
      <c r="AU80" s="2816"/>
      <c r="AV80" s="3035"/>
      <c r="AW80" s="3035"/>
      <c r="AX80" s="3035"/>
      <c r="AZ80" s="3035"/>
      <c r="BA80" s="5063" t="s">
        <v>10254</v>
      </c>
      <c r="BB80" s="5063"/>
      <c r="BC80" s="3023"/>
      <c r="BD80" s="3023"/>
      <c r="BE80" s="2822"/>
    </row>
    <row r="81" spans="1:57" ht="12" customHeight="1" x14ac:dyDescent="0.2">
      <c r="A81" s="3030"/>
      <c r="B81" s="3070">
        <f t="shared" si="7"/>
        <v>3</v>
      </c>
      <c r="C81" s="5106"/>
      <c r="D81" s="5069" t="s">
        <v>3223</v>
      </c>
      <c r="E81" s="5070"/>
      <c r="F81" s="5070"/>
      <c r="G81" s="5070"/>
      <c r="H81" s="5070"/>
      <c r="I81" s="5070"/>
      <c r="J81" s="5070"/>
      <c r="K81" s="5070" t="str">
        <f>"Mant / SMe / Sma"</f>
        <v>Mant / SMe / Sma</v>
      </c>
      <c r="L81" s="5070"/>
      <c r="M81" s="5070"/>
      <c r="N81" s="5070" t="s">
        <v>1774</v>
      </c>
      <c r="O81" s="5145" t="s">
        <v>3221</v>
      </c>
      <c r="P81" s="5145" t="s">
        <v>9648</v>
      </c>
      <c r="Q81" s="5070" t="s">
        <v>1637</v>
      </c>
      <c r="R81" s="5070"/>
      <c r="S81" s="5070"/>
      <c r="T81" s="5070"/>
      <c r="U81" s="5070"/>
      <c r="V81" s="5108" t="s">
        <v>1646</v>
      </c>
      <c r="W81" s="5109"/>
      <c r="X81" s="5108" t="s">
        <v>1772</v>
      </c>
      <c r="Y81" s="5110"/>
      <c r="Z81" s="5109" t="s">
        <v>1651</v>
      </c>
      <c r="AA81" s="5109"/>
      <c r="AB81" s="5108" t="s">
        <v>1656</v>
      </c>
      <c r="AC81" s="5110"/>
      <c r="AD81" s="5109" t="s">
        <v>1664</v>
      </c>
      <c r="AE81" s="5109"/>
      <c r="AF81" s="5108" t="s">
        <v>1665</v>
      </c>
      <c r="AG81" s="5111"/>
      <c r="AH81" s="2821"/>
      <c r="AI81" s="3030"/>
      <c r="AL81" s="2816" t="s">
        <v>9649</v>
      </c>
      <c r="AQ81" s="2816"/>
      <c r="AR81" s="3035"/>
      <c r="AT81" s="2816" t="s">
        <v>10237</v>
      </c>
      <c r="AU81" s="2816"/>
      <c r="AV81" s="2816" t="s">
        <v>9650</v>
      </c>
      <c r="AW81" s="2816" t="s">
        <v>9651</v>
      </c>
      <c r="AX81" s="2816" t="s">
        <v>10238</v>
      </c>
      <c r="AY81" s="2816"/>
      <c r="AZ81" s="3035"/>
      <c r="BA81" s="3035" t="s">
        <v>9652</v>
      </c>
      <c r="BB81" s="2816" t="s">
        <v>9653</v>
      </c>
      <c r="BC81" s="2816" t="s">
        <v>9653</v>
      </c>
      <c r="BD81" s="3023"/>
      <c r="BE81" s="2822"/>
    </row>
    <row r="82" spans="1:57" x14ac:dyDescent="0.2">
      <c r="A82" s="3030"/>
      <c r="B82" s="3070">
        <f t="shared" si="7"/>
        <v>3</v>
      </c>
      <c r="C82" s="5106"/>
      <c r="D82" s="5142"/>
      <c r="E82" s="5143"/>
      <c r="F82" s="5143"/>
      <c r="G82" s="5143"/>
      <c r="H82" s="5143"/>
      <c r="I82" s="5143"/>
      <c r="J82" s="5143"/>
      <c r="K82" s="5143"/>
      <c r="L82" s="5143"/>
      <c r="M82" s="5143"/>
      <c r="N82" s="5144"/>
      <c r="O82" s="5146"/>
      <c r="P82" s="5147"/>
      <c r="Q82" s="5144"/>
      <c r="R82" s="5144"/>
      <c r="S82" s="5144"/>
      <c r="T82" s="5144"/>
      <c r="U82" s="5144"/>
      <c r="V82" s="3045" t="s">
        <v>10248</v>
      </c>
      <c r="W82" s="3031" t="s">
        <v>3227</v>
      </c>
      <c r="X82" s="3045" t="s">
        <v>10248</v>
      </c>
      <c r="Y82" s="3031" t="s">
        <v>3227</v>
      </c>
      <c r="Z82" s="3045" t="s">
        <v>10248</v>
      </c>
      <c r="AA82" s="3031" t="s">
        <v>3227</v>
      </c>
      <c r="AB82" s="3045" t="s">
        <v>10248</v>
      </c>
      <c r="AC82" s="3031" t="s">
        <v>3227</v>
      </c>
      <c r="AD82" s="3045" t="s">
        <v>10248</v>
      </c>
      <c r="AE82" s="3031" t="s">
        <v>3227</v>
      </c>
      <c r="AF82" s="3045" t="s">
        <v>10248</v>
      </c>
      <c r="AG82" s="2825" t="s">
        <v>3227</v>
      </c>
      <c r="AH82" s="2821"/>
      <c r="AI82" s="3030"/>
      <c r="AK82" s="2816" t="s">
        <v>10261</v>
      </c>
      <c r="AL82" s="2816">
        <v>1</v>
      </c>
      <c r="AM82" s="2816">
        <v>2</v>
      </c>
      <c r="AN82" s="2816">
        <v>3</v>
      </c>
      <c r="AO82" s="2816">
        <v>4</v>
      </c>
      <c r="AP82" s="2816">
        <v>5</v>
      </c>
      <c r="AQ82" s="2816">
        <v>6</v>
      </c>
      <c r="AR82" s="2816">
        <v>7</v>
      </c>
      <c r="AS82" s="2816"/>
      <c r="AT82" s="3035"/>
      <c r="AV82" s="2816"/>
      <c r="AW82" s="3035"/>
      <c r="AX82" s="3035"/>
      <c r="AZ82" s="3035"/>
      <c r="BA82" s="3035"/>
      <c r="BB82" s="3035"/>
      <c r="BC82" s="3023"/>
      <c r="BD82" s="3023"/>
      <c r="BE82" s="2822"/>
    </row>
    <row r="83" spans="1:57" x14ac:dyDescent="0.2">
      <c r="A83" s="3030"/>
      <c r="B83" s="3070">
        <f t="shared" si="7"/>
        <v>3</v>
      </c>
      <c r="C83" s="5106"/>
      <c r="D83" s="5124" t="s">
        <v>9654</v>
      </c>
      <c r="E83" s="5125"/>
      <c r="F83" s="5126"/>
      <c r="G83" s="5127"/>
      <c r="H83" s="5127"/>
      <c r="I83" s="5127"/>
      <c r="J83" s="5128"/>
      <c r="K83" s="5124" t="s">
        <v>1729</v>
      </c>
      <c r="L83" s="5129"/>
      <c r="M83" s="5125"/>
      <c r="N83" s="3036">
        <f>SUMPRODUCT(INDEX('Tablas Técnicas'!$O$10:$X$639,,5),--(INDEX('Tablas Técnicas'!$O$10:$X$639,,1)=F83),--(ISNUMBER(MATCH(INDEX('Tablas Técnicas'!$O$10:$X$639,,2),$AL83:$AR83,0))))</f>
        <v>0</v>
      </c>
      <c r="O83" s="3036" t="str">
        <f>V83+X83+Z83+AB83+AD83+AF83&amp;" / "&amp;SUMPRODUCT(INDEX('Tablas Técnicas'!$O$10:$X$639,,IF(D83="Primario",3,4)),--(INDEX('Tablas Técnicas'!$O$10:$X$639,,1)=F83),--(ISNUMBER(MATCH(INDEX('Tablas Técnicas'!$O$10:$X$639,,2),$AL83:$AR83,0))))+IF(AND(K83&lt;&gt;"-",K83&lt;&gt;""),SUMPRODUCT(INDEX('Tablas Técnicas'!$O$10:$X$639,,IF(K83="Mantenido",6,IF(K83="Sostenimiento menor",7,IF(K83="Sostenimiento mayor",8,0)))),--(INDEX('Tablas Técnicas'!$O$10:$X$639,,1)=F83),--(ISNUMBER(MATCH(INDEX('Tablas Técnicas'!$O$10:$X$639,,2),$AL83:$AR83,0)))),0)+AT83</f>
        <v>0 / 0</v>
      </c>
      <c r="P83" s="3036" t="str">
        <f>W83+Y83+AA83+AC83+AE83+AG83&amp;" / "&amp;IF(K83="Mantenido",SUMPRODUCT(INDEX('Tablas Técnicas'!$O$10:$X$639,,6),--(INDEX('Tablas Técnicas'!$O$10:$X$639,,1)=F83),--(ISNUMBER(MATCH(INDEX('Tablas Técnicas'!$O$10:$X$639,,2),$AL83:$AR83,0)))),0)</f>
        <v>0 / 0</v>
      </c>
      <c r="Q83" s="5130" t="str">
        <f>IFERROR(VLOOKUP(F83,'Tablas Técnicas'!$C$9:$H$81,5,FALSE),"")</f>
        <v/>
      </c>
      <c r="R83" s="5130"/>
      <c r="S83" s="5130"/>
      <c r="T83" s="5130"/>
      <c r="U83" s="5130"/>
      <c r="V83" s="2826"/>
      <c r="W83" s="2827"/>
      <c r="X83" s="2826"/>
      <c r="Y83" s="2828"/>
      <c r="Z83" s="2829"/>
      <c r="AA83" s="2827"/>
      <c r="AB83" s="2826"/>
      <c r="AC83" s="2828"/>
      <c r="AD83" s="2829"/>
      <c r="AE83" s="2827"/>
      <c r="AF83" s="2826"/>
      <c r="AG83" s="2830"/>
      <c r="AH83" s="2821"/>
      <c r="AI83" s="3030"/>
      <c r="AJ83" s="2816">
        <v>1</v>
      </c>
      <c r="AK83" s="2816">
        <f>P79</f>
        <v>1</v>
      </c>
      <c r="AL83" s="2816" t="str">
        <f>IF(INDEX($A$1:$AI$343,ROW($D$29)+($B83-1)*(ROW($D$63)-ROW($D$29))+Tablas!A$1-1,COLUMN($D$29)+($AJ83-1)*(COLUMN($J$29)-COLUMN($D$29)))="","",INDEX($A$1:$AI$343,ROW($D$29)+($B83-1)*(ROW($D$63)-ROW($D$29))+Tablas!A$1-1,COLUMN($D$29)+($AJ83-1)*(COLUMN($J$29)-COLUMN($D$29))))</f>
        <v/>
      </c>
      <c r="AM83" s="2816" t="str">
        <f>IF(INDEX($A$1:$AI$343,ROW($D$29)+($B83-1)*(ROW($D$63)-ROW($D$29))+Tablas!B$1-1,COLUMN($D$29)+($AJ83-1)*(COLUMN($J$29)-COLUMN($D$29)))="","",INDEX($A$1:$AI$343,ROW($D$29)+($B83-1)*(ROW($D$63)-ROW($D$29))+Tablas!B$1-1,COLUMN($D$29)+($AJ83-1)*(COLUMN($J$29)-COLUMN($D$29))))</f>
        <v/>
      </c>
      <c r="AN83" s="2816" t="str">
        <f>IF(INDEX($A$1:$AI$343,ROW($D$29)+($B83-1)*(ROW($D$63)-ROW($D$29))+Tablas!C$1-1,COLUMN($D$29)+($AJ83-1)*(COLUMN($J$29)-COLUMN($D$29)))="","",INDEX($A$1:$AI$343,ROW($D$29)+($B83-1)*(ROW($D$63)-ROW($D$29))+Tablas!C$1-1,COLUMN($D$29)+($AJ83-1)*(COLUMN($J$29)-COLUMN($D$29))))</f>
        <v/>
      </c>
      <c r="AO83" s="2816" t="str">
        <f>IF(INDEX($A$1:$AI$343,ROW($D$29)+($B83-1)*(ROW($D$63)-ROW($D$29))+Tablas!D$1-1,COLUMN($D$29)+($AJ83-1)*(COLUMN($J$29)-COLUMN($D$29)))="","",INDEX($A$1:$AI$343,ROW($D$29)+($B83-1)*(ROW($D$63)-ROW($D$29))+Tablas!D$1-1,COLUMN($D$29)+($AJ83-1)*(COLUMN($J$29)-COLUMN($D$29))))</f>
        <v/>
      </c>
      <c r="AP83" s="2816" t="str">
        <f>IF(INDEX($A$1:$AI$343,ROW($D$29)+($B83-1)*(ROW($D$63)-ROW($D$29))+Tablas!E$1-1,COLUMN($D$29)+($AJ83-1)*(COLUMN($J$29)-COLUMN($D$29)))="","",INDEX($A$1:$AI$343,ROW($D$29)+($B83-1)*(ROW($D$63)-ROW($D$29))+Tablas!E$1-1,COLUMN($D$29)+($AJ83-1)*(COLUMN($J$29)-COLUMN($D$29))))</f>
        <v/>
      </c>
      <c r="AQ83" s="2816" t="str">
        <f>IF(INDEX($A$1:$AI$343,ROW($D$29)+($B83-1)*(ROW($D$63)-ROW($D$29))+Tablas!F$1-1,COLUMN($D$29)+($AJ83-1)*(COLUMN($J$29)-COLUMN($D$29)))="","",INDEX($A$1:$AI$343,ROW($D$29)+($B83-1)*(ROW($D$63)-ROW($D$29))+Tablas!F$1-1,COLUMN($D$29)+($AJ83-1)*(COLUMN($J$29)-COLUMN($D$29))))</f>
        <v/>
      </c>
      <c r="AR83" s="2816" t="str">
        <f>IF(INDEX($A$1:$AI$343,ROW($D$29)+($B83-1)*(ROW($D$63)-ROW($D$29))+Tablas!G$1-1,COLUMN($D$29)+($AJ83-1)*(COLUMN($J$29)-COLUMN($D$29)))="","",INDEX($A$1:$AI$343,ROW($D$29)+($B83-1)*(ROW($D$63)-ROW($D$29))+Tablas!G$1-1,COLUMN($D$29)+($AJ83-1)*(COLUMN($J$29)-COLUMN($D$29))))</f>
        <v>Descripción</v>
      </c>
      <c r="AS83" s="2816"/>
      <c r="AT83" s="3035">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V83" s="2816" t="str">
        <f>IFERROR(VLOOKUP(F83,'Tablas Técnicas'!$C$9:$H$81,6,FALSE),"")</f>
        <v/>
      </c>
      <c r="AW83" s="3035" t="b">
        <f>OR(AV83="",ISNUMBER(SEARCH($O88,AV83)),ISNUMBER(SEARCH($Q88,AV83)),ISNUMBER(SEARCH($O89,AV83)),ISNUMBER(SEARCH($Q89,AV83)),ISNUMBER(SEARCH($O90,AV83)),ISNUMBER(SEARCH($Q90,AV83)),)</f>
        <v>1</v>
      </c>
      <c r="AX83" s="3035" t="b">
        <f>AND(P79&gt;1,OR(MAX(I96:I102)=1,MAX(I96:I102)=2))</f>
        <v>0</v>
      </c>
      <c r="AZ83" s="3035"/>
      <c r="BA83" s="2816" t="str">
        <f>IF(F83="","",F83&amp;" ("&amp;IF(AL83="","",AL83&amp;", ")&amp;IF(AM83="","",AM83&amp;", ")&amp;IF(AN83="","",AN83&amp;", ")&amp;IF(AO83="","",AO83&amp;", ")&amp;IF(AP83="","",AP83&amp;", ")&amp;IF(AQ83="","",AQ83&amp;", ")&amp;IF(AR83="","",AR83&amp;", "))</f>
        <v/>
      </c>
      <c r="BB83" s="3035" t="str">
        <f t="shared" ref="BB83:BB85" si="8">IFERROR(LEFT(BA83,LEN(BA83)-2)&amp;"), ","")</f>
        <v/>
      </c>
      <c r="BC83" s="3023" t="str">
        <f t="shared" ref="BC83:BC85" si="9">IFERROR(LEFT(BB83,LEN(BB83)-2)&amp;"), ","")</f>
        <v/>
      </c>
      <c r="BD83" s="3023"/>
      <c r="BE83" s="2822"/>
    </row>
    <row r="84" spans="1:57" x14ac:dyDescent="0.2">
      <c r="A84" s="3030"/>
      <c r="B84" s="3070">
        <f t="shared" si="7"/>
        <v>3</v>
      </c>
      <c r="C84" s="5106"/>
      <c r="D84" s="5090" t="s">
        <v>790</v>
      </c>
      <c r="E84" s="5091"/>
      <c r="F84" s="5112"/>
      <c r="G84" s="5113"/>
      <c r="H84" s="5113"/>
      <c r="I84" s="5113"/>
      <c r="J84" s="5114"/>
      <c r="K84" s="5115" t="s">
        <v>1729</v>
      </c>
      <c r="L84" s="5116"/>
      <c r="M84" s="5117"/>
      <c r="N84" s="3039">
        <f>SUMPRODUCT(INDEX('Tablas Técnicas'!$O$10:$X$639,,5),--(INDEX('Tablas Técnicas'!$O$10:$X$639,,1)=F84),--(ISNUMBER(MATCH(INDEX('Tablas Técnicas'!$O$10:$X$639,,2),$AL84:$AR84,0))))</f>
        <v>0</v>
      </c>
      <c r="O84" s="3039" t="str">
        <f>V84+X84+Z84+AB84+AD84+AF84&amp;" / "&amp;SUMPRODUCT(INDEX('Tablas Técnicas'!$O$10:$X$639,,IF(D84="Primario",3,4)),--(INDEX('Tablas Técnicas'!$O$10:$X$639,,1)=F84),--(ISNUMBER(MATCH(INDEX('Tablas Técnicas'!$O$10:$X$639,,2),$AL84:$AR84,0))))+IF(AND(K84&lt;&gt;"-",K84&lt;&gt;""),SUMPRODUCT(INDEX('Tablas Técnicas'!$O$10:$X$639,,IF(K84="Mantenido",6,IF(K84="Sostenimiento menor",7,IF(K84="Sostenimiento mayor",8,0)))),--(INDEX('Tablas Técnicas'!$O$10:$X$639,,1)=F84),--(ISNUMBER(MATCH(INDEX('Tablas Técnicas'!$O$10:$X$639,,2),$AL84:$AR84,0)))),0)+AT84</f>
        <v>0 / 0</v>
      </c>
      <c r="P84" s="3039" t="str">
        <f>W84+Y84+AA84+AC84+AE84+AG84&amp;" / "&amp;IF(K84="Mantenido",SUMPRODUCT(INDEX('Tablas Técnicas'!$O$10:$X$639,,6),--(INDEX('Tablas Técnicas'!$O$10:$X$639,,1)=F84),--(ISNUMBER(MATCH(INDEX('Tablas Técnicas'!$O$10:$X$639,,2),$AL84:$AR84,0)))),0)</f>
        <v>0 / 0</v>
      </c>
      <c r="Q84" s="5092" t="str">
        <f>IFERROR(VLOOKUP(F84,'Tablas Técnicas'!$C$9:$H$81,5,FALSE),"")</f>
        <v/>
      </c>
      <c r="R84" s="5092"/>
      <c r="S84" s="5092"/>
      <c r="T84" s="5092"/>
      <c r="U84" s="5092"/>
      <c r="V84" s="3034"/>
      <c r="W84" s="2831"/>
      <c r="X84" s="3034"/>
      <c r="Y84" s="3033"/>
      <c r="Z84" s="3028"/>
      <c r="AA84" s="2831"/>
      <c r="AB84" s="3034"/>
      <c r="AC84" s="3033"/>
      <c r="AD84" s="3028"/>
      <c r="AE84" s="2831"/>
      <c r="AF84" s="3034"/>
      <c r="AG84" s="2832"/>
      <c r="AH84" s="2821"/>
      <c r="AI84" s="3030"/>
      <c r="AJ84" s="2816">
        <v>2</v>
      </c>
      <c r="AK84" s="2816">
        <f>P79</f>
        <v>1</v>
      </c>
      <c r="AL84" s="2816" t="str">
        <f>IF(INDEX($A$1:$AI$343,ROW($D$29)+($B84-1)*(ROW($D$63)-ROW($D$29))+Tablas!A$1-1,COLUMN($D$29)+($AJ84-1)*(COLUMN($J$29)-COLUMN($D$29)))="","",INDEX($A$1:$AI$343,ROW($D$29)+($B84-1)*(ROW($D$63)-ROW($D$29))+Tablas!A$1-1,COLUMN($D$29)+($AJ84-1)*(COLUMN($J$29)-COLUMN($D$29))))</f>
        <v/>
      </c>
      <c r="AM84" s="2816" t="str">
        <f>IF(INDEX($A$1:$AI$343,ROW($D$29)+($B84-1)*(ROW($D$63)-ROW($D$29))+Tablas!B$1-1,COLUMN($D$29)+($AJ84-1)*(COLUMN($J$29)-COLUMN($D$29)))="","",INDEX($A$1:$AI$343,ROW($D$29)+($B84-1)*(ROW($D$63)-ROW($D$29))+Tablas!B$1-1,COLUMN($D$29)+($AJ84-1)*(COLUMN($J$29)-COLUMN($D$29))))</f>
        <v/>
      </c>
      <c r="AN84" s="2816" t="str">
        <f>IF(INDEX($A$1:$AI$343,ROW($D$29)+($B84-1)*(ROW($D$63)-ROW($D$29))+Tablas!C$1-1,COLUMN($D$29)+($AJ84-1)*(COLUMN($J$29)-COLUMN($D$29)))="","",INDEX($A$1:$AI$343,ROW($D$29)+($B84-1)*(ROW($D$63)-ROW($D$29))+Tablas!C$1-1,COLUMN($D$29)+($AJ84-1)*(COLUMN($J$29)-COLUMN($D$29))))</f>
        <v/>
      </c>
      <c r="AO84" s="2816" t="str">
        <f>IF(INDEX($A$1:$AI$343,ROW($D$29)+($B84-1)*(ROW($D$63)-ROW($D$29))+Tablas!D$1-1,COLUMN($D$29)+($AJ84-1)*(COLUMN($J$29)-COLUMN($D$29)))="","",INDEX($A$1:$AI$343,ROW($D$29)+($B84-1)*(ROW($D$63)-ROW($D$29))+Tablas!D$1-1,COLUMN($D$29)+($AJ84-1)*(COLUMN($J$29)-COLUMN($D$29))))</f>
        <v/>
      </c>
      <c r="AP84" s="2816" t="str">
        <f>IF(INDEX($A$1:$AI$343,ROW($D$29)+($B84-1)*(ROW($D$63)-ROW($D$29))+Tablas!E$1-1,COLUMN($D$29)+($AJ84-1)*(COLUMN($J$29)-COLUMN($D$29)))="","",INDEX($A$1:$AI$343,ROW($D$29)+($B84-1)*(ROW($D$63)-ROW($D$29))+Tablas!E$1-1,COLUMN($D$29)+($AJ84-1)*(COLUMN($J$29)-COLUMN($D$29))))</f>
        <v/>
      </c>
      <c r="AQ84" s="2816" t="str">
        <f>IF(INDEX($A$1:$AI$343,ROW($D$29)+($B84-1)*(ROW($D$63)-ROW($D$29))+Tablas!F$1-1,COLUMN($D$29)+($AJ84-1)*(COLUMN($J$29)-COLUMN($D$29)))="","",INDEX($A$1:$AI$343,ROW($D$29)+($B84-1)*(ROW($D$63)-ROW($D$29))+Tablas!F$1-1,COLUMN($D$29)+($AJ84-1)*(COLUMN($J$29)-COLUMN($D$29))))</f>
        <v/>
      </c>
      <c r="AR84" s="2816" t="str">
        <f>IF(INDEX($A$1:$AI$343,ROW($D$29)+($B84-1)*(ROW($D$63)-ROW($D$29))+Tablas!G$1-1,COLUMN($D$29)+($AJ84-1)*(COLUMN($J$29)-COLUMN($D$29)))="","",INDEX($A$1:$AI$343,ROW($D$29)+($B84-1)*(ROW($D$63)-ROW($D$29))+Tablas!G$1-1,COLUMN($D$29)+($AJ84-1)*(COLUMN($J$29)-COLUMN($D$29))))</f>
        <v/>
      </c>
      <c r="AS84" s="2816"/>
      <c r="AT84" s="3035">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2816" t="str">
        <f>IFERROR(VLOOKUP(F84,'Tablas Técnicas'!$C$9:$H$81,6,FALSE),"")</f>
        <v/>
      </c>
      <c r="AW84" s="3035" t="b">
        <f>OR(AX68="",OR(ISNUMBER(SEARCH($O88,AV84)),ISNUMBER(SEARCH($Q88,AV84)),ISNUMBER(SEARCH($O89,AV84)),ISNUMBER(SEARCH($Q89,AV84)),ISNUMBER(SEARCH($O90,AV84)),ISNUMBER(SEARCH($Q90,AV84)),))</f>
        <v>1</v>
      </c>
      <c r="AX84" s="3035" t="b">
        <f>AND(P79&gt;1,OR(MAX(O96:O102)=1,MAX(O96:O102)=2))</f>
        <v>0</v>
      </c>
      <c r="AZ84" s="3035"/>
      <c r="BA84" s="2816" t="str">
        <f>IF(F84="","",F84&amp;" ("&amp;IF(AL84="","",AL84&amp;", ")&amp;IF(AM84="","",AM84&amp;", ")&amp;IF(AN84="","",AN84&amp;", ")&amp;IF(AO84="","",AO84&amp;", ")&amp;IF(AP84="","",AP84&amp;", ")&amp;IF(AQ84="","",AQ84&amp;", ")&amp;IF(AR84="","",AR84&amp;", "))</f>
        <v/>
      </c>
      <c r="BB84" s="3035" t="str">
        <f t="shared" si="8"/>
        <v/>
      </c>
      <c r="BC84" s="3023" t="str">
        <f t="shared" si="9"/>
        <v/>
      </c>
      <c r="BD84" s="3023"/>
      <c r="BE84" s="2822"/>
    </row>
    <row r="85" spans="1:57" x14ac:dyDescent="0.2">
      <c r="A85" s="3030"/>
      <c r="B85" s="3070">
        <f t="shared" si="7"/>
        <v>3</v>
      </c>
      <c r="C85" s="5106"/>
      <c r="D85" s="5131" t="s">
        <v>790</v>
      </c>
      <c r="E85" s="5132"/>
      <c r="F85" s="5118"/>
      <c r="G85" s="5119"/>
      <c r="H85" s="5119"/>
      <c r="I85" s="5119"/>
      <c r="J85" s="5120"/>
      <c r="K85" s="5121" t="s">
        <v>1729</v>
      </c>
      <c r="L85" s="5122"/>
      <c r="M85" s="5123"/>
      <c r="N85" s="3040">
        <f>SUMPRODUCT(INDEX('Tablas Técnicas'!$O$10:$X$639,,5),--(INDEX('Tablas Técnicas'!$O$10:$X$639,,1)=F85),--(ISNUMBER(MATCH(INDEX('Tablas Técnicas'!$O$10:$X$639,,2),$AL85:$AR85,0))))</f>
        <v>0</v>
      </c>
      <c r="O85" s="3040" t="str">
        <f>V85+X85+Z85+AB85+AD85+AF85&amp;" / "&amp;SUMPRODUCT(INDEX('Tablas Técnicas'!$O$10:$X$639,,IF(D85="Primario",3,4)),--(INDEX('Tablas Técnicas'!$O$10:$X$639,,1)=F85),--(ISNUMBER(MATCH(INDEX('Tablas Técnicas'!$O$10:$X$639,,2),$AL85:$AR85,0))))+IF(AND(K85&lt;&gt;"-",K85&lt;&gt;""),SUMPRODUCT(INDEX('Tablas Técnicas'!$O$10:$X$639,,IF(K85="Mantenido",6,IF(K85="Sostenimiento menor",7,IF(K85="Sostenimiento mayor",8,0)))),--(INDEX('Tablas Técnicas'!$O$10:$X$639,,1)=F85),--(ISNUMBER(MATCH(INDEX('Tablas Técnicas'!$O$10:$X$639,,2),$AL85:$AR85,0)))),0)+AT85</f>
        <v>0 / 0</v>
      </c>
      <c r="P85" s="3040" t="str">
        <f>W85+Y85+AA85+AC85+AE85+AG85&amp;" / "&amp;IF(K85="Mantenido",SUMPRODUCT(INDEX('Tablas Técnicas'!$O$10:$X$639,,6),--(INDEX('Tablas Técnicas'!$O$10:$X$639,,1)=F85),--(ISNUMBER(MATCH(INDEX('Tablas Técnicas'!$O$10:$X$639,,2),$AL85:$AR85,0)))),0)</f>
        <v>0 / 0</v>
      </c>
      <c r="Q85" s="5133" t="str">
        <f>IFERROR(VLOOKUP(F85,'Tablas Técnicas'!$C$9:$H$81,5,FALSE),"")</f>
        <v/>
      </c>
      <c r="R85" s="5133"/>
      <c r="S85" s="5133"/>
      <c r="T85" s="5133"/>
      <c r="U85" s="5133"/>
      <c r="V85" s="2833"/>
      <c r="W85" s="2834"/>
      <c r="X85" s="3038"/>
      <c r="Y85" s="3037"/>
      <c r="Z85" s="3029"/>
      <c r="AA85" s="2834"/>
      <c r="AB85" s="3038"/>
      <c r="AC85" s="3037"/>
      <c r="AD85" s="3029"/>
      <c r="AE85" s="2834"/>
      <c r="AF85" s="3038"/>
      <c r="AG85" s="2835"/>
      <c r="AH85" s="2821"/>
      <c r="AI85" s="3030"/>
      <c r="AJ85" s="2816">
        <v>3</v>
      </c>
      <c r="AK85" s="2816">
        <f>P79</f>
        <v>1</v>
      </c>
      <c r="AL85" s="2816" t="str">
        <f>IF(INDEX($A$1:$AI$343,ROW($D$29)+($B85-1)*(ROW($D$63)-ROW($D$29))+Tablas!A$1-1,COLUMN($D$29)+($AJ85-1)*(COLUMN($J$29)-COLUMN($D$29)))="","",INDEX($A$1:$AI$343,ROW($D$29)+($B85-1)*(ROW($D$63)-ROW($D$29))+Tablas!A$1-1,COLUMN($D$29)+($AJ85-1)*(COLUMN($J$29)-COLUMN($D$29))))</f>
        <v/>
      </c>
      <c r="AM85" s="2816" t="str">
        <f>IF(INDEX($A$1:$AI$343,ROW($D$29)+($B85-1)*(ROW($D$63)-ROW($D$29))+Tablas!B$1-1,COLUMN($D$29)+($AJ85-1)*(COLUMN($J$29)-COLUMN($D$29)))="","",INDEX($A$1:$AI$343,ROW($D$29)+($B85-1)*(ROW($D$63)-ROW($D$29))+Tablas!B$1-1,COLUMN($D$29)+($AJ85-1)*(COLUMN($J$29)-COLUMN($D$29))))</f>
        <v/>
      </c>
      <c r="AN85" s="2816" t="str">
        <f>IF(INDEX($A$1:$AI$343,ROW($D$29)+($B85-1)*(ROW($D$63)-ROW($D$29))+Tablas!C$1-1,COLUMN($D$29)+($AJ85-1)*(COLUMN($J$29)-COLUMN($D$29)))="","",INDEX($A$1:$AI$343,ROW($D$29)+($B85-1)*(ROW($D$63)-ROW($D$29))+Tablas!C$1-1,COLUMN($D$29)+($AJ85-1)*(COLUMN($J$29)-COLUMN($D$29))))</f>
        <v/>
      </c>
      <c r="AO85" s="2816" t="str">
        <f>IF(INDEX($A$1:$AI$343,ROW($D$29)+($B85-1)*(ROW($D$63)-ROW($D$29))+Tablas!D$1-1,COLUMN($D$29)+($AJ85-1)*(COLUMN($J$29)-COLUMN($D$29)))="","",INDEX($A$1:$AI$343,ROW($D$29)+($B85-1)*(ROW($D$63)-ROW($D$29))+Tablas!D$1-1,COLUMN($D$29)+($AJ85-1)*(COLUMN($J$29)-COLUMN($D$29))))</f>
        <v/>
      </c>
      <c r="AP85" s="2816" t="str">
        <f>IF(INDEX($A$1:$AI$343,ROW($D$29)+($B85-1)*(ROW($D$63)-ROW($D$29))+Tablas!E$1-1,COLUMN($D$29)+($AJ85-1)*(COLUMN($J$29)-COLUMN($D$29)))="","",INDEX($A$1:$AI$343,ROW($D$29)+($B85-1)*(ROW($D$63)-ROW($D$29))+Tablas!E$1-1,COLUMN($D$29)+($AJ85-1)*(COLUMN($J$29)-COLUMN($D$29))))</f>
        <v/>
      </c>
      <c r="AQ85" s="2816" t="str">
        <f>IF(INDEX($A$1:$AI$343,ROW($D$29)+($B85-1)*(ROW($D$63)-ROW($D$29))+Tablas!F$1-1,COLUMN($D$29)+($AJ85-1)*(COLUMN($J$29)-COLUMN($D$29)))="","",INDEX($A$1:$AI$343,ROW($D$29)+($B85-1)*(ROW($D$63)-ROW($D$29))+Tablas!F$1-1,COLUMN($D$29)+($AJ85-1)*(COLUMN($J$29)-COLUMN($D$29))))</f>
        <v/>
      </c>
      <c r="AR85" s="2816" t="str">
        <f>IF(INDEX($A$1:$AI$343,ROW($D$29)+($B85-1)*(ROW($D$63)-ROW($D$29))+Tablas!G$1-1,COLUMN($D$29)+($AJ85-1)*(COLUMN($J$29)-COLUMN($D$29)))="","",INDEX($A$1:$AI$343,ROW($D$29)+($B85-1)*(ROW($D$63)-ROW($D$29))+Tablas!G$1-1,COLUMN($D$29)+($AJ85-1)*(COLUMN($J$29)-COLUMN($D$29))))</f>
        <v/>
      </c>
      <c r="AS85" s="2816"/>
      <c r="AT85" s="3035">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2816" t="str">
        <f>IFERROR(VLOOKUP(F85,'Tablas Técnicas'!$C$9:$H$81,6,FALSE),"")</f>
        <v/>
      </c>
      <c r="AW85" s="3035" t="b">
        <f>OR(AV85="",OR(ISNUMBER(SEARCH($O88,AV85)),ISNUMBER(SEARCH($Q88,AV85)),ISNUMBER(SEARCH($O89,AV85)),ISNUMBER(SEARCH($Q89,AV85)),ISNUMBER(SEARCH($O90,AV85)),ISNUMBER(SEARCH($Q90,AV85)),))</f>
        <v>1</v>
      </c>
      <c r="AX85" s="3035" t="b">
        <f>AND(P79&gt;1,OR(MAX(U96:U102)=1,MAX(U96:U102)=2))</f>
        <v>0</v>
      </c>
      <c r="AZ85" s="3035"/>
      <c r="BA85" s="2816" t="str">
        <f>IF(F85="","",F85&amp;" ("&amp;IF(AL85="","",AL85&amp;", ")&amp;IF(AM85="","",AM85&amp;", ")&amp;IF(AN85="","",AN85&amp;", ")&amp;IF(AO85="","",AO85&amp;", ")&amp;IF(AP85="","",AP85&amp;", ")&amp;IF(AQ85="","",AQ85&amp;", ")&amp;IF(AR85="","",AR85&amp;", "))</f>
        <v/>
      </c>
      <c r="BB85" s="3035" t="str">
        <f t="shared" si="8"/>
        <v/>
      </c>
      <c r="BC85" s="3023" t="str">
        <f t="shared" si="9"/>
        <v/>
      </c>
      <c r="BD85" s="3023"/>
      <c r="BE85" s="2822"/>
    </row>
    <row r="86" spans="1:57" x14ac:dyDescent="0.2">
      <c r="A86" s="3030"/>
      <c r="B86" s="3070">
        <f t="shared" si="7"/>
        <v>3</v>
      </c>
      <c r="C86" s="5106"/>
      <c r="D86" s="5090" t="s">
        <v>790</v>
      </c>
      <c r="E86" s="5091"/>
      <c r="F86" s="5112"/>
      <c r="G86" s="5113"/>
      <c r="H86" s="5113"/>
      <c r="I86" s="5113"/>
      <c r="J86" s="5114"/>
      <c r="K86" s="5115" t="s">
        <v>1729</v>
      </c>
      <c r="L86" s="5116"/>
      <c r="M86" s="5117"/>
      <c r="N86" s="3039">
        <f>SUMPRODUCT(INDEX('Tablas Técnicas'!$O$10:$X$639,,5),--(INDEX('Tablas Técnicas'!$O$10:$X$639,,1)=F86),--(ISNUMBER(MATCH(INDEX('Tablas Técnicas'!$O$10:$X$639,,2),$AL86:$AR86,0))))</f>
        <v>0</v>
      </c>
      <c r="O86" s="3039" t="str">
        <f>V86+X86+Z86+AB86+AD86+AF86&amp;" / "&amp;SUMPRODUCT(INDEX('Tablas Técnicas'!$O$10:$X$639,,IF(D86="Primario",3,4)),--(INDEX('Tablas Técnicas'!$O$10:$X$639,,1)=F86),--(ISNUMBER(MATCH(INDEX('Tablas Técnicas'!$O$10:$X$639,,2),$AL86:$AR86,0))))+IF(AND(K86&lt;&gt;"-",K86&lt;&gt;""),SUMPRODUCT(INDEX('Tablas Técnicas'!$O$10:$X$639,,IF(K86="Mantenido",6,IF(K86="Sostenimiento menor",7,IF(K86="Sostenimiento mayor",8,0)))),--(INDEX('Tablas Técnicas'!$O$10:$X$639,,1)=F86),--(ISNUMBER(MATCH(INDEX('Tablas Técnicas'!$O$10:$X$639,,2),$AL86:$AR86,0)))),0)+AT86</f>
        <v>0 / 0</v>
      </c>
      <c r="P86" s="3039" t="str">
        <f>W86+Y86+AA86+AC86+AE86+AG86&amp;" / "&amp;IF(K86="Mantenido",SUMPRODUCT(INDEX('Tablas Técnicas'!$O$10:$X$639,,6),--(INDEX('Tablas Técnicas'!$O$10:$X$639,,1)=F86),--(ISNUMBER(MATCH(INDEX('Tablas Técnicas'!$O$10:$X$639,,2),$AL86:$AR86,0)))),0)</f>
        <v>0 / 0</v>
      </c>
      <c r="Q86" s="5092" t="str">
        <f>IFERROR(VLOOKUP(F86,'Tablas Técnicas'!$C$9:$H$81,5,FALSE),"")</f>
        <v/>
      </c>
      <c r="R86" s="5092"/>
      <c r="S86" s="5092"/>
      <c r="T86" s="5092"/>
      <c r="U86" s="5092"/>
      <c r="V86" s="3034"/>
      <c r="W86" s="2831"/>
      <c r="X86" s="3034"/>
      <c r="Y86" s="3033"/>
      <c r="Z86" s="3028"/>
      <c r="AA86" s="2831"/>
      <c r="AB86" s="3034"/>
      <c r="AC86" s="3033"/>
      <c r="AD86" s="3028"/>
      <c r="AE86" s="2831"/>
      <c r="AF86" s="3034"/>
      <c r="AG86" s="2832"/>
      <c r="AH86" s="2821"/>
      <c r="AI86" s="3030"/>
      <c r="AJ86" s="2816">
        <v>4</v>
      </c>
      <c r="AK86" s="2816">
        <f>P79</f>
        <v>1</v>
      </c>
      <c r="AL86" s="2816" t="str">
        <f>IF(INDEX($A$1:$AI$343,ROW($D$29)+($B86-1)*(ROW($D$63)-ROW($D$29))+Tablas!A$1-1,COLUMN($D$29)+($AJ86-1)*(COLUMN($J$29)-COLUMN($D$29)))="","",INDEX($A$1:$AI$343,ROW($D$29)+($B86-1)*(ROW($D$63)-ROW($D$29))+Tablas!A$1-1,COLUMN($D$29)+($AJ86-1)*(COLUMN($J$29)-COLUMN($D$29))))</f>
        <v/>
      </c>
      <c r="AM86" s="2816" t="str">
        <f>IF(INDEX($A$1:$AI$343,ROW($D$29)+($B86-1)*(ROW($D$63)-ROW($D$29))+Tablas!B$1-1,COLUMN($D$29)+($AJ86-1)*(COLUMN($J$29)-COLUMN($D$29)))="","",INDEX($A$1:$AI$343,ROW($D$29)+($B86-1)*(ROW($D$63)-ROW($D$29))+Tablas!B$1-1,COLUMN($D$29)+($AJ86-1)*(COLUMN($J$29)-COLUMN($D$29))))</f>
        <v/>
      </c>
      <c r="AN86" s="2816" t="str">
        <f>IF(INDEX($A$1:$AI$343,ROW($D$29)+($B86-1)*(ROW($D$63)-ROW($D$29))+Tablas!C$1-1,COLUMN($D$29)+($AJ86-1)*(COLUMN($J$29)-COLUMN($D$29)))="","",INDEX($A$1:$AI$343,ROW($D$29)+($B86-1)*(ROW($D$63)-ROW($D$29))+Tablas!C$1-1,COLUMN($D$29)+($AJ86-1)*(COLUMN($J$29)-COLUMN($D$29))))</f>
        <v/>
      </c>
      <c r="AO86" s="2816" t="str">
        <f>IF(INDEX($A$1:$AI$343,ROW($D$29)+($B86-1)*(ROW($D$63)-ROW($D$29))+Tablas!D$1-1,COLUMN($D$29)+($AJ86-1)*(COLUMN($J$29)-COLUMN($D$29)))="","",INDEX($A$1:$AI$343,ROW($D$29)+($B86-1)*(ROW($D$63)-ROW($D$29))+Tablas!D$1-1,COLUMN($D$29)+($AJ86-1)*(COLUMN($J$29)-COLUMN($D$29))))</f>
        <v/>
      </c>
      <c r="AP86" s="2816" t="str">
        <f>IF(INDEX($A$1:$AI$343,ROW($D$29)+($B86-1)*(ROW($D$63)-ROW($D$29))+Tablas!E$1-1,COLUMN($D$29)+($AJ86-1)*(COLUMN($J$29)-COLUMN($D$29)))="","",INDEX($A$1:$AI$343,ROW($D$29)+($B86-1)*(ROW($D$63)-ROW($D$29))+Tablas!E$1-1,COLUMN($D$29)+($AJ86-1)*(COLUMN($J$29)-COLUMN($D$29))))</f>
        <v/>
      </c>
      <c r="AQ86" s="2816" t="str">
        <f>IF(INDEX($A$1:$AI$343,ROW($D$29)+($B86-1)*(ROW($D$63)-ROW($D$29))+Tablas!F$1-1,COLUMN($D$29)+($AJ86-1)*(COLUMN($J$29)-COLUMN($D$29)))="","",INDEX($A$1:$AI$343,ROW($D$29)+($B86-1)*(ROW($D$63)-ROW($D$29))+Tablas!F$1-1,COLUMN($D$29)+($AJ86-1)*(COLUMN($J$29)-COLUMN($D$29))))</f>
        <v/>
      </c>
      <c r="AR86" s="2816" t="str">
        <f>IF(INDEX($A$1:$AI$343,ROW($D$29)+($B86-1)*(ROW($D$63)-ROW($D$29))+Tablas!G$1-1,COLUMN($D$29)+($AJ86-1)*(COLUMN($J$29)-COLUMN($D$29)))="","",INDEX($A$1:$AI$343,ROW($D$29)+($B86-1)*(ROW($D$63)-ROW($D$29))+Tablas!G$1-1,COLUMN($D$29)+($AJ86-1)*(COLUMN($J$29)-COLUMN($D$29))))</f>
        <v/>
      </c>
      <c r="AS86" s="2816"/>
      <c r="AT86" s="3035">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2816" t="str">
        <f>IFERROR(VLOOKUP(F86,'Tablas Técnicas'!$C$9:$H$81,6,FALSE),"")</f>
        <v/>
      </c>
      <c r="AW86" s="3035" t="b">
        <f>OR(AV86="",OR(ISNUMBER(SEARCH($O88,AV86)),ISNUMBER(SEARCH($Q88,AV86)),ISNUMBER(SEARCH($O89,AV86)),ISNUMBER(SEARCH($Q89,AV86)),ISNUMBER(SEARCH($O90,AV86)),ISNUMBER(SEARCH($Q90,AV86)),))</f>
        <v>1</v>
      </c>
      <c r="AX86" s="3035" t="b">
        <f>AND(P79&gt;1,OR(MAX(AA96:AA102)=1,MAX(AA96:AA102)=2))</f>
        <v>0</v>
      </c>
      <c r="AZ86" s="3035"/>
      <c r="BA86" s="2816" t="str">
        <f>IF(F86="","",F86&amp;" ("&amp;IF(AL86="","",AL86&amp;", ")&amp;IF(AM86="","",AM86&amp;", ")&amp;IF(AN86="","",AN86&amp;", ")&amp;IF(AO86="","",AO86&amp;", ")&amp;IF(AP86="","",AP86&amp;", ")&amp;IF(AQ86="","",AQ86&amp;", ")&amp;IF(AR86="","",AR86&amp;", "))</f>
        <v/>
      </c>
      <c r="BB86" s="3035" t="str">
        <f>IFERROR(LEFT(BA86,LEN(BA86)-2)&amp;"), ","")</f>
        <v/>
      </c>
      <c r="BC86" s="3023" t="str">
        <f>IFERROR(LEFT(BB86,LEN(BB86)-2)&amp;"), ","")</f>
        <v/>
      </c>
      <c r="BD86" s="3023"/>
      <c r="BE86" s="2822"/>
    </row>
    <row r="87" spans="1:57" x14ac:dyDescent="0.2">
      <c r="A87" s="3030"/>
      <c r="B87" s="3070">
        <f t="shared" si="7"/>
        <v>3</v>
      </c>
      <c r="C87" s="5106"/>
      <c r="D87" s="5093" t="s">
        <v>790</v>
      </c>
      <c r="E87" s="5094"/>
      <c r="F87" s="5084"/>
      <c r="G87" s="5085"/>
      <c r="H87" s="5085"/>
      <c r="I87" s="5085"/>
      <c r="J87" s="5086"/>
      <c r="K87" s="5087" t="s">
        <v>1729</v>
      </c>
      <c r="L87" s="5088"/>
      <c r="M87" s="5089"/>
      <c r="N87" s="3032">
        <f>SUMPRODUCT(INDEX('Tablas Técnicas'!$O$10:$X$639,,5),--(INDEX('Tablas Técnicas'!$O$10:$X$639,,1)=F87),--(ISNUMBER(MATCH(INDEX('Tablas Técnicas'!$O$10:$X$639,,2),$AL87:$AR87,0))))</f>
        <v>0</v>
      </c>
      <c r="O87" s="3032" t="str">
        <f>V87+X87+Z87+AB87+AD87+AF87&amp;" / "&amp;SUMPRODUCT(INDEX('Tablas Técnicas'!$O$10:$X$639,,IF(D87="Primario",3,4)),--(INDEX('Tablas Técnicas'!$O$10:$X$639,,1)=F87),--(ISNUMBER(MATCH(INDEX('Tablas Técnicas'!$O$10:$X$639,,2),$AL87:$AR87,0))))+IF(AND(K87&lt;&gt;"-",K87&lt;&gt;""),SUMPRODUCT(INDEX('Tablas Técnicas'!$O$10:$X$639,,IF(K87="Mantenido",6,IF(K87="Sostenimiento menor",7,IF(K87="Sostenimiento mayor",8,0)))),--(INDEX('Tablas Técnicas'!$O$10:$X$639,,1)=F87),--(ISNUMBER(MATCH(INDEX('Tablas Técnicas'!$O$10:$X$639,,2),$AL87:$AR87,0)))),0)+AT87</f>
        <v>0 / 0</v>
      </c>
      <c r="P87" s="3032" t="str">
        <f>W87+Y87+AA87+AC87+AE87+AG87&amp;" / "&amp;IF(K87="Mantenido",SUMPRODUCT(INDEX('Tablas Técnicas'!$O$10:$X$639,,6),--(INDEX('Tablas Técnicas'!$O$10:$X$639,,1)=F87),--(ISNUMBER(MATCH(INDEX('Tablas Técnicas'!$O$10:$X$639,,2),$AL87:$AR87,0)))),0)</f>
        <v>0 / 0</v>
      </c>
      <c r="Q87" s="5095" t="str">
        <f>IFERROR(VLOOKUP(F87,'Tablas Técnicas'!$C$9:$H$81,5,FALSE),"")</f>
        <v/>
      </c>
      <c r="R87" s="5095"/>
      <c r="S87" s="5095"/>
      <c r="T87" s="5095"/>
      <c r="U87" s="5095"/>
      <c r="V87" s="2836"/>
      <c r="W87" s="2837"/>
      <c r="X87" s="2836"/>
      <c r="Y87" s="2838"/>
      <c r="Z87" s="2839"/>
      <c r="AA87" s="2837"/>
      <c r="AB87" s="2836"/>
      <c r="AC87" s="2838"/>
      <c r="AD87" s="2839"/>
      <c r="AE87" s="2837"/>
      <c r="AF87" s="2836"/>
      <c r="AG87" s="2840"/>
      <c r="AH87" s="2821"/>
      <c r="AI87" s="3030"/>
      <c r="AJ87" s="2816">
        <v>5</v>
      </c>
      <c r="AK87" s="2816">
        <f>P79</f>
        <v>1</v>
      </c>
      <c r="AL87" s="2816" t="str">
        <f>IF(INDEX($A$1:$AI$343,ROW($D$29)+($B87-1)*(ROW($D$63)-ROW($D$29))+Tablas!A$1-1,COLUMN($D$29)+($AJ87-1)*(COLUMN($J$29)-COLUMN($D$29)))="","",INDEX($A$1:$AI$343,ROW($D$29)+($B87-1)*(ROW($D$63)-ROW($D$29))+Tablas!A$1-1,COLUMN($D$29)+($AJ87-1)*(COLUMN($J$29)-COLUMN($D$29))))</f>
        <v/>
      </c>
      <c r="AM87" s="2816" t="str">
        <f>IF(INDEX($A$1:$AI$343,ROW($D$29)+($B87-1)*(ROW($D$63)-ROW($D$29))+Tablas!B$1-1,COLUMN($D$29)+($AJ87-1)*(COLUMN($J$29)-COLUMN($D$29)))="","",INDEX($A$1:$AI$343,ROW($D$29)+($B87-1)*(ROW($D$63)-ROW($D$29))+Tablas!B$1-1,COLUMN($D$29)+($AJ87-1)*(COLUMN($J$29)-COLUMN($D$29))))</f>
        <v/>
      </c>
      <c r="AN87" s="2816" t="str">
        <f>IF(INDEX($A$1:$AI$343,ROW($D$29)+($B87-1)*(ROW($D$63)-ROW($D$29))+Tablas!C$1-1,COLUMN($D$29)+($AJ87-1)*(COLUMN($J$29)-COLUMN($D$29)))="","",INDEX($A$1:$AI$343,ROW($D$29)+($B87-1)*(ROW($D$63)-ROW($D$29))+Tablas!C$1-1,COLUMN($D$29)+($AJ87-1)*(COLUMN($J$29)-COLUMN($D$29))))</f>
        <v/>
      </c>
      <c r="AO87" s="2816" t="str">
        <f>IF(INDEX($A$1:$AI$343,ROW($D$29)+($B87-1)*(ROW($D$63)-ROW($D$29))+Tablas!D$1-1,COLUMN($D$29)+($AJ87-1)*(COLUMN($J$29)-COLUMN($D$29)))="","",INDEX($A$1:$AI$343,ROW($D$29)+($B87-1)*(ROW($D$63)-ROW($D$29))+Tablas!D$1-1,COLUMN($D$29)+($AJ87-1)*(COLUMN($J$29)-COLUMN($D$29))))</f>
        <v/>
      </c>
      <c r="AP87" s="2816" t="str">
        <f>IF(INDEX($A$1:$AI$343,ROW($D$29)+($B87-1)*(ROW($D$63)-ROW($D$29))+Tablas!E$1-1,COLUMN($D$29)+($AJ87-1)*(COLUMN($J$29)-COLUMN($D$29)))="","",INDEX($A$1:$AI$343,ROW($D$29)+($B87-1)*(ROW($D$63)-ROW($D$29))+Tablas!E$1-1,COLUMN($D$29)+($AJ87-1)*(COLUMN($J$29)-COLUMN($D$29))))</f>
        <v/>
      </c>
      <c r="AQ87" s="2816" t="str">
        <f>IF(INDEX($A$1:$AI$343,ROW($D$29)+($B87-1)*(ROW($D$63)-ROW($D$29))+Tablas!F$1-1,COLUMN($D$29)+($AJ87-1)*(COLUMN($J$29)-COLUMN($D$29)))="","",INDEX($A$1:$AI$343,ROW($D$29)+($B87-1)*(ROW($D$63)-ROW($D$29))+Tablas!F$1-1,COLUMN($D$29)+($AJ87-1)*(COLUMN($J$29)-COLUMN($D$29))))</f>
        <v/>
      </c>
      <c r="AR87" s="2816" t="str">
        <f>IF(INDEX($A$1:$AI$343,ROW($D$29)+($B87-1)*(ROW($D$63)-ROW($D$29))+Tablas!G$1-1,COLUMN($D$29)+($AJ87-1)*(COLUMN($J$29)-COLUMN($D$29)))="","",INDEX($A$1:$AI$343,ROW($D$29)+($B87-1)*(ROW($D$63)-ROW($D$29))+Tablas!G$1-1,COLUMN($D$29)+($AJ87-1)*(COLUMN($J$29)-COLUMN($D$29))))</f>
        <v/>
      </c>
      <c r="AS87" s="2816"/>
      <c r="AT87" s="3035">
        <f>IF(AND(ISNUMBER(FIND(V$14&amp;"+",$Q87)),V87&gt;0),MID($Q87,FIND(V$14&amp;"+",$Q87)+4,1),0)+IF(AND(ISNUMBER(FIND(X$14&amp;"+",$Q87)),X87&gt;0),MID($Q87,FIND(X$14&amp;"+",$Q87)+4,1),0)+IF(AND(ISNUMBER(FIND(Z$14&amp;"+",$Q87)),Z87&gt;0),MID($Q87,FIND(Z$14&amp;"+",$Q87)+4,1),0)+IF(AND(ISNUMBER(FIND(AB$14&amp;"+",$Q87)),AB87&gt;0),MID($Q87,FIND(AB$14&amp;"+",$Q87)+4,1),0)+IF(AND(ISNUMBER(FIND(AD$14&amp;"+",$Q87)),AD87&gt;0),MID($Q87,FIND(AD$14&amp;"+",$Q87)+4,1),0)+IF(AND(ISNUMBER(FIND(AF$14&amp;"+",$Q87)),AF87&gt;0),MID($Q87,FIND(AF$14&amp;"+",$Q87)+4,1),0)</f>
        <v>0</v>
      </c>
      <c r="AV87" s="2816" t="str">
        <f>IFERROR(VLOOKUP(F87,'Tablas Técnicas'!$C$9:$H$81,6,FALSE),"")</f>
        <v/>
      </c>
      <c r="AW87" s="3035" t="b">
        <f>OR(AV87="",OR(ISNUMBER(SEARCH($O88,AV87)),ISNUMBER(SEARCH($Q88,AV87)),ISNUMBER(SEARCH($O89,AV87)),ISNUMBER(SEARCH($Q89,AV87)),ISNUMBER(SEARCH($O90,AV87)),ISNUMBER(SEARCH($Q90,AV87)),))</f>
        <v>1</v>
      </c>
      <c r="AX87" s="3035" t="b">
        <f>AND(P79&gt;1,OR(MAX(AG96:AG102)=1,MAX(AG96:AG102)=2))</f>
        <v>0</v>
      </c>
      <c r="AZ87" s="3035"/>
      <c r="BA87" s="2816" t="str">
        <f>IF(F87="","",F87&amp;" ("&amp;IF(AL87="","",AL87&amp;", ")&amp;IF(AM87="","",AM87&amp;", ")&amp;IF(AN87="","",AN87&amp;", ")&amp;IF(AO87="","",AO87&amp;", ")&amp;IF(AP87="","",AP87&amp;", ")&amp;IF(AQ87="","",AQ87&amp;", ")&amp;IF(AR87="","",AR87&amp;", "))</f>
        <v/>
      </c>
      <c r="BB87" s="3035" t="str">
        <f t="shared" ref="BB87" si="10">IFERROR(LEFT(BA87,LEN(BA87)-2)&amp;"), ","")</f>
        <v/>
      </c>
      <c r="BC87" s="3023" t="str">
        <f t="shared" ref="BC87" si="11">IFERROR(LEFT(BB87,LEN(BB87)-2)&amp;"), ","")</f>
        <v/>
      </c>
      <c r="BD87" s="3023"/>
      <c r="BE87" s="2822"/>
    </row>
    <row r="88" spans="1:57" x14ac:dyDescent="0.2">
      <c r="A88" s="3030"/>
      <c r="B88" s="3070">
        <f t="shared" si="7"/>
        <v>3</v>
      </c>
      <c r="C88" s="5106"/>
      <c r="D88" s="5096" t="s">
        <v>3218</v>
      </c>
      <c r="E88" s="5097"/>
      <c r="F88" s="5102"/>
      <c r="G88" s="5103"/>
      <c r="H88" s="5103"/>
      <c r="I88" s="5103"/>
      <c r="J88" s="5104"/>
      <c r="K88" s="5128"/>
      <c r="L88" s="5176"/>
      <c r="M88" s="5177"/>
      <c r="N88" s="2841" t="str">
        <f>IF(F88="","",SUMPRODUCT(--(INDEX('Tablas Técnicas'!$C$114:$F$200,,1)=F88),--(INDEX('Tablas Técnicas'!$C$114:$F$200,,2)=K88),INDEX('Tablas Técnicas'!$C$114:$F$200,,3)))</f>
        <v/>
      </c>
      <c r="O88" s="5178"/>
      <c r="P88" s="5179"/>
      <c r="Q88" s="5180"/>
      <c r="R88" s="5179"/>
      <c r="S88" s="3036" t="str">
        <f>IF(K88="","","Nivel: "&amp;MAX(1,SUMPRODUCT(--(INDEX('Tablas Técnicas'!$C$114:$F$200,,1)=F88),--(INDEX('Tablas Técnicas'!$C$114:$F$200,,2)=K88),INDEX('Tablas Técnicas'!$C$114:$F$200,,4))))</f>
        <v/>
      </c>
      <c r="T88" s="2842"/>
      <c r="U88" s="2843" t="str">
        <f>IFERROR("("&amp;VLOOKUP(F88,'Tablas Técnicas'!$C$86:$E$108,3,FALSE)&amp;")","")</f>
        <v/>
      </c>
      <c r="V88" s="5195" t="s">
        <v>10245</v>
      </c>
      <c r="W88" s="5196"/>
      <c r="X88" s="5196"/>
      <c r="Y88" s="5196"/>
      <c r="Z88" s="5196"/>
      <c r="AA88" s="5196"/>
      <c r="AB88" s="5196"/>
      <c r="AC88" s="5196"/>
      <c r="AD88" s="5196"/>
      <c r="AE88" s="5196"/>
      <c r="AF88" s="5196"/>
      <c r="AG88" s="5197"/>
      <c r="AH88" s="2821"/>
      <c r="AI88" s="3030"/>
      <c r="AJ88" s="2816">
        <v>1</v>
      </c>
      <c r="AK88" s="2816">
        <f>P79</f>
        <v>1</v>
      </c>
      <c r="AL88" s="2816" t="e">
        <f>VLOOKUP(F88,'Tablas Técnicas'!$C$86:$E$108,2,FALSE)</f>
        <v>#N/A</v>
      </c>
      <c r="AN88" s="2817"/>
      <c r="AR88" s="2816"/>
      <c r="AS88" s="2816"/>
      <c r="AT88" s="2816"/>
      <c r="AU88" s="2816"/>
      <c r="AV88" s="3035"/>
      <c r="AW88" s="3035" t="b">
        <f>F88="Atadura Elemental"</f>
        <v>0</v>
      </c>
      <c r="AX88" s="3035"/>
      <c r="AZ88" s="3035"/>
      <c r="BA88" s="3035"/>
      <c r="BB88" s="2816" t="str">
        <f>IF(F88="","",F88&amp;IF(K88="",""," ("&amp;IF(F88="Atadura Elemental",O88&amp;IF(Q88="","",", "&amp;Q88),K88)&amp;")")&amp;", ")</f>
        <v/>
      </c>
      <c r="BC88" s="2816" t="str">
        <f>IF(F88="","",F88&amp;IF(K88="",""," ("&amp;IF(F88="Atadura Elemental",O88&amp;IF(Q88="","",", "&amp;Q88),K88)&amp;")")&amp;", ")</f>
        <v/>
      </c>
      <c r="BD88" s="3023"/>
      <c r="BE88" s="2822"/>
    </row>
    <row r="89" spans="1:57" ht="12" customHeight="1" x14ac:dyDescent="0.2">
      <c r="A89" s="3030"/>
      <c r="B89" s="3070">
        <f t="shared" si="7"/>
        <v>3</v>
      </c>
      <c r="C89" s="5106"/>
      <c r="D89" s="5098"/>
      <c r="E89" s="5099"/>
      <c r="F89" s="5171"/>
      <c r="G89" s="5172"/>
      <c r="H89" s="5172"/>
      <c r="I89" s="5172"/>
      <c r="J89" s="5173"/>
      <c r="K89" s="5114"/>
      <c r="L89" s="5156"/>
      <c r="M89" s="5157"/>
      <c r="N89" s="2844" t="str">
        <f>IF(F89="","",SUMPRODUCT(--(INDEX('Tablas Técnicas'!$C$114:$F$200,,1)=F89),--(INDEX('Tablas Técnicas'!$C$114:$F$200,,2)=K89),INDEX('Tablas Técnicas'!$C$114:$F$200,,3)))</f>
        <v/>
      </c>
      <c r="O89" s="5158"/>
      <c r="P89" s="5159"/>
      <c r="Q89" s="5160"/>
      <c r="R89" s="5159"/>
      <c r="S89" s="3039" t="str">
        <f>IF(K89="","","Nivel: "&amp;MAX(1,SUMPRODUCT(--(INDEX('Tablas Técnicas'!$C$114:$F$200,,1)=F89),--(INDEX('Tablas Técnicas'!$C$114:$F$200,,2)=K89),INDEX('Tablas Técnicas'!$C$114:$F$200,,4))))</f>
        <v/>
      </c>
      <c r="T89" s="3015"/>
      <c r="U89" s="3016" t="str">
        <f>IFERROR("("&amp;VLOOKUP(F89,'Tablas Técnicas'!$C$86:$E$108,3,FALSE)&amp;")","")</f>
        <v/>
      </c>
      <c r="V89" s="5198" t="s">
        <v>9659</v>
      </c>
      <c r="W89" s="5199"/>
      <c r="X89" s="5200"/>
      <c r="Y89" s="3025">
        <v>0</v>
      </c>
      <c r="Z89" s="5201" t="s">
        <v>9660</v>
      </c>
      <c r="AA89" s="5202"/>
      <c r="AB89" s="5203"/>
      <c r="AC89" s="3025">
        <v>0</v>
      </c>
      <c r="AD89" s="5204" t="str">
        <f>"Ki repartido / total: "&amp;AL100&amp;IF(AM99=0,""," ("&amp;AM99&amp;")")&amp;" / "&amp;AL99&amp;IF(AM100=0,""," ("&amp;AM100&amp;")")</f>
        <v>Ki repartido / total: 0 / 0</v>
      </c>
      <c r="AE89" s="5205"/>
      <c r="AF89" s="5205"/>
      <c r="AG89" s="5206"/>
      <c r="AH89" s="2821"/>
      <c r="AI89" s="3030"/>
      <c r="AJ89" s="2816">
        <v>2</v>
      </c>
      <c r="AK89" s="2816">
        <f>P79</f>
        <v>1</v>
      </c>
      <c r="AL89" s="2816" t="e">
        <f>VLOOKUP(F89,'Tablas Técnicas'!$C$86:$E$108,2,FALSE)</f>
        <v>#N/A</v>
      </c>
      <c r="AN89" s="2817"/>
      <c r="AR89" s="2816"/>
      <c r="AS89" s="2816"/>
      <c r="AT89" s="2816"/>
      <c r="AU89" s="2816"/>
      <c r="AV89" s="3035"/>
      <c r="AW89" s="3035" t="b">
        <f>F89="Atadura Elemental"</f>
        <v>0</v>
      </c>
      <c r="AX89" s="3035"/>
      <c r="AZ89" s="3035"/>
      <c r="BA89" s="3035"/>
      <c r="BB89" s="2816" t="str">
        <f>IF(F89="","",F89&amp;IF(K89="",""," ("&amp;IF(F89="Atadura Elemental",O89&amp;IF(Q89="","",", "&amp;Q89),K89)&amp;")")&amp;", ")</f>
        <v/>
      </c>
      <c r="BC89" s="2816" t="str">
        <f>IF(F89="","",F89&amp;IF(K89="",""," ("&amp;IF(F89="Atadura Elemental",O89&amp;IF(Q89="","",", "&amp;Q89),K89)&amp;")")&amp;", ")</f>
        <v/>
      </c>
      <c r="BD89" s="3023"/>
      <c r="BE89" s="2822"/>
    </row>
    <row r="90" spans="1:57" x14ac:dyDescent="0.2">
      <c r="A90" s="3030"/>
      <c r="B90" s="3070">
        <f t="shared" si="7"/>
        <v>3</v>
      </c>
      <c r="C90" s="5106"/>
      <c r="D90" s="5100"/>
      <c r="E90" s="5101"/>
      <c r="F90" s="5168"/>
      <c r="G90" s="5169"/>
      <c r="H90" s="5169"/>
      <c r="I90" s="5169"/>
      <c r="J90" s="5170"/>
      <c r="K90" s="5148"/>
      <c r="L90" s="5149"/>
      <c r="M90" s="5150"/>
      <c r="N90" s="2845" t="str">
        <f>IF(F90="","",SUMPRODUCT(--(INDEX('Tablas Técnicas'!$C$114:$F$200,,1)=F90),--(INDEX('Tablas Técnicas'!$C$114:$F$200,,2)=K90),INDEX('Tablas Técnicas'!$C$114:$F$200,,3)))</f>
        <v/>
      </c>
      <c r="O90" s="5151"/>
      <c r="P90" s="5152"/>
      <c r="Q90" s="5153"/>
      <c r="R90" s="5152"/>
      <c r="S90" s="3032" t="str">
        <f>IF(K90="","","Nivel: "&amp;MAX(1,SUMPRODUCT(--(INDEX('Tablas Técnicas'!$C$114:$F$200,,1)=F90),--(INDEX('Tablas Técnicas'!$C$114:$F$200,,2)=K90),INDEX('Tablas Técnicas'!$C$114:$F$200,,4))))</f>
        <v/>
      </c>
      <c r="T90" s="2846"/>
      <c r="U90" s="3017" t="str">
        <f>IFERROR("("&amp;VLOOKUP(F90,'Tablas Técnicas'!$C$86:$E$108,3,FALSE)&amp;")","")</f>
        <v/>
      </c>
      <c r="V90" s="5154"/>
      <c r="W90" s="5154"/>
      <c r="X90" s="5154"/>
      <c r="Y90" s="5154"/>
      <c r="Z90" s="5154"/>
      <c r="AA90" s="5154"/>
      <c r="AB90" s="5154"/>
      <c r="AC90" s="5154"/>
      <c r="AD90" s="5154"/>
      <c r="AE90" s="5154"/>
      <c r="AF90" s="5154"/>
      <c r="AG90" s="5155"/>
      <c r="AH90" s="2821"/>
      <c r="AI90" s="3030"/>
      <c r="AJ90" s="2816">
        <v>3</v>
      </c>
      <c r="AK90" s="2816">
        <f>P79</f>
        <v>1</v>
      </c>
      <c r="AL90" s="2816" t="e">
        <f>VLOOKUP(F90,'Tablas Técnicas'!$C$86:$E$108,2,FALSE)</f>
        <v>#N/A</v>
      </c>
      <c r="AN90" s="2817"/>
      <c r="AR90" s="3035"/>
      <c r="AT90" s="3035"/>
      <c r="AV90" s="3035"/>
      <c r="AW90" s="3035" t="b">
        <f>F90="Atadura Elemental"</f>
        <v>0</v>
      </c>
      <c r="AX90" s="3035"/>
      <c r="AZ90" s="3035"/>
      <c r="BA90" s="3035"/>
      <c r="BB90" s="2816" t="str">
        <f>IF(F90="","",F90&amp;IF(K90="",""," ("&amp;IF(F90="Atadura Elemental",O90&amp;IF(Q90="","",", "&amp;Q90),K90)&amp;")")&amp;", ")</f>
        <v/>
      </c>
      <c r="BC90" s="2816" t="str">
        <f>IF(F90="","",F90&amp;IF(K90="",""," ("&amp;IF(F90="Atadura Elemental",O90&amp;IF(Q90="","",", "&amp;Q90),K90)&amp;")")&amp;", ")</f>
        <v/>
      </c>
      <c r="BD90" s="3023"/>
      <c r="BE90" s="2822"/>
    </row>
    <row r="91" spans="1:57" x14ac:dyDescent="0.2">
      <c r="A91" s="3030"/>
      <c r="B91" s="3070">
        <f t="shared" si="7"/>
        <v>3</v>
      </c>
      <c r="C91" s="5106"/>
      <c r="D91" s="5069" t="s">
        <v>10241</v>
      </c>
      <c r="E91" s="5070"/>
      <c r="F91" s="5070"/>
      <c r="G91" s="5070"/>
      <c r="H91" s="5070"/>
      <c r="I91" s="5070"/>
      <c r="J91" s="5070"/>
      <c r="K91" s="5070"/>
      <c r="L91" s="5070"/>
      <c r="M91" s="5070"/>
      <c r="N91" s="5070"/>
      <c r="O91" s="5070"/>
      <c r="P91" s="5070"/>
      <c r="Q91" s="5070"/>
      <c r="R91" s="5070"/>
      <c r="S91" s="5070"/>
      <c r="T91" s="5070"/>
      <c r="U91" s="5070"/>
      <c r="V91" s="5070"/>
      <c r="W91" s="5070"/>
      <c r="X91" s="5070"/>
      <c r="Y91" s="5070"/>
      <c r="Z91" s="5070"/>
      <c r="AA91" s="5070"/>
      <c r="AB91" s="5070"/>
      <c r="AC91" s="5070"/>
      <c r="AD91" s="5070"/>
      <c r="AE91" s="5070"/>
      <c r="AF91" s="5070"/>
      <c r="AG91" s="5071"/>
      <c r="AH91" s="2821"/>
      <c r="AI91" s="3030"/>
      <c r="AN91" s="2817" t="s">
        <v>9661</v>
      </c>
      <c r="AO91" s="2816" t="e">
        <f>LEFT(BB83&amp;BB84&amp;BB85&amp;BB86&amp;BB87,LEN(BB83&amp;BB84&amp;BB85&amp;BB86&amp;BB87)-2)</f>
        <v>#VALUE!</v>
      </c>
      <c r="AR91" s="3035"/>
      <c r="AT91" s="2817"/>
      <c r="AU91" s="2817"/>
      <c r="AV91" s="3035"/>
      <c r="AW91" s="3035"/>
      <c r="AX91" s="3035"/>
      <c r="AZ91" s="3035"/>
      <c r="BA91" s="3035"/>
      <c r="BB91" s="3035"/>
      <c r="BC91" s="3023"/>
      <c r="BD91" s="3023"/>
      <c r="BE91" s="2822"/>
    </row>
    <row r="92" spans="1:57" x14ac:dyDescent="0.2">
      <c r="A92" s="3030"/>
      <c r="B92" s="3070">
        <f t="shared" si="7"/>
        <v>3</v>
      </c>
      <c r="C92" s="5106"/>
      <c r="D92" s="5066" t="str">
        <f>IF(F83="","",F83)</f>
        <v/>
      </c>
      <c r="E92" s="5067"/>
      <c r="F92" s="5067"/>
      <c r="G92" s="5067"/>
      <c r="H92" s="5067"/>
      <c r="I92" s="5068"/>
      <c r="J92" s="5066" t="str">
        <f>IF(F84="","",F84)</f>
        <v/>
      </c>
      <c r="K92" s="5067"/>
      <c r="L92" s="5067"/>
      <c r="M92" s="5067"/>
      <c r="N92" s="5067"/>
      <c r="O92" s="5068"/>
      <c r="P92" s="5067" t="str">
        <f>IF(F85="","",F85)</f>
        <v/>
      </c>
      <c r="Q92" s="5067"/>
      <c r="R92" s="5067"/>
      <c r="S92" s="5067"/>
      <c r="T92" s="5067"/>
      <c r="U92" s="5068"/>
      <c r="V92" s="5066" t="str">
        <f>IF(F86="","",F86)</f>
        <v/>
      </c>
      <c r="W92" s="5067"/>
      <c r="X92" s="5067"/>
      <c r="Y92" s="5067"/>
      <c r="Z92" s="5067"/>
      <c r="AA92" s="5068"/>
      <c r="AB92" s="5067" t="str">
        <f>IF(F87="","",F87)</f>
        <v/>
      </c>
      <c r="AC92" s="5067"/>
      <c r="AD92" s="5067"/>
      <c r="AE92" s="5067"/>
      <c r="AF92" s="5067"/>
      <c r="AG92" s="5083"/>
      <c r="AH92" s="2821"/>
      <c r="AI92" s="3030"/>
      <c r="AN92" s="2817" t="s">
        <v>9662</v>
      </c>
      <c r="AO92" s="2816" t="e">
        <f>LEFT(BB88&amp;BB89&amp;BB90,LEN(BB88&amp;BB89&amp;BB90)-2)</f>
        <v>#VALUE!</v>
      </c>
      <c r="AR92" s="3035"/>
      <c r="AT92" s="2817"/>
      <c r="AU92" s="2817"/>
      <c r="AV92" s="3035"/>
      <c r="AW92" s="3035"/>
      <c r="AX92" s="3035"/>
      <c r="AZ92" s="3035"/>
      <c r="BA92" s="3035"/>
      <c r="BB92" s="3035"/>
      <c r="BC92" s="3023"/>
      <c r="BD92" s="3023"/>
      <c r="BE92" s="2822"/>
    </row>
    <row r="93" spans="1:57" x14ac:dyDescent="0.2">
      <c r="A93" s="3030"/>
      <c r="B93" s="3070">
        <f t="shared" si="7"/>
        <v>3</v>
      </c>
      <c r="C93" s="5106"/>
      <c r="D93" s="3046" t="s">
        <v>2121</v>
      </c>
      <c r="E93" s="3040" t="str">
        <f>IFERROR(VLOOKUP(D92,'Tablas Técnicas'!$C$9:$H$81,3,FALSE),"")</f>
        <v/>
      </c>
      <c r="F93" s="3019"/>
      <c r="G93" s="3018"/>
      <c r="H93" s="3018" t="s">
        <v>1636</v>
      </c>
      <c r="I93" s="3040" t="str">
        <f>IFERROR(VLOOKUP(D92,'Tablas Técnicas'!$C$9:$H$81,4,FALSE),"")</f>
        <v/>
      </c>
      <c r="J93" s="3046" t="s">
        <v>2121</v>
      </c>
      <c r="K93" s="3040" t="str">
        <f>IFERROR(VLOOKUP(J92,'Tablas Técnicas'!$C$9:$H$81,3,FALSE),"")</f>
        <v/>
      </c>
      <c r="L93" s="3019"/>
      <c r="M93" s="3018"/>
      <c r="N93" s="3018" t="s">
        <v>1636</v>
      </c>
      <c r="O93" s="2847" t="str">
        <f>IFERROR(VLOOKUP(J92,'Tablas Técnicas'!$C$9:$H$81,4,FALSE),"")</f>
        <v/>
      </c>
      <c r="P93" s="3018" t="s">
        <v>2121</v>
      </c>
      <c r="Q93" s="3040" t="str">
        <f>IFERROR(VLOOKUP(P92,'Tablas Técnicas'!$C$9:$H$81,3,FALSE),"")</f>
        <v/>
      </c>
      <c r="R93" s="3019"/>
      <c r="S93" s="3018"/>
      <c r="T93" s="3018" t="s">
        <v>1636</v>
      </c>
      <c r="U93" s="3040" t="str">
        <f>IFERROR(VLOOKUP(P92,'Tablas Técnicas'!$C$9:$H$81,4,FALSE),"")</f>
        <v/>
      </c>
      <c r="V93" s="3046" t="s">
        <v>2121</v>
      </c>
      <c r="W93" s="3040" t="str">
        <f>IFERROR(VLOOKUP(V92,'Tablas Técnicas'!$C$9:$H$81,3,FALSE),"")</f>
        <v/>
      </c>
      <c r="X93" s="3019"/>
      <c r="Y93" s="3018"/>
      <c r="Z93" s="3018" t="s">
        <v>1636</v>
      </c>
      <c r="AA93" s="2847" t="str">
        <f>IFERROR(VLOOKUP(V92,'Tablas Técnicas'!$C$9:$H$81,4,FALSE),"")</f>
        <v/>
      </c>
      <c r="AB93" s="3018" t="s">
        <v>2121</v>
      </c>
      <c r="AC93" s="3040" t="str">
        <f>IFERROR(VLOOKUP(AB92,'Tablas Técnicas'!$C$9:$H$81,3,FALSE),"")</f>
        <v/>
      </c>
      <c r="AD93" s="3019"/>
      <c r="AE93" s="3018"/>
      <c r="AF93" s="3018" t="s">
        <v>1636</v>
      </c>
      <c r="AG93" s="2848" t="str">
        <f>IFERROR(VLOOKUP(AB92,'Tablas Técnicas'!$C$9:$H$81,4,FALSE),"")</f>
        <v/>
      </c>
      <c r="AH93" s="2821"/>
      <c r="AI93" s="3030"/>
      <c r="AN93" s="2817"/>
      <c r="AR93" s="3035"/>
      <c r="AT93" s="3035"/>
      <c r="AV93" s="3035"/>
      <c r="AW93" s="3035"/>
      <c r="AX93" s="3035"/>
      <c r="AZ93" s="3035"/>
      <c r="BA93" s="3035"/>
      <c r="BB93" s="3035"/>
      <c r="BC93" s="3023"/>
      <c r="BD93" s="3023"/>
      <c r="BE93" s="2822"/>
    </row>
    <row r="94" spans="1:57" x14ac:dyDescent="0.2">
      <c r="A94" s="3030"/>
      <c r="B94" s="3070">
        <f t="shared" si="7"/>
        <v>3</v>
      </c>
      <c r="C94" s="5106"/>
      <c r="D94" s="3047" t="s">
        <v>9663</v>
      </c>
      <c r="E94" s="3018"/>
      <c r="F94" s="3019"/>
      <c r="G94" s="3020"/>
      <c r="H94" s="3020"/>
      <c r="I94" s="3017" t="str">
        <f>AV83</f>
        <v/>
      </c>
      <c r="J94" s="2849" t="s">
        <v>9663</v>
      </c>
      <c r="K94" s="2850"/>
      <c r="L94" s="2851"/>
      <c r="M94" s="2852"/>
      <c r="N94" s="2852"/>
      <c r="O94" s="2853" t="str">
        <f>IFERROR(VLOOKUP(J92,'Tablas Técnicas'!$C$9:$H$81,6,FALSE),"")</f>
        <v/>
      </c>
      <c r="P94" s="2854" t="s">
        <v>9663</v>
      </c>
      <c r="Q94" s="2850"/>
      <c r="R94" s="2851"/>
      <c r="S94" s="2852"/>
      <c r="T94" s="2852"/>
      <c r="U94" s="2855" t="str">
        <f>IFERROR(VLOOKUP(P92,'Tablas Técnicas'!$C$9:$H$81,6,FALSE),"")</f>
        <v/>
      </c>
      <c r="V94" s="2849" t="s">
        <v>9663</v>
      </c>
      <c r="W94" s="2850"/>
      <c r="X94" s="2851"/>
      <c r="Y94" s="2852"/>
      <c r="Z94" s="2852"/>
      <c r="AA94" s="2853" t="str">
        <f>IFERROR(VLOOKUP(V92,'Tablas Técnicas'!$C$9:$H$81,6,FALSE),"")</f>
        <v/>
      </c>
      <c r="AB94" s="2854" t="s">
        <v>9663</v>
      </c>
      <c r="AC94" s="2850"/>
      <c r="AD94" s="2851"/>
      <c r="AE94" s="2852"/>
      <c r="AF94" s="2852"/>
      <c r="AG94" s="2856" t="str">
        <f>IFERROR(VLOOKUP(AB92,'Tablas Técnicas'!$C$9:$H$81,6,FALSE),"")</f>
        <v/>
      </c>
      <c r="AH94" s="2821"/>
      <c r="AI94" s="3030"/>
      <c r="AJ94" s="2816" t="s">
        <v>9664</v>
      </c>
      <c r="AR94" s="3035"/>
      <c r="AT94" s="3035"/>
      <c r="AV94" s="3035"/>
      <c r="AW94" s="3035"/>
      <c r="AX94" s="3035"/>
      <c r="AZ94" s="3035"/>
      <c r="BA94" s="3035"/>
      <c r="BB94" s="2816"/>
      <c r="BC94" s="2816"/>
      <c r="BD94" s="2816"/>
      <c r="BE94" s="2822"/>
    </row>
    <row r="95" spans="1:57" x14ac:dyDescent="0.2">
      <c r="A95" s="3030"/>
      <c r="B95" s="3070">
        <f t="shared" si="7"/>
        <v>3</v>
      </c>
      <c r="C95" s="5106"/>
      <c r="D95" s="5066" t="s">
        <v>3226</v>
      </c>
      <c r="E95" s="5067"/>
      <c r="F95" s="5067"/>
      <c r="G95" s="5067"/>
      <c r="H95" s="5068"/>
      <c r="I95" s="2857" t="s">
        <v>1676</v>
      </c>
      <c r="J95" s="5066" t="s">
        <v>3226</v>
      </c>
      <c r="K95" s="5067"/>
      <c r="L95" s="5067"/>
      <c r="M95" s="5067"/>
      <c r="N95" s="5068"/>
      <c r="O95" s="2858" t="s">
        <v>1676</v>
      </c>
      <c r="P95" s="5066" t="s">
        <v>3226</v>
      </c>
      <c r="Q95" s="5067"/>
      <c r="R95" s="5067"/>
      <c r="S95" s="5067"/>
      <c r="T95" s="5068"/>
      <c r="U95" s="2858" t="s">
        <v>1676</v>
      </c>
      <c r="V95" s="5066" t="s">
        <v>3226</v>
      </c>
      <c r="W95" s="5067"/>
      <c r="X95" s="5067"/>
      <c r="Y95" s="5067"/>
      <c r="Z95" s="5068"/>
      <c r="AA95" s="2858" t="s">
        <v>1676</v>
      </c>
      <c r="AB95" s="5066" t="s">
        <v>3226</v>
      </c>
      <c r="AC95" s="5067"/>
      <c r="AD95" s="5067"/>
      <c r="AE95" s="5067"/>
      <c r="AF95" s="5068"/>
      <c r="AG95" s="2859" t="s">
        <v>1676</v>
      </c>
      <c r="AH95" s="2821"/>
      <c r="AI95" s="3030"/>
      <c r="AJ95" s="2816" t="s">
        <v>9665</v>
      </c>
      <c r="AQ95" s="2816"/>
      <c r="AR95" s="2816"/>
      <c r="AS95" s="2816"/>
      <c r="AT95" s="2816"/>
      <c r="AU95" s="2816"/>
      <c r="AV95" s="2816"/>
      <c r="AW95" s="2816"/>
      <c r="AX95" s="2816"/>
      <c r="AY95" s="2816"/>
      <c r="AZ95" s="3035"/>
      <c r="BA95" s="3035"/>
      <c r="BB95" s="3035"/>
      <c r="BC95" s="3023"/>
      <c r="BD95" s="3023"/>
      <c r="BE95" s="2822"/>
    </row>
    <row r="96" spans="1:57" x14ac:dyDescent="0.2">
      <c r="A96" s="3030"/>
      <c r="B96" s="3070">
        <f t="shared" si="7"/>
        <v>3</v>
      </c>
      <c r="C96" s="5106"/>
      <c r="D96" s="5081"/>
      <c r="E96" s="5082"/>
      <c r="F96" s="5082"/>
      <c r="G96" s="5082"/>
      <c r="H96" s="5082"/>
      <c r="I96" s="2860" t="str">
        <f>IF(OR(D92="",D96=""),"",MAX(1,SUMPRODUCT(--(INDEX('Tablas Técnicas'!$O$10:$X$639,,1)=D92),--(INDEX('Tablas Técnicas'!$O$10:$X$639,,2)=D96),INDEX('Tablas Técnicas'!$O$10:$X$639,,9))))</f>
        <v/>
      </c>
      <c r="J96" s="5082"/>
      <c r="K96" s="5082"/>
      <c r="L96" s="5082"/>
      <c r="M96" s="5082"/>
      <c r="N96" s="5082"/>
      <c r="O96" s="2860" t="str">
        <f>IF(OR(J92="",J96=""),"",MAX(1,SUMPRODUCT(--(INDEX('Tablas Técnicas'!$O$10:$X$639,,1)=J92),--(INDEX('Tablas Técnicas'!$O$10:$X$639,,2)=J96),INDEX('Tablas Técnicas'!$O$10:$X$639,,9))))</f>
        <v/>
      </c>
      <c r="P96" s="5081"/>
      <c r="Q96" s="5082"/>
      <c r="R96" s="5082"/>
      <c r="S96" s="5082"/>
      <c r="T96" s="5082"/>
      <c r="U96" s="2860" t="str">
        <f>IF(OR(P92="",P96=""),"",MAX(1,SUMPRODUCT(--(INDEX('Tablas Técnicas'!$O$10:$X$639,,1)=P92),--(INDEX('Tablas Técnicas'!$O$10:$X$639,,2)=P96),INDEX('Tablas Técnicas'!$O$10:$X$639,,9))))</f>
        <v/>
      </c>
      <c r="V96" s="5081"/>
      <c r="W96" s="5082"/>
      <c r="X96" s="5082"/>
      <c r="Y96" s="5082"/>
      <c r="Z96" s="5082"/>
      <c r="AA96" s="2860" t="str">
        <f>IF(OR(V92="",V96=""),"",MAX(1,SUMPRODUCT(--(INDEX('Tablas Técnicas'!$O$10:$X$639,,1)=V92),--(INDEX('Tablas Técnicas'!$O$10:$X$639,,2)=V96),INDEX('Tablas Técnicas'!$O$10:$X$639,,9))))</f>
        <v/>
      </c>
      <c r="AB96" s="5081"/>
      <c r="AC96" s="5082"/>
      <c r="AD96" s="5082"/>
      <c r="AE96" s="5082"/>
      <c r="AF96" s="5082"/>
      <c r="AG96" s="2861" t="str">
        <f>IF(OR(AB92="",AB96=""),"",MAX(1,SUMPRODUCT(--(INDEX('Tablas Técnicas'!$O$10:$X$639,,1)=AB92),--(INDEX('Tablas Técnicas'!$O$10:$X$639,,2)=AB96),INDEX('Tablas Técnicas'!$O$10:$X$639,,9))))</f>
        <v/>
      </c>
      <c r="AH96" s="2821">
        <f>P79</f>
        <v>1</v>
      </c>
      <c r="AI96" s="3030"/>
      <c r="AJ96" s="2816" t="s">
        <v>9667</v>
      </c>
      <c r="AK96" s="3035"/>
      <c r="AL96" s="3035"/>
      <c r="AM96" s="3035"/>
      <c r="AN96" s="3035"/>
      <c r="AO96" s="3035"/>
      <c r="AP96" s="2824"/>
      <c r="AQ96" s="2824"/>
      <c r="AR96" s="2824"/>
      <c r="AS96" s="2824"/>
      <c r="AT96" s="2824"/>
      <c r="AU96" s="2824"/>
      <c r="AV96" s="2824"/>
      <c r="AW96" s="2824"/>
      <c r="AX96" s="2824"/>
      <c r="AY96" s="2824"/>
      <c r="AZ96" s="3035"/>
      <c r="BA96" s="3035"/>
      <c r="BB96" s="3035"/>
      <c r="BC96" s="3023"/>
      <c r="BD96" s="3023"/>
      <c r="BE96" s="2822"/>
    </row>
    <row r="97" spans="1:57" x14ac:dyDescent="0.2">
      <c r="A97" s="3030"/>
      <c r="B97" s="3070">
        <f t="shared" si="7"/>
        <v>3</v>
      </c>
      <c r="C97" s="5106"/>
      <c r="D97" s="5064"/>
      <c r="E97" s="5065"/>
      <c r="F97" s="5065"/>
      <c r="G97" s="5065"/>
      <c r="H97" s="5065"/>
      <c r="I97" s="2862" t="str">
        <f>IF(OR(D92="",D97=""),"",MAX(1,SUMPRODUCT(--(INDEX('Tablas Técnicas'!$O$10:$X$639,,1)=D92),--(INDEX('Tablas Técnicas'!$O$10:$X$639,,2)=D97),INDEX('Tablas Técnicas'!$O$10:$X$639,,9))))</f>
        <v/>
      </c>
      <c r="J97" s="5065"/>
      <c r="K97" s="5065"/>
      <c r="L97" s="5065"/>
      <c r="M97" s="5065"/>
      <c r="N97" s="5065"/>
      <c r="O97" s="2862" t="str">
        <f>IF(OR(J92="",J97=""),"",MAX(1,SUMPRODUCT(--(INDEX('Tablas Técnicas'!$O$10:$X$639,,1)=J92),--(INDEX('Tablas Técnicas'!$O$10:$X$639,,2)=J97),INDEX('Tablas Técnicas'!$O$10:$X$639,,9))))</f>
        <v/>
      </c>
      <c r="P97" s="5064"/>
      <c r="Q97" s="5065"/>
      <c r="R97" s="5065"/>
      <c r="S97" s="5065"/>
      <c r="T97" s="5065"/>
      <c r="U97" s="2862" t="str">
        <f>IF(OR(P92="",P97=""),"",MAX(1,SUMPRODUCT(--(INDEX('Tablas Técnicas'!$O$10:$X$639,,1)=P92),--(INDEX('Tablas Técnicas'!$O$10:$X$639,,2)=P97),INDEX('Tablas Técnicas'!$O$10:$X$639,,9))))</f>
        <v/>
      </c>
      <c r="V97" s="5064"/>
      <c r="W97" s="5065"/>
      <c r="X97" s="5065"/>
      <c r="Y97" s="5065"/>
      <c r="Z97" s="5065"/>
      <c r="AA97" s="2862" t="str">
        <f>IF(OR(V92="",V97=""),"",MAX(1,SUMPRODUCT(--(INDEX('Tablas Técnicas'!$O$10:$X$639,,1)=V92),--(INDEX('Tablas Técnicas'!$O$10:$X$639,,2)=V97),INDEX('Tablas Técnicas'!$O$10:$X$639,,9))))</f>
        <v/>
      </c>
      <c r="AB97" s="5064"/>
      <c r="AC97" s="5065"/>
      <c r="AD97" s="5065"/>
      <c r="AE97" s="5065"/>
      <c r="AF97" s="5065"/>
      <c r="AG97" s="2863" t="str">
        <f>IF(OR(AB92="",AB97=""),"",MAX(1,SUMPRODUCT(--(INDEX('Tablas Técnicas'!$O$10:$X$639,,1)=AB92),--(INDEX('Tablas Técnicas'!$O$10:$X$639,,2)=AB97),INDEX('Tablas Técnicas'!$O$10:$X$639,,9))))</f>
        <v/>
      </c>
      <c r="AH97" s="2821">
        <f>P79</f>
        <v>1</v>
      </c>
      <c r="AI97" s="3030"/>
      <c r="AJ97" s="3035" t="s">
        <v>1646</v>
      </c>
      <c r="AK97" s="3035" t="s">
        <v>1772</v>
      </c>
      <c r="AL97" s="3035" t="s">
        <v>1651</v>
      </c>
      <c r="AM97" s="3035" t="s">
        <v>1656</v>
      </c>
      <c r="AN97" s="3035" t="s">
        <v>1664</v>
      </c>
      <c r="AO97" s="3035" t="s">
        <v>1665</v>
      </c>
      <c r="AQ97" s="2816"/>
      <c r="AR97" s="2816"/>
      <c r="AS97" s="2816"/>
      <c r="AT97" s="2816"/>
      <c r="AU97" s="2816"/>
      <c r="AV97" s="3035"/>
      <c r="AW97" s="2816"/>
      <c r="AX97" s="2816"/>
      <c r="AY97" s="2816"/>
      <c r="AZ97" s="2816"/>
      <c r="BA97" s="2816"/>
      <c r="BB97" s="2816"/>
      <c r="BC97" s="2816"/>
      <c r="BD97" s="2816"/>
      <c r="BE97" s="2822"/>
    </row>
    <row r="98" spans="1:57" x14ac:dyDescent="0.2">
      <c r="A98" s="3030"/>
      <c r="B98" s="3070">
        <f t="shared" si="7"/>
        <v>3</v>
      </c>
      <c r="C98" s="5106"/>
      <c r="D98" s="5064"/>
      <c r="E98" s="5065"/>
      <c r="F98" s="5065"/>
      <c r="G98" s="5065"/>
      <c r="H98" s="5065"/>
      <c r="I98" s="2862" t="str">
        <f>IF(OR(D92="",D98=""),"",MAX(1,SUMPRODUCT(--(INDEX('Tablas Técnicas'!$O$10:$X$639,,1)=D92),--(INDEX('Tablas Técnicas'!$O$10:$X$639,,2)=D98),INDEX('Tablas Técnicas'!$O$10:$X$639,,9))))</f>
        <v/>
      </c>
      <c r="J98" s="5065"/>
      <c r="K98" s="5065"/>
      <c r="L98" s="5065"/>
      <c r="M98" s="5065"/>
      <c r="N98" s="5065"/>
      <c r="O98" s="2862" t="str">
        <f>IF(OR(J92="",J98=""),"",MAX(1,SUMPRODUCT(--(INDEX('Tablas Técnicas'!$O$10:$X$639,,1)=J92),--(INDEX('Tablas Técnicas'!$O$10:$X$639,,2)=J98),INDEX('Tablas Técnicas'!$O$10:$X$639,,9))))</f>
        <v/>
      </c>
      <c r="P98" s="5064"/>
      <c r="Q98" s="5065"/>
      <c r="R98" s="5065"/>
      <c r="S98" s="5065"/>
      <c r="T98" s="5065"/>
      <c r="U98" s="2862" t="str">
        <f>IF(OR(P92="",P98=""),"",MAX(1,SUMPRODUCT(--(INDEX('Tablas Técnicas'!$O$10:$X$639,,1)=P92),--(INDEX('Tablas Técnicas'!$O$10:$X$639,,2)=P98),INDEX('Tablas Técnicas'!$O$10:$X$639,,9))))</f>
        <v/>
      </c>
      <c r="V98" s="5064"/>
      <c r="W98" s="5065"/>
      <c r="X98" s="5065"/>
      <c r="Y98" s="5065"/>
      <c r="Z98" s="5065"/>
      <c r="AA98" s="2862" t="str">
        <f>IF(OR(V92="",V98=""),"",MAX(1,SUMPRODUCT(--(INDEX('Tablas Técnicas'!$O$10:$X$639,,1)=V92),--(INDEX('Tablas Técnicas'!$O$10:$X$639,,2)=V98),INDEX('Tablas Técnicas'!$O$10:$X$639,,9))))</f>
        <v/>
      </c>
      <c r="AB98" s="5064"/>
      <c r="AC98" s="5065"/>
      <c r="AD98" s="5065"/>
      <c r="AE98" s="5065"/>
      <c r="AF98" s="5065"/>
      <c r="AG98" s="2863" t="str">
        <f>IF(OR(AB92="",AB98=""),"",MAX(1,SUMPRODUCT(--(INDEX('Tablas Técnicas'!$O$10:$X$639,,1)=AB92),--(INDEX('Tablas Técnicas'!$O$10:$X$639,,2)=AB98),INDEX('Tablas Técnicas'!$O$10:$X$639,,9))))</f>
        <v/>
      </c>
      <c r="AH98" s="2821">
        <f>P79</f>
        <v>1</v>
      </c>
      <c r="AI98" s="3030"/>
      <c r="AJ98" s="2816" t="str">
        <f>IF(V81="","",IF(SUM(V83:V87)=0,"",V81&amp;" "&amp;SUM(V83:V87)+V90&amp;IF(SUM(W83)=0,""," ("&amp;SUM(W83)&amp;")")&amp;", "))</f>
        <v/>
      </c>
      <c r="AK98" s="2816" t="str">
        <f>IF(X81="","",IF(SUM(X83:X87)=0,"",X81&amp;" "&amp;SUM(X83:X87)+X90&amp;IF(SUM(Y83)=0,""," ("&amp;SUM(Y83)&amp;")")&amp;", "))</f>
        <v/>
      </c>
      <c r="AL98" s="2816" t="str">
        <f>IF(Z81="","",IF(SUM(Z83:Z87)=0,"",Z81&amp;" "&amp;SUM(Z83:Z87)+Z90&amp;IF(SUM(AA83)=0,""," ("&amp;SUM(AA83)&amp;")")&amp;", "))</f>
        <v/>
      </c>
      <c r="AM98" s="2816" t="str">
        <f>IF(AB81="","",IF(SUM(AB83:AB87)=0,"",AB81&amp;" "&amp;SUM(AB83:AB87)+AB90&amp;IF(SUM(AC83)=0,""," ("&amp;SUM(AC83)&amp;")")&amp;", "))</f>
        <v/>
      </c>
      <c r="AN98" s="2816" t="str">
        <f>IF(AD81="","",IF(SUM(AD83:AD87)=0,"",AD81&amp;" "&amp;SUM(AD83:AD87)+AD90&amp;IF(SUM(AE83)=0,""," ("&amp;SUM(AE83)&amp;")")&amp;", "))</f>
        <v/>
      </c>
      <c r="AO98" s="2816" t="str">
        <f>IF(AF81="","",IF(SUM(AF83:AF87)=0,"",AF81&amp;" "&amp;SUM(AF83:AF87)+AF90&amp;IF(SUM(AG83)=0,""," ("&amp;SUM(AG83)&amp;")")&amp;", "))</f>
        <v/>
      </c>
      <c r="AQ98" s="2816"/>
      <c r="AR98" s="2816"/>
      <c r="AS98" s="2816"/>
      <c r="AT98" s="2816"/>
      <c r="AU98" s="2816"/>
      <c r="AV98" s="3035"/>
      <c r="AW98" s="3035"/>
      <c r="AX98" s="3035"/>
      <c r="AZ98" s="3035"/>
      <c r="BA98" s="3035"/>
      <c r="BB98" s="2816"/>
      <c r="BC98" s="2816"/>
      <c r="BD98" s="2816"/>
      <c r="BE98" s="2822"/>
    </row>
    <row r="99" spans="1:57" x14ac:dyDescent="0.2">
      <c r="A99" s="3030"/>
      <c r="B99" s="3070">
        <f t="shared" si="7"/>
        <v>3</v>
      </c>
      <c r="C99" s="5106"/>
      <c r="D99" s="5064"/>
      <c r="E99" s="5065"/>
      <c r="F99" s="5065"/>
      <c r="G99" s="5065"/>
      <c r="H99" s="5065"/>
      <c r="I99" s="2862" t="str">
        <f>IF(OR(D92="",D99=""),"",MAX(1,SUMPRODUCT(--(INDEX('Tablas Técnicas'!$O$10:$X$639,,1)=D92),--(INDEX('Tablas Técnicas'!$O$10:$X$639,,2)=D99),INDEX('Tablas Técnicas'!$O$10:$X$639,,9))))</f>
        <v/>
      </c>
      <c r="J99" s="5065"/>
      <c r="K99" s="5065"/>
      <c r="L99" s="5065"/>
      <c r="M99" s="5065"/>
      <c r="N99" s="5065"/>
      <c r="O99" s="2862" t="str">
        <f>IF(OR(J92="",J99=""),"",MAX(1,SUMPRODUCT(--(INDEX('Tablas Técnicas'!$O$10:$X$639,,1)=J92),--(INDEX('Tablas Técnicas'!$O$10:$X$639,,2)=J99),INDEX('Tablas Técnicas'!$O$10:$X$639,,9))))</f>
        <v/>
      </c>
      <c r="P99" s="5064"/>
      <c r="Q99" s="5065"/>
      <c r="R99" s="5065"/>
      <c r="S99" s="5065"/>
      <c r="T99" s="5065"/>
      <c r="U99" s="2862" t="str">
        <f>IF(OR(P92="",P99=""),"",MAX(1,SUMPRODUCT(--(INDEX('Tablas Técnicas'!$O$10:$X$639,,1)=P92),--(INDEX('Tablas Técnicas'!$O$10:$X$639,,2)=P99),INDEX('Tablas Técnicas'!$O$10:$X$639,,9))))</f>
        <v/>
      </c>
      <c r="V99" s="5064"/>
      <c r="W99" s="5065"/>
      <c r="X99" s="5065"/>
      <c r="Y99" s="5065"/>
      <c r="Z99" s="5065"/>
      <c r="AA99" s="2862" t="str">
        <f>IF(OR(V92="",V99=""),"",MAX(1,SUMPRODUCT(--(INDEX('Tablas Técnicas'!$O$10:$X$639,,1)=V92),--(INDEX('Tablas Técnicas'!$O$10:$X$639,,2)=V99),INDEX('Tablas Técnicas'!$O$10:$X$639,,9))))</f>
        <v/>
      </c>
      <c r="AB99" s="5064"/>
      <c r="AC99" s="5065"/>
      <c r="AD99" s="5065"/>
      <c r="AE99" s="5065"/>
      <c r="AF99" s="5065"/>
      <c r="AG99" s="2863" t="str">
        <f>IF(OR(AB92="",AB99=""),"",MAX(1,SUMPRODUCT(--(INDEX('Tablas Técnicas'!$O$10:$X$639,,1)=AB92),--(INDEX('Tablas Técnicas'!$O$10:$X$639,,2)=AB99),INDEX('Tablas Técnicas'!$O$10:$X$639,,9))))</f>
        <v/>
      </c>
      <c r="AH99" s="2821">
        <f>P79</f>
        <v>1</v>
      </c>
      <c r="AI99" s="3030"/>
      <c r="AJ99" s="2816" t="s">
        <v>10242</v>
      </c>
      <c r="AL99" s="2816">
        <f t="array" ref="AL99">MAX(0,SUM(VALUE(RIGHT(O83:O87,2)))+ABS($AC89*2/5))+IF(AM106,Y89,0)+IF(S79="Si",3*P79,0)</f>
        <v>0</v>
      </c>
      <c r="AM99" s="2816">
        <f t="array" ref="AM99">IF(ISNUMBER(SEARCH("Mantenido",K83&amp;K84&amp;K85&amp;K86&amp;K87)),MAX(0,SUM(VALUE(RIGHT($P83:$P87,2)))),0)</f>
        <v>0</v>
      </c>
      <c r="AR99" s="3035"/>
      <c r="AT99" s="3035"/>
      <c r="AV99" s="3035"/>
      <c r="AW99" s="3035"/>
      <c r="AX99" s="3035"/>
      <c r="AZ99" s="3035"/>
      <c r="BA99" s="3035"/>
      <c r="BB99" s="2816"/>
      <c r="BC99" s="2816"/>
      <c r="BD99" s="2816"/>
      <c r="BE99" s="2822"/>
    </row>
    <row r="100" spans="1:57" x14ac:dyDescent="0.2">
      <c r="A100" s="3030"/>
      <c r="B100" s="3070">
        <f t="shared" si="7"/>
        <v>3</v>
      </c>
      <c r="C100" s="5106"/>
      <c r="D100" s="5064"/>
      <c r="E100" s="5065"/>
      <c r="F100" s="5065"/>
      <c r="G100" s="5065"/>
      <c r="H100" s="5065"/>
      <c r="I100" s="2862" t="str">
        <f>IF(OR(D92="",D100=""),"",MAX(1,SUMPRODUCT(--(INDEX('Tablas Técnicas'!$O$10:$X$639,,1)=D92),--(INDEX('Tablas Técnicas'!$O$10:$X$639,,2)=D100),INDEX('Tablas Técnicas'!$O$10:$X$639,,9))))</f>
        <v/>
      </c>
      <c r="J100" s="5065"/>
      <c r="K100" s="5065"/>
      <c r="L100" s="5065"/>
      <c r="M100" s="5065"/>
      <c r="N100" s="5065"/>
      <c r="O100" s="2862" t="str">
        <f>IF(OR(J92="",J100=""),"",MAX(1,SUMPRODUCT(--(INDEX('Tablas Técnicas'!$O$10:$X$639,,1)=J92),--(INDEX('Tablas Técnicas'!$O$10:$X$639,,2)=J100),INDEX('Tablas Técnicas'!$O$10:$X$639,,9))))</f>
        <v/>
      </c>
      <c r="P100" s="5064"/>
      <c r="Q100" s="5065"/>
      <c r="R100" s="5065"/>
      <c r="S100" s="5065"/>
      <c r="T100" s="5065"/>
      <c r="U100" s="2862" t="str">
        <f>IF(OR(P92="",P100=""),"",MAX(1,SUMPRODUCT(--(INDEX('Tablas Técnicas'!$O$10:$X$639,,1)=P92),--(INDEX('Tablas Técnicas'!$O$10:$X$639,,2)=P100),INDEX('Tablas Técnicas'!$O$10:$X$639,,9))))</f>
        <v/>
      </c>
      <c r="V100" s="5064"/>
      <c r="W100" s="5065"/>
      <c r="X100" s="5065"/>
      <c r="Y100" s="5065"/>
      <c r="Z100" s="5065"/>
      <c r="AA100" s="2862" t="str">
        <f>IF(OR(V92="",V100=""),"",MAX(1,SUMPRODUCT(--(INDEX('Tablas Técnicas'!$O$10:$X$639,,1)=V92),--(INDEX('Tablas Técnicas'!$O$10:$X$639,,2)=V100),INDEX('Tablas Técnicas'!$O$10:$X$639,,9))))</f>
        <v/>
      </c>
      <c r="AB100" s="5064"/>
      <c r="AC100" s="5065"/>
      <c r="AD100" s="5065"/>
      <c r="AE100" s="5065"/>
      <c r="AF100" s="5065"/>
      <c r="AG100" s="2863" t="str">
        <f>IF(OR(AB92="",AB100=""),"",MAX(1,SUMPRODUCT(--(INDEX('Tablas Técnicas'!$O$10:$X$639,,1)=AB92),--(INDEX('Tablas Técnicas'!$O$10:$X$639,,2)=AB100),INDEX('Tablas Técnicas'!$O$10:$X$639,,9))))</f>
        <v/>
      </c>
      <c r="AH100" s="2821">
        <f>P79</f>
        <v>1</v>
      </c>
      <c r="AI100" s="3030"/>
      <c r="AJ100" s="2816" t="s">
        <v>9668</v>
      </c>
      <c r="AL100" s="2816">
        <f>SUM(V83:V87,X83:X87,Z83:Z87,AB83:AB87,AD83:AD87,AF83:AF87)+SUM(V90:AG90)</f>
        <v>0</v>
      </c>
      <c r="AM100" s="2816">
        <f>SUM(W83:W87,Y83:Y87,AA83:AA87,AC83:AC87,AE83:AE87,AG83:AG87)</f>
        <v>0</v>
      </c>
      <c r="AR100" s="3035"/>
      <c r="AT100" s="3035"/>
      <c r="AV100" s="3035"/>
      <c r="AW100" s="3035"/>
      <c r="AX100" s="3035"/>
      <c r="AZ100" s="3035"/>
      <c r="BA100" s="3035"/>
      <c r="BB100" s="2816"/>
      <c r="BC100" s="2816"/>
      <c r="BD100" s="2816"/>
    </row>
    <row r="101" spans="1:57" x14ac:dyDescent="0.2">
      <c r="A101" s="3030"/>
      <c r="B101" s="3070">
        <f t="shared" si="7"/>
        <v>3</v>
      </c>
      <c r="C101" s="5106"/>
      <c r="D101" s="5064"/>
      <c r="E101" s="5065"/>
      <c r="F101" s="5065"/>
      <c r="G101" s="5065"/>
      <c r="H101" s="5065"/>
      <c r="I101" s="2862" t="str">
        <f>IF(OR(D92="",D101=""),"",MAX(1,SUMPRODUCT(--(INDEX('Tablas Técnicas'!$O$10:$X$639,,1)=D92),--(INDEX('Tablas Técnicas'!$O$10:$X$639,,2)=D101),INDEX('Tablas Técnicas'!$O$10:$X$639,,9))))</f>
        <v/>
      </c>
      <c r="J101" s="5065"/>
      <c r="K101" s="5065"/>
      <c r="L101" s="5065"/>
      <c r="M101" s="5065"/>
      <c r="N101" s="5065"/>
      <c r="O101" s="2862" t="str">
        <f>IF(OR(J92="",J101=""),"",MAX(1,SUMPRODUCT(--(INDEX('Tablas Técnicas'!$O$10:$X$639,,1)=J92),--(INDEX('Tablas Técnicas'!$O$10:$X$639,,2)=J101),INDEX('Tablas Técnicas'!$O$10:$X$639,,9))))</f>
        <v/>
      </c>
      <c r="P101" s="5064"/>
      <c r="Q101" s="5065"/>
      <c r="R101" s="5065"/>
      <c r="S101" s="5065"/>
      <c r="T101" s="5065"/>
      <c r="U101" s="2862" t="str">
        <f>IF(OR(P92="",P101=""),"",MAX(1,SUMPRODUCT(--(INDEX('Tablas Técnicas'!$O$10:$X$639,,1)=P92),--(INDEX('Tablas Técnicas'!$O$10:$X$639,,2)=P101),INDEX('Tablas Técnicas'!$O$10:$X$639,,9))))</f>
        <v/>
      </c>
      <c r="V101" s="5064"/>
      <c r="W101" s="5065"/>
      <c r="X101" s="5065"/>
      <c r="Y101" s="5065"/>
      <c r="Z101" s="5065"/>
      <c r="AA101" s="2862" t="str">
        <f>IF(OR(V92="",V101=""),"",MAX(1,SUMPRODUCT(--(INDEX('Tablas Técnicas'!$O$10:$X$639,,1)=V92),--(INDEX('Tablas Técnicas'!$O$10:$X$639,,2)=V101),INDEX('Tablas Técnicas'!$O$10:$X$639,,9))))</f>
        <v/>
      </c>
      <c r="AB101" s="5064"/>
      <c r="AC101" s="5065"/>
      <c r="AD101" s="5065"/>
      <c r="AE101" s="5065"/>
      <c r="AF101" s="5065"/>
      <c r="AG101" s="2863" t="str">
        <f>IF(OR(AB92="",AB101=""),"",MAX(1,SUMPRODUCT(--(INDEX('Tablas Técnicas'!$O$10:$X$639,,1)=AB92),--(INDEX('Tablas Técnicas'!$O$10:$X$639,,2)=AB101),INDEX('Tablas Técnicas'!$O$10:$X$639,,9))))</f>
        <v/>
      </c>
      <c r="AH101" s="2821">
        <f>P79</f>
        <v>1</v>
      </c>
      <c r="AI101" s="3030"/>
      <c r="AR101" s="3035"/>
      <c r="AT101" s="3035"/>
      <c r="AV101" s="3035"/>
      <c r="AW101" s="3035"/>
      <c r="AX101" s="3035"/>
      <c r="AZ101" s="3035"/>
      <c r="BA101" s="3035"/>
      <c r="BB101" s="2816"/>
      <c r="BC101" s="2816"/>
      <c r="BD101" s="2816"/>
    </row>
    <row r="102" spans="1:57" x14ac:dyDescent="0.2">
      <c r="A102" s="3030"/>
      <c r="B102" s="3070">
        <f t="shared" si="7"/>
        <v>3</v>
      </c>
      <c r="C102" s="5106"/>
      <c r="D102" s="5079"/>
      <c r="E102" s="5080"/>
      <c r="F102" s="5080"/>
      <c r="G102" s="5080"/>
      <c r="H102" s="5080"/>
      <c r="I102" s="2864" t="str">
        <f>IF(OR(D92="",D102=""),"",MAX(1,SUMPRODUCT(--(INDEX('Tablas Técnicas'!$O$10:$X$639,,1)=D92),--(INDEX('Tablas Técnicas'!$O$10:$X$639,,2)=D102),INDEX('Tablas Técnicas'!$O$10:$X$639,,9))))</f>
        <v/>
      </c>
      <c r="J102" s="5080"/>
      <c r="K102" s="5080"/>
      <c r="L102" s="5080"/>
      <c r="M102" s="5080"/>
      <c r="N102" s="5080"/>
      <c r="O102" s="2864" t="str">
        <f>IF(OR(J92="",J102=""),"",MAX(1,SUMPRODUCT(--(INDEX('Tablas Técnicas'!$O$10:$X$639,,1)=J92),--(INDEX('Tablas Técnicas'!$O$10:$X$639,,2)=J102),INDEX('Tablas Técnicas'!$O$10:$X$639,,9))))</f>
        <v/>
      </c>
      <c r="P102" s="5079"/>
      <c r="Q102" s="5080"/>
      <c r="R102" s="5080"/>
      <c r="S102" s="5080"/>
      <c r="T102" s="5080"/>
      <c r="U102" s="2864" t="str">
        <f>IF(OR(P92="",P102=""),"",MAX(1,SUMPRODUCT(--(INDEX('Tablas Técnicas'!$O$10:$X$639,,1)=P92),--(INDEX('Tablas Técnicas'!$O$10:$X$639,,2)=P102),INDEX('Tablas Técnicas'!$O$10:$X$639,,9))))</f>
        <v/>
      </c>
      <c r="V102" s="5079"/>
      <c r="W102" s="5080"/>
      <c r="X102" s="5080"/>
      <c r="Y102" s="5080"/>
      <c r="Z102" s="5080"/>
      <c r="AA102" s="2864" t="str">
        <f>IF(OR(V92="",V102=""),"",MAX(1,SUMPRODUCT(--(INDEX('Tablas Técnicas'!$O$10:$X$639,,1)=V92),--(INDEX('Tablas Técnicas'!$O$10:$X$639,,2)=V102),INDEX('Tablas Técnicas'!$O$10:$X$639,,9))))</f>
        <v/>
      </c>
      <c r="AB102" s="5079"/>
      <c r="AC102" s="5080"/>
      <c r="AD102" s="5080"/>
      <c r="AE102" s="5080"/>
      <c r="AF102" s="5080"/>
      <c r="AG102" s="2865" t="str">
        <f>IF(OR(AB92="",AB102=""),"",MAX(1,SUMPRODUCT(--(INDEX('Tablas Técnicas'!$O$10:$X$639,,1)=AB92),--(INDEX('Tablas Técnicas'!$O$10:$X$639,,2)=AB102),INDEX('Tablas Técnicas'!$O$10:$X$639,,9))))</f>
        <v/>
      </c>
      <c r="AH102" s="2821">
        <f>P79</f>
        <v>1</v>
      </c>
      <c r="AI102" s="3030"/>
      <c r="AJ102" s="2816" t="s">
        <v>9669</v>
      </c>
      <c r="AN102" s="2817" t="s">
        <v>10256</v>
      </c>
      <c r="AO102" s="2816" t="s">
        <v>10255</v>
      </c>
      <c r="AQ102" s="2816"/>
      <c r="AR102" s="2816" t="b">
        <f>AND(D83="Primario",COUNTIF(D83:E87,"Primario")&gt;1)</f>
        <v>0</v>
      </c>
      <c r="AS102" s="2816"/>
      <c r="AT102" s="3035"/>
      <c r="AV102" s="3035"/>
      <c r="AW102" s="3035"/>
      <c r="AX102" s="3035"/>
      <c r="AZ102" s="3035"/>
      <c r="BA102" s="3035"/>
      <c r="BB102" s="2816"/>
      <c r="BC102" s="2816"/>
      <c r="BD102" s="2816"/>
      <c r="BE102" s="2822"/>
    </row>
    <row r="103" spans="1:57" x14ac:dyDescent="0.2">
      <c r="A103" s="3030"/>
      <c r="B103" s="3070">
        <f t="shared" si="7"/>
        <v>3</v>
      </c>
      <c r="C103" s="5106"/>
      <c r="D103" s="5069" t="s">
        <v>1824</v>
      </c>
      <c r="E103" s="5070"/>
      <c r="F103" s="5070"/>
      <c r="G103" s="5070"/>
      <c r="H103" s="5070"/>
      <c r="I103" s="5070"/>
      <c r="J103" s="5070"/>
      <c r="K103" s="5070"/>
      <c r="L103" s="5070"/>
      <c r="M103" s="5070"/>
      <c r="N103" s="5070"/>
      <c r="O103" s="5070"/>
      <c r="P103" s="5070"/>
      <c r="Q103" s="5070"/>
      <c r="R103" s="5070"/>
      <c r="S103" s="5070"/>
      <c r="T103" s="5070"/>
      <c r="U103" s="5070"/>
      <c r="V103" s="5070"/>
      <c r="W103" s="5070"/>
      <c r="X103" s="5070"/>
      <c r="Y103" s="5070"/>
      <c r="Z103" s="5070"/>
      <c r="AA103" s="5070"/>
      <c r="AB103" s="5070"/>
      <c r="AC103" s="5070"/>
      <c r="AD103" s="5070"/>
      <c r="AE103" s="5070"/>
      <c r="AF103" s="5070"/>
      <c r="AG103" s="5071"/>
      <c r="AH103" s="2821"/>
      <c r="AI103" s="3030"/>
      <c r="AJ103" s="2816" t="s">
        <v>9670</v>
      </c>
      <c r="AM103" s="2816" t="b">
        <f t="array" ref="AM103">MAX(I96:I102,O96:O102,U96:U102,AA96:AA102,AG96:AG102,RIGHT(S88:S90,1))&gt;P79</f>
        <v>0</v>
      </c>
      <c r="AN103" s="2817" t="s">
        <v>10257</v>
      </c>
      <c r="AO103" s="2816" t="s">
        <v>10255</v>
      </c>
      <c r="AR103" s="2816" t="b">
        <f>AND(D84="Primario",COUNTIF(D83:E87,"Primario")&gt;1)</f>
        <v>0</v>
      </c>
      <c r="AS103" s="2816"/>
      <c r="AT103" s="3035"/>
      <c r="AV103" s="3035"/>
      <c r="AW103" s="3035"/>
      <c r="AX103" s="3035"/>
      <c r="AZ103" s="3035"/>
      <c r="BA103" s="3035"/>
      <c r="BB103" s="2816" t="str">
        <f>$F87&amp;INDEX($D96:$AG102,Tablas!E$1,1+6*(Tablas!$A$4-1))</f>
        <v/>
      </c>
      <c r="BC103" s="2816" t="str">
        <f>$F87&amp;INDEX($D96:$AG102,Tablas!F$1,1+6*(Tablas!$A$4-1))</f>
        <v/>
      </c>
      <c r="BD103" s="2816" t="str">
        <f>$F87&amp;INDEX($D96:$AG102,Tablas!G$1,1+6*(Tablas!$A$4-1))</f>
        <v/>
      </c>
      <c r="BE103" s="2822"/>
    </row>
    <row r="104" spans="1:57" x14ac:dyDescent="0.2">
      <c r="A104" s="3030"/>
      <c r="B104" s="3070">
        <f t="shared" si="7"/>
        <v>3</v>
      </c>
      <c r="C104" s="5106"/>
      <c r="D104" s="5072"/>
      <c r="E104" s="5073"/>
      <c r="F104" s="5073"/>
      <c r="G104" s="5073"/>
      <c r="H104" s="5073"/>
      <c r="I104" s="5073"/>
      <c r="J104" s="5073"/>
      <c r="K104" s="5073"/>
      <c r="L104" s="5073"/>
      <c r="M104" s="5073"/>
      <c r="N104" s="5073"/>
      <c r="O104" s="5073"/>
      <c r="P104" s="5073"/>
      <c r="Q104" s="5073"/>
      <c r="R104" s="5073"/>
      <c r="S104" s="5073"/>
      <c r="T104" s="5073"/>
      <c r="U104" s="5073"/>
      <c r="V104" s="5073"/>
      <c r="W104" s="5073"/>
      <c r="X104" s="5073"/>
      <c r="Y104" s="5073"/>
      <c r="Z104" s="5073"/>
      <c r="AA104" s="5073"/>
      <c r="AB104" s="5073"/>
      <c r="AC104" s="5073"/>
      <c r="AD104" s="5073"/>
      <c r="AE104" s="5073"/>
      <c r="AF104" s="5073"/>
      <c r="AG104" s="5074"/>
      <c r="AH104" s="2821"/>
      <c r="AI104" s="3030"/>
      <c r="AJ104" s="2816" t="s">
        <v>10243</v>
      </c>
      <c r="AM104" s="2816" t="b">
        <f>NOT(AND(AW83:AW87))</f>
        <v>0</v>
      </c>
      <c r="AN104" s="2817" t="s">
        <v>10258</v>
      </c>
      <c r="AO104" s="2816" t="s">
        <v>10255</v>
      </c>
      <c r="AR104" s="2816" t="b">
        <f>AND(D85="Primario",COUNTIF(D83:E87,"Primario")&gt;1)</f>
        <v>0</v>
      </c>
      <c r="AS104" s="2816"/>
      <c r="AT104" s="3035"/>
      <c r="AV104" s="3035"/>
      <c r="AW104" s="3035"/>
      <c r="AX104" s="3035"/>
      <c r="AZ104" s="3035"/>
      <c r="BA104" s="3035"/>
      <c r="BB104" s="2816"/>
      <c r="BC104" s="2816"/>
      <c r="BD104" s="2816"/>
    </row>
    <row r="105" spans="1:57" x14ac:dyDescent="0.2">
      <c r="A105" s="3030"/>
      <c r="B105" s="3070">
        <f t="shared" si="7"/>
        <v>3</v>
      </c>
      <c r="C105" s="5106"/>
      <c r="D105" s="5072"/>
      <c r="E105" s="5073"/>
      <c r="F105" s="5073"/>
      <c r="G105" s="5073"/>
      <c r="H105" s="5073"/>
      <c r="I105" s="5073"/>
      <c r="J105" s="5073"/>
      <c r="K105" s="5073"/>
      <c r="L105" s="5073"/>
      <c r="M105" s="5073"/>
      <c r="N105" s="5073"/>
      <c r="O105" s="5073"/>
      <c r="P105" s="5073"/>
      <c r="Q105" s="5073"/>
      <c r="R105" s="5073"/>
      <c r="S105" s="5073"/>
      <c r="T105" s="5073"/>
      <c r="U105" s="5073"/>
      <c r="V105" s="5073"/>
      <c r="W105" s="5073"/>
      <c r="X105" s="5073"/>
      <c r="Y105" s="5073"/>
      <c r="Z105" s="5073"/>
      <c r="AA105" s="5073"/>
      <c r="AB105" s="5073"/>
      <c r="AC105" s="5073"/>
      <c r="AD105" s="5073"/>
      <c r="AE105" s="5073"/>
      <c r="AF105" s="5073"/>
      <c r="AG105" s="5074"/>
      <c r="AH105" s="2821"/>
      <c r="AI105" s="3030"/>
      <c r="AJ105" s="2816" t="s">
        <v>10244</v>
      </c>
      <c r="AM105" s="2816" t="b">
        <f>AL99-AL100+AM99-AM100&lt;&gt;0</f>
        <v>0</v>
      </c>
      <c r="AN105" s="2817" t="s">
        <v>10259</v>
      </c>
      <c r="AO105" s="2816" t="s">
        <v>10255</v>
      </c>
      <c r="AR105" s="2816" t="b">
        <f>AND(D86="Primario",COUNTIF(D83:E87,"Primario")&gt;1)</f>
        <v>0</v>
      </c>
      <c r="AS105" s="2816"/>
      <c r="AT105" s="3035"/>
      <c r="AV105" s="3035"/>
      <c r="AW105" s="3035"/>
      <c r="AX105" s="3035"/>
      <c r="AZ105" s="3035"/>
      <c r="BA105" s="3035"/>
      <c r="BB105" s="2816"/>
      <c r="BC105" s="2816"/>
      <c r="BD105" s="2816"/>
      <c r="BE105" s="2822"/>
    </row>
    <row r="106" spans="1:57" x14ac:dyDescent="0.2">
      <c r="A106" s="3030"/>
      <c r="B106" s="3070">
        <f t="shared" si="7"/>
        <v>3</v>
      </c>
      <c r="C106" s="5106"/>
      <c r="D106" s="5072"/>
      <c r="E106" s="5073"/>
      <c r="F106" s="5073"/>
      <c r="G106" s="5073"/>
      <c r="H106" s="5073"/>
      <c r="I106" s="5073"/>
      <c r="J106" s="5073"/>
      <c r="K106" s="5073"/>
      <c r="L106" s="5073"/>
      <c r="M106" s="5073"/>
      <c r="N106" s="5073"/>
      <c r="O106" s="5073"/>
      <c r="P106" s="5073"/>
      <c r="Q106" s="5073"/>
      <c r="R106" s="5073"/>
      <c r="S106" s="5073"/>
      <c r="T106" s="5073"/>
      <c r="U106" s="5073"/>
      <c r="V106" s="5073"/>
      <c r="W106" s="5073"/>
      <c r="X106" s="5073"/>
      <c r="Y106" s="5073"/>
      <c r="Z106" s="5073"/>
      <c r="AA106" s="5073"/>
      <c r="AB106" s="5073"/>
      <c r="AC106" s="5073"/>
      <c r="AD106" s="5073"/>
      <c r="AE106" s="5073"/>
      <c r="AF106" s="5073"/>
      <c r="AG106" s="5074"/>
      <c r="AH106" s="2821"/>
      <c r="AI106" s="3030"/>
      <c r="AJ106" s="2816" t="s">
        <v>10247</v>
      </c>
      <c r="AM106" s="2816" t="b">
        <f>(IF(SUM(V83:V87)&gt;0,1,0)+IF(SUM(X83:X87)&gt;0,1,0)+IF(SUM(Z83:Z87)&gt;0,1,0)+IF(SUM(AB83:AB87)&gt;0,1,0)+IF(SUM(AD83:AD87,)&gt;0,1,0)+IF(SUM(AF83:AF87)&gt;0,1,0))&lt;3</f>
        <v>1</v>
      </c>
      <c r="AN106" s="2817" t="s">
        <v>10260</v>
      </c>
      <c r="AO106" s="2816" t="s">
        <v>10255</v>
      </c>
      <c r="AQ106" s="2816"/>
      <c r="AR106" s="2816" t="b">
        <f>AND(D87="Primario",COUNTIF(D83:E87,"Primario")&gt;1)</f>
        <v>0</v>
      </c>
      <c r="AS106" s="2816"/>
      <c r="AT106" s="3035"/>
      <c r="AV106" s="3035"/>
      <c r="AW106" s="3035"/>
      <c r="AX106" s="3035"/>
      <c r="AZ106" s="3035"/>
      <c r="BA106" s="3035"/>
      <c r="BB106" s="2816"/>
      <c r="BC106" s="2816"/>
      <c r="BD106" s="2816"/>
      <c r="BE106" s="2822"/>
    </row>
    <row r="107" spans="1:57" x14ac:dyDescent="0.2">
      <c r="A107" s="3030"/>
      <c r="B107" s="3070">
        <f t="shared" si="7"/>
        <v>3</v>
      </c>
      <c r="C107" s="5106"/>
      <c r="D107" s="5072"/>
      <c r="E107" s="5073"/>
      <c r="F107" s="5073"/>
      <c r="G107" s="5073"/>
      <c r="H107" s="5073"/>
      <c r="I107" s="5073"/>
      <c r="J107" s="5073"/>
      <c r="K107" s="5073"/>
      <c r="L107" s="5073"/>
      <c r="M107" s="5073"/>
      <c r="N107" s="5073"/>
      <c r="O107" s="5073"/>
      <c r="P107" s="5073"/>
      <c r="Q107" s="5073"/>
      <c r="R107" s="5073"/>
      <c r="S107" s="5073"/>
      <c r="T107" s="5073"/>
      <c r="U107" s="5073"/>
      <c r="V107" s="5073"/>
      <c r="W107" s="5073"/>
      <c r="X107" s="5073"/>
      <c r="Y107" s="5073"/>
      <c r="Z107" s="5073"/>
      <c r="AA107" s="5073"/>
      <c r="AB107" s="5073"/>
      <c r="AC107" s="5073"/>
      <c r="AD107" s="5073"/>
      <c r="AE107" s="5073"/>
      <c r="AF107" s="5073"/>
      <c r="AG107" s="5074"/>
      <c r="AH107" s="2821"/>
      <c r="AI107" s="3030"/>
      <c r="AJ107" s="2816" t="s">
        <v>10246</v>
      </c>
      <c r="AM107" s="2816" t="b">
        <f>SUM(V90:AG90)&lt;&gt;Y89+ABS(AC89)*2/5+IF(S79="Si",3*P79,0)</f>
        <v>0</v>
      </c>
      <c r="AQ107" s="2816"/>
      <c r="AR107" s="2817"/>
      <c r="AS107" s="2817"/>
      <c r="AT107" s="3035"/>
      <c r="AV107" s="3035"/>
      <c r="AW107" s="2816"/>
      <c r="AX107" s="2816"/>
      <c r="AY107" s="2816"/>
      <c r="AZ107" s="2816"/>
      <c r="BA107" s="2816"/>
      <c r="BB107" s="2816"/>
      <c r="BC107" s="2817"/>
      <c r="BD107" s="2816"/>
      <c r="BE107" s="2822"/>
    </row>
    <row r="108" spans="1:57" x14ac:dyDescent="0.2">
      <c r="A108" s="3030"/>
      <c r="B108" s="3070">
        <f t="shared" si="7"/>
        <v>3</v>
      </c>
      <c r="C108" s="5106"/>
      <c r="D108" s="5072"/>
      <c r="E108" s="5073"/>
      <c r="F108" s="5073"/>
      <c r="G108" s="5073"/>
      <c r="H108" s="5073"/>
      <c r="I108" s="5073"/>
      <c r="J108" s="5073"/>
      <c r="K108" s="5073"/>
      <c r="L108" s="5073"/>
      <c r="M108" s="5073"/>
      <c r="N108" s="5073"/>
      <c r="O108" s="5073"/>
      <c r="P108" s="5073"/>
      <c r="Q108" s="5073"/>
      <c r="R108" s="5073"/>
      <c r="S108" s="5073"/>
      <c r="T108" s="5073"/>
      <c r="U108" s="5073"/>
      <c r="V108" s="5073"/>
      <c r="W108" s="5073"/>
      <c r="X108" s="5073"/>
      <c r="Y108" s="5073"/>
      <c r="Z108" s="5073"/>
      <c r="AA108" s="5073"/>
      <c r="AB108" s="5073"/>
      <c r="AC108" s="5073"/>
      <c r="AD108" s="5073"/>
      <c r="AE108" s="5073"/>
      <c r="AF108" s="5073"/>
      <c r="AG108" s="5074"/>
      <c r="AH108" s="2821"/>
      <c r="AI108" s="3030"/>
      <c r="AQ108" s="2816"/>
      <c r="AR108" s="2817"/>
      <c r="AS108" s="2817"/>
      <c r="AT108" s="3035"/>
      <c r="AV108" s="3035"/>
      <c r="AW108" s="2816"/>
      <c r="AX108" s="3035"/>
      <c r="AZ108" s="3035"/>
      <c r="BA108" s="3035"/>
      <c r="BB108" s="3035"/>
      <c r="BC108" s="2816"/>
      <c r="BD108" s="2816"/>
      <c r="BE108" s="2822"/>
    </row>
    <row r="109" spans="1:57" ht="12" thickBot="1" x14ac:dyDescent="0.25">
      <c r="A109" s="3030"/>
      <c r="B109" s="3070">
        <f t="shared" si="7"/>
        <v>3</v>
      </c>
      <c r="C109" s="5107"/>
      <c r="D109" s="5075"/>
      <c r="E109" s="5076"/>
      <c r="F109" s="5076"/>
      <c r="G109" s="5076"/>
      <c r="H109" s="5076"/>
      <c r="I109" s="5076"/>
      <c r="J109" s="5076"/>
      <c r="K109" s="5076"/>
      <c r="L109" s="5076"/>
      <c r="M109" s="5076"/>
      <c r="N109" s="5076"/>
      <c r="O109" s="5076"/>
      <c r="P109" s="5076"/>
      <c r="Q109" s="5076"/>
      <c r="R109" s="5076"/>
      <c r="S109" s="5076"/>
      <c r="T109" s="5076"/>
      <c r="U109" s="5076"/>
      <c r="V109" s="5076"/>
      <c r="W109" s="5076"/>
      <c r="X109" s="5076"/>
      <c r="Y109" s="5076"/>
      <c r="Z109" s="5076"/>
      <c r="AA109" s="5076"/>
      <c r="AB109" s="5076"/>
      <c r="AC109" s="5076"/>
      <c r="AD109" s="5076"/>
      <c r="AE109" s="5076"/>
      <c r="AF109" s="5076"/>
      <c r="AG109" s="5077"/>
      <c r="AH109" s="2821"/>
      <c r="AI109" s="3030"/>
      <c r="AQ109" s="2816"/>
      <c r="AR109" s="2817"/>
      <c r="AS109" s="2817"/>
      <c r="AT109" s="3035"/>
      <c r="AV109" s="3035"/>
      <c r="AW109" s="2816"/>
      <c r="AX109" s="3035"/>
      <c r="AZ109" s="2816"/>
      <c r="BA109" s="2816"/>
      <c r="BB109" s="2816"/>
      <c r="BC109" s="2816"/>
      <c r="BD109" s="2816"/>
      <c r="BE109" s="2822"/>
    </row>
    <row r="110" spans="1:57" x14ac:dyDescent="0.2">
      <c r="A110" s="3030"/>
      <c r="B110" s="3070"/>
      <c r="C110" s="5092"/>
      <c r="D110" s="5092" t="str">
        <f>IFERROR(VLOOKUP(D92,'Tablas Técnicas'!$C$9:$H$81,2,FALSE),"")</f>
        <v/>
      </c>
      <c r="E110" s="5092"/>
      <c r="F110" s="5092"/>
      <c r="G110" s="5092"/>
      <c r="H110" s="5092"/>
      <c r="I110" s="5092"/>
      <c r="J110" s="5078" t="str">
        <f>IFERROR(VLOOKUP(J92,'Tablas Técnicas'!$C$9:$H$81,2,FALSE),"")</f>
        <v/>
      </c>
      <c r="K110" s="5078"/>
      <c r="L110" s="5078"/>
      <c r="M110" s="5078"/>
      <c r="N110" s="5078"/>
      <c r="O110" s="5078"/>
      <c r="P110" s="5078" t="str">
        <f>IFERROR(VLOOKUP(P92,'Tablas Técnicas'!$C$9:$H$81,2,FALSE),"")</f>
        <v/>
      </c>
      <c r="Q110" s="5078"/>
      <c r="R110" s="5078"/>
      <c r="S110" s="5078"/>
      <c r="T110" s="5078"/>
      <c r="U110" s="5078"/>
      <c r="V110" s="5078" t="str">
        <f>IFERROR(VLOOKUP(V92,'Tablas Técnicas'!$C$9:$H$81,2,FALSE),"")</f>
        <v/>
      </c>
      <c r="W110" s="5078"/>
      <c r="X110" s="5078"/>
      <c r="Y110" s="5078"/>
      <c r="Z110" s="5078"/>
      <c r="AA110" s="5078"/>
      <c r="AB110" s="5078" t="str">
        <f>IFERROR(VLOOKUP(AB92,'Tablas Técnicas'!$C$9:$H$81,2,FALSE),"")</f>
        <v/>
      </c>
      <c r="AC110" s="5078"/>
      <c r="AD110" s="5078"/>
      <c r="AE110" s="5078"/>
      <c r="AF110" s="5078"/>
      <c r="AG110" s="5078"/>
      <c r="AH110" s="2821"/>
      <c r="AI110" s="3030"/>
      <c r="AQ110" s="2816"/>
      <c r="AR110" s="2817"/>
      <c r="AS110" s="2817"/>
      <c r="AT110" s="3023"/>
      <c r="AV110" s="3023"/>
      <c r="AW110" s="3023"/>
      <c r="AX110" s="3023"/>
      <c r="AZ110" s="3023"/>
      <c r="BA110" s="3023"/>
      <c r="BB110" s="3023"/>
      <c r="BC110" s="3023"/>
      <c r="BD110" s="3023"/>
      <c r="BE110" s="2822"/>
    </row>
    <row r="111" spans="1:57" ht="12" thickBot="1" x14ac:dyDescent="0.25">
      <c r="A111" s="3030"/>
      <c r="B111" s="3070"/>
      <c r="C111" s="5092"/>
      <c r="D111" s="3052"/>
      <c r="E111" s="3024"/>
      <c r="F111" s="3024"/>
      <c r="G111" s="3024"/>
      <c r="H111" s="3024"/>
      <c r="I111" s="3024"/>
      <c r="J111" s="3024"/>
      <c r="K111" s="3024"/>
      <c r="L111" s="3024"/>
      <c r="M111" s="3024"/>
      <c r="N111" s="3024"/>
      <c r="O111" s="3024"/>
      <c r="P111" s="3024"/>
      <c r="Q111" s="3024"/>
      <c r="R111" s="3024"/>
      <c r="S111" s="3024"/>
      <c r="T111" s="3024"/>
      <c r="U111" s="3024"/>
      <c r="V111" s="3054"/>
      <c r="W111" s="3054"/>
      <c r="X111" s="3054"/>
      <c r="Y111" s="3054"/>
      <c r="Z111" s="3054"/>
      <c r="AA111" s="3054"/>
      <c r="AB111" s="3054"/>
      <c r="AC111" s="3054"/>
      <c r="AD111" s="3054"/>
      <c r="AE111" s="3054"/>
      <c r="AF111" s="3024"/>
      <c r="AG111" s="3024"/>
      <c r="AH111" s="2821"/>
      <c r="AI111" s="3030"/>
      <c r="AJ111" s="2870"/>
      <c r="AK111" s="2870"/>
      <c r="AL111" s="2870"/>
      <c r="AM111" s="2870"/>
      <c r="AN111" s="2870"/>
      <c r="AO111" s="2870"/>
      <c r="AR111" s="3023"/>
      <c r="AT111" s="3023"/>
      <c r="AV111" s="3023"/>
      <c r="AW111" s="3023"/>
      <c r="AX111" s="2867"/>
      <c r="AY111" s="2867"/>
      <c r="AZ111" s="2867"/>
      <c r="BA111" s="2867"/>
      <c r="BB111" s="2867"/>
      <c r="BC111" s="2868"/>
      <c r="BD111" s="3023"/>
      <c r="BE111" s="2822"/>
    </row>
    <row r="112" spans="1:57" ht="11.25" customHeight="1" x14ac:dyDescent="0.2">
      <c r="A112" s="3030"/>
      <c r="B112" s="3070">
        <f t="shared" ref="B112:B174" si="12">1+B79</f>
        <v>4</v>
      </c>
      <c r="C112" s="5105" t="str">
        <f>"Técnica "&amp;B112</f>
        <v>Técnica 4</v>
      </c>
      <c r="D112" s="5181" t="s">
        <v>9559</v>
      </c>
      <c r="E112" s="5182"/>
      <c r="F112" s="5182"/>
      <c r="G112" s="5182"/>
      <c r="H112" s="5182"/>
      <c r="I112" s="5182"/>
      <c r="J112" s="5182"/>
      <c r="K112" s="5182"/>
      <c r="L112" s="5182"/>
      <c r="M112" s="5182"/>
      <c r="N112" s="5183"/>
      <c r="O112" s="5161" t="s">
        <v>1597</v>
      </c>
      <c r="P112" s="5163">
        <v>1</v>
      </c>
      <c r="Q112" s="5134" t="s">
        <v>9646</v>
      </c>
      <c r="R112" s="5165"/>
      <c r="S112" s="5167" t="s">
        <v>1654</v>
      </c>
      <c r="T112" s="5135" t="s">
        <v>1780</v>
      </c>
      <c r="U112" s="5174">
        <f>MAX(IF(P112=3,60,IF(P112=2,40,20)),MIN(IF(P112=3,200,IF(P112=2,100,50)),SUM(M121:M123))-10*Y122+AC122+IF(S112="Si",10*P112,0)+IF(COUNTIF(K116:M120,"Mantenido")&gt;0,P112*10)+IF(COUNTIF(K116:M120,"Sostenimiento Menor")&gt;0,P112*20)+IF(COUNTIF(K116:M120,"Sostenimiento Mayor")&gt;0,P112*30))</f>
        <v>20</v>
      </c>
      <c r="V112" s="5134" t="s">
        <v>9647</v>
      </c>
      <c r="W112" s="5135"/>
      <c r="X112" s="5138" t="str">
        <f>IFERROR(LEFT(AJ131&amp;AK131&amp;AL131&amp;AM131&amp;AN131&amp;AO131,LEN(AJ131&amp;AK131&amp;AL131&amp;AM131&amp;AN131&amp;AO131)-2),"")</f>
        <v/>
      </c>
      <c r="Y112" s="5138"/>
      <c r="Z112" s="5138"/>
      <c r="AA112" s="5138"/>
      <c r="AB112" s="5138"/>
      <c r="AC112" s="5138"/>
      <c r="AD112" s="5138"/>
      <c r="AE112" s="5138"/>
      <c r="AF112" s="5138"/>
      <c r="AG112" s="5139"/>
      <c r="AH112" s="2821"/>
      <c r="AI112" s="3030"/>
      <c r="AQ112" s="2816"/>
      <c r="AR112" s="2816"/>
      <c r="AS112" s="2816"/>
      <c r="AT112" s="2816"/>
      <c r="AU112" s="2816"/>
      <c r="AV112" s="3023"/>
      <c r="AW112" s="3023"/>
      <c r="AX112" s="2816"/>
      <c r="AY112" s="2816"/>
      <c r="AZ112" s="2824"/>
      <c r="BA112" s="3023"/>
      <c r="BB112" s="3023"/>
      <c r="BC112" s="3023"/>
      <c r="BE112" s="2822"/>
    </row>
    <row r="113" spans="1:57" ht="11.25" customHeight="1" x14ac:dyDescent="0.2">
      <c r="A113" s="3030"/>
      <c r="B113" s="3070">
        <f t="shared" si="12"/>
        <v>4</v>
      </c>
      <c r="C113" s="5106"/>
      <c r="D113" s="5184"/>
      <c r="E113" s="5185"/>
      <c r="F113" s="5185"/>
      <c r="G113" s="5185"/>
      <c r="H113" s="5185"/>
      <c r="I113" s="5185"/>
      <c r="J113" s="5185"/>
      <c r="K113" s="5185"/>
      <c r="L113" s="5185"/>
      <c r="M113" s="5185"/>
      <c r="N113" s="5186"/>
      <c r="O113" s="5162"/>
      <c r="P113" s="5164"/>
      <c r="Q113" s="5136"/>
      <c r="R113" s="5166"/>
      <c r="S113" s="5164"/>
      <c r="T113" s="5137"/>
      <c r="U113" s="5175"/>
      <c r="V113" s="5136"/>
      <c r="W113" s="5137"/>
      <c r="X113" s="5140"/>
      <c r="Y113" s="5140"/>
      <c r="Z113" s="5140"/>
      <c r="AA113" s="5140"/>
      <c r="AB113" s="5140"/>
      <c r="AC113" s="5140"/>
      <c r="AD113" s="5140"/>
      <c r="AE113" s="5140"/>
      <c r="AF113" s="5140"/>
      <c r="AG113" s="5141"/>
      <c r="AH113" s="2821"/>
      <c r="AI113" s="3030"/>
      <c r="AJ113" s="2947" t="s">
        <v>10240</v>
      </c>
      <c r="AQ113" s="2816"/>
      <c r="AR113" s="2816"/>
      <c r="AS113" s="2816"/>
      <c r="AT113" s="2816"/>
      <c r="AU113" s="2816"/>
      <c r="AV113" s="3023"/>
      <c r="AW113" s="3023"/>
      <c r="AX113" s="3023"/>
      <c r="AZ113" s="3023"/>
      <c r="BA113" s="3023"/>
      <c r="BB113" s="3023"/>
      <c r="BC113" s="3023"/>
      <c r="BE113" s="2822"/>
    </row>
    <row r="114" spans="1:57" ht="12" customHeight="1" x14ac:dyDescent="0.2">
      <c r="A114" s="3030"/>
      <c r="B114" s="3070">
        <f t="shared" si="12"/>
        <v>4</v>
      </c>
      <c r="C114" s="5106"/>
      <c r="D114" s="5069" t="s">
        <v>3223</v>
      </c>
      <c r="E114" s="5070"/>
      <c r="F114" s="5070"/>
      <c r="G114" s="5070"/>
      <c r="H114" s="5070"/>
      <c r="I114" s="5070"/>
      <c r="J114" s="5070"/>
      <c r="K114" s="5070" t="str">
        <f>"Mant / SMe / Sma"</f>
        <v>Mant / SMe / Sma</v>
      </c>
      <c r="L114" s="5070"/>
      <c r="M114" s="5070"/>
      <c r="N114" s="5070" t="s">
        <v>1774</v>
      </c>
      <c r="O114" s="5145" t="s">
        <v>3221</v>
      </c>
      <c r="P114" s="5145" t="s">
        <v>9648</v>
      </c>
      <c r="Q114" s="5070" t="s">
        <v>1637</v>
      </c>
      <c r="R114" s="5070"/>
      <c r="S114" s="5070"/>
      <c r="T114" s="5070"/>
      <c r="U114" s="5070"/>
      <c r="V114" s="5108" t="s">
        <v>1646</v>
      </c>
      <c r="W114" s="5109"/>
      <c r="X114" s="5108" t="s">
        <v>1772</v>
      </c>
      <c r="Y114" s="5110"/>
      <c r="Z114" s="5109" t="s">
        <v>1651</v>
      </c>
      <c r="AA114" s="5109"/>
      <c r="AB114" s="5108" t="s">
        <v>1656</v>
      </c>
      <c r="AC114" s="5110"/>
      <c r="AD114" s="5109" t="s">
        <v>1664</v>
      </c>
      <c r="AE114" s="5109"/>
      <c r="AF114" s="5108" t="s">
        <v>1665</v>
      </c>
      <c r="AG114" s="5111"/>
      <c r="AH114" s="2821"/>
      <c r="AI114" s="3030"/>
      <c r="AL114" s="2816" t="s">
        <v>9649</v>
      </c>
      <c r="AQ114" s="2816"/>
      <c r="AR114" s="3023"/>
      <c r="AT114" s="2816" t="s">
        <v>10237</v>
      </c>
      <c r="AU114" s="2816"/>
      <c r="AV114" s="2816" t="s">
        <v>9650</v>
      </c>
      <c r="AW114" s="2816" t="s">
        <v>9651</v>
      </c>
      <c r="AX114" s="2816" t="s">
        <v>10238</v>
      </c>
      <c r="AY114" s="2816"/>
      <c r="AZ114" s="3023"/>
      <c r="BA114" s="3023"/>
      <c r="BB114" s="3023" t="s">
        <v>9652</v>
      </c>
      <c r="BC114" s="2816" t="s">
        <v>9653</v>
      </c>
      <c r="BE114" s="2822"/>
    </row>
    <row r="115" spans="1:57" x14ac:dyDescent="0.2">
      <c r="A115" s="3030"/>
      <c r="B115" s="3070">
        <f t="shared" si="12"/>
        <v>4</v>
      </c>
      <c r="C115" s="5106"/>
      <c r="D115" s="5142"/>
      <c r="E115" s="5143"/>
      <c r="F115" s="5143"/>
      <c r="G115" s="5143"/>
      <c r="H115" s="5143"/>
      <c r="I115" s="5143"/>
      <c r="J115" s="5143"/>
      <c r="K115" s="5143"/>
      <c r="L115" s="5143"/>
      <c r="M115" s="5143"/>
      <c r="N115" s="5144"/>
      <c r="O115" s="5146"/>
      <c r="P115" s="5147"/>
      <c r="Q115" s="5144"/>
      <c r="R115" s="5144"/>
      <c r="S115" s="5144"/>
      <c r="T115" s="5144"/>
      <c r="U115" s="5144"/>
      <c r="V115" s="3045" t="s">
        <v>10248</v>
      </c>
      <c r="W115" s="3031" t="s">
        <v>3227</v>
      </c>
      <c r="X115" s="3045" t="s">
        <v>10248</v>
      </c>
      <c r="Y115" s="3031" t="s">
        <v>3227</v>
      </c>
      <c r="Z115" s="3045" t="s">
        <v>10248</v>
      </c>
      <c r="AA115" s="3031" t="s">
        <v>3227</v>
      </c>
      <c r="AB115" s="3045" t="s">
        <v>10248</v>
      </c>
      <c r="AC115" s="3031" t="s">
        <v>3227</v>
      </c>
      <c r="AD115" s="3045" t="s">
        <v>10248</v>
      </c>
      <c r="AE115" s="3031" t="s">
        <v>3227</v>
      </c>
      <c r="AF115" s="3045" t="s">
        <v>10248</v>
      </c>
      <c r="AG115" s="2825" t="s">
        <v>3227</v>
      </c>
      <c r="AH115" s="2821"/>
      <c r="AI115" s="3030"/>
      <c r="AK115" s="2816" t="s">
        <v>10225</v>
      </c>
      <c r="AL115" s="2816">
        <v>1</v>
      </c>
      <c r="AM115" s="2816">
        <v>2</v>
      </c>
      <c r="AN115" s="2816">
        <v>3</v>
      </c>
      <c r="AO115" s="2816">
        <v>4</v>
      </c>
      <c r="AP115" s="2816">
        <v>5</v>
      </c>
      <c r="AQ115" s="2816">
        <v>6</v>
      </c>
      <c r="AR115" s="2816">
        <v>7</v>
      </c>
      <c r="AS115" s="2816"/>
      <c r="AT115" s="3023"/>
      <c r="AV115" s="2816"/>
      <c r="AW115" s="3023"/>
      <c r="AX115" s="3023"/>
      <c r="AZ115" s="3023"/>
      <c r="BA115" s="3023"/>
      <c r="BB115" s="3023"/>
      <c r="BC115" s="3023"/>
    </row>
    <row r="116" spans="1:57" x14ac:dyDescent="0.2">
      <c r="A116" s="3030"/>
      <c r="B116" s="3070">
        <f t="shared" si="12"/>
        <v>4</v>
      </c>
      <c r="C116" s="5106"/>
      <c r="D116" s="5124" t="s">
        <v>9654</v>
      </c>
      <c r="E116" s="5125"/>
      <c r="F116" s="5126"/>
      <c r="G116" s="5127"/>
      <c r="H116" s="5127"/>
      <c r="I116" s="5127"/>
      <c r="J116" s="5128"/>
      <c r="K116" s="5124" t="s">
        <v>1729</v>
      </c>
      <c r="L116" s="5129"/>
      <c r="M116" s="5125"/>
      <c r="N116" s="3036">
        <f>SUMPRODUCT(INDEX('Tablas Técnicas'!$O$10:$X$639,,5),--(INDEX('Tablas Técnicas'!$O$10:$X$639,,1)=F116),--(ISNUMBER(MATCH(INDEX('Tablas Técnicas'!$O$10:$X$639,,2),$AL116:$AR116,0))))</f>
        <v>0</v>
      </c>
      <c r="O116" s="3036" t="str">
        <f>V116+X116+Z116+AB116+AD116+AF116&amp;" / "&amp;SUMPRODUCT(INDEX('Tablas Técnicas'!$O$10:$X$639,,IF(D116="Primario",3,4)),--(INDEX('Tablas Técnicas'!$O$10:$X$639,,1)=F116),--(ISNUMBER(MATCH(INDEX('Tablas Técnicas'!$O$10:$X$639,,2),$AL116:$AR116,0))))+IF(AND(K116&lt;&gt;"-",K116&lt;&gt;""),SUMPRODUCT(INDEX('Tablas Técnicas'!$O$10:$X$639,,IF(K116="Mantenido",6,IF(K116="Sostenimiento menor",7,IF(K116="Sostenimiento mayor",8,0)))),--(INDEX('Tablas Técnicas'!$O$10:$X$639,,1)=F116),--(ISNUMBER(MATCH(INDEX('Tablas Técnicas'!$O$10:$X$639,,2),$AL116:$AR116,0)))),0)+AT116</f>
        <v>0 / 0</v>
      </c>
      <c r="P116" s="3036" t="str">
        <f>W116+Y116+AA116+AC116+AE116+AG116&amp;" / "&amp;IF(K116="Mantenido",SUMPRODUCT(INDEX('Tablas Técnicas'!$O$10:$X$639,,6),--(INDEX('Tablas Técnicas'!$O$10:$X$639,,1)=F116),--(ISNUMBER(MATCH(INDEX('Tablas Técnicas'!$O$10:$X$639,,2),$AL116:$AR116,0)))),0)</f>
        <v>0 / 0</v>
      </c>
      <c r="Q116" s="5130" t="str">
        <f>IFERROR(VLOOKUP(F116,'Tablas Técnicas'!$C$9:$H$81,5,FALSE),"")</f>
        <v/>
      </c>
      <c r="R116" s="5130"/>
      <c r="S116" s="5130"/>
      <c r="T116" s="5130"/>
      <c r="U116" s="5130"/>
      <c r="V116" s="2826"/>
      <c r="W116" s="2827"/>
      <c r="X116" s="2826"/>
      <c r="Y116" s="2828"/>
      <c r="Z116" s="2829"/>
      <c r="AA116" s="2827"/>
      <c r="AB116" s="2826"/>
      <c r="AC116" s="2828"/>
      <c r="AD116" s="2829"/>
      <c r="AE116" s="2827"/>
      <c r="AF116" s="2826"/>
      <c r="AG116" s="2830"/>
      <c r="AH116" s="2821"/>
      <c r="AI116" s="3030"/>
      <c r="AJ116" s="2816">
        <v>1</v>
      </c>
      <c r="AK116" s="2816">
        <f>P112</f>
        <v>1</v>
      </c>
      <c r="AL116" s="2816" t="str">
        <f>IF(INDEX($A$1:$AI$44,27+Tablas!A$1,4+6*($AJ116-1))="","",INDEX($A$1:$AI$44,27+Tablas!A$1,4+6*($AJ116-1)))</f>
        <v>Opción</v>
      </c>
      <c r="AM116" s="2816" t="str">
        <f>IF(INDEX($A$1:$AI$44,27+Tablas!B$1,4+6*($AJ116-1))="","",INDEX($A$1:$AI$44,27+Tablas!B$1,4+6*($AJ116-1)))</f>
        <v/>
      </c>
      <c r="AN116" s="2816" t="str">
        <f>IF(INDEX($A$1:$AI$44,27+Tablas!C$1,4+6*($AJ116-1))="","",INDEX($A$1:$AI$44,27+Tablas!C$1,4+6*($AJ116-1)))</f>
        <v/>
      </c>
      <c r="AO116" s="2816" t="str">
        <f>IF(INDEX($A$1:$AI$44,27+Tablas!D$1,4+6*($AJ116-1))="","",INDEX($A$1:$AI$44,27+Tablas!D$1,4+6*($AJ116-1)))</f>
        <v/>
      </c>
      <c r="AP116" s="2816" t="str">
        <f>IF(INDEX($A$1:$AI$44,27+Tablas!E$1,4+6*($AJ116-1))="","",INDEX($A$1:$AI$44,27+Tablas!E$1,4+6*($AJ116-1)))</f>
        <v/>
      </c>
      <c r="AQ116" s="2816" t="str">
        <f>IF(INDEX($A$1:$AI$44,27+Tablas!F$1,4+6*($AJ116-1))="","",INDEX($A$1:$AI$44,27+Tablas!F$1,4+6*($AJ116-1)))</f>
        <v/>
      </c>
      <c r="AR116" s="2816" t="str">
        <f>IF(INDEX($A$1:$AI$44,27+Tablas!G$1,4+6*($AJ116-1))="","",INDEX($A$1:$AI$44,27+Tablas!G$1,4+6*($AJ116-1)))</f>
        <v/>
      </c>
      <c r="AS116" s="2816"/>
      <c r="AT116" s="3023">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V116" s="2816" t="str">
        <f>IFERROR(VLOOKUP(F116,'Tablas Técnicas'!$C$9:$H$81,6,FALSE),"")</f>
        <v/>
      </c>
      <c r="AW116" s="3023" t="b">
        <f>OR(AV116="",ISNUMBER(SEARCH($O121,AV116)),ISNUMBER(SEARCH($Q121,AV116)),ISNUMBER(SEARCH($O122,AV116)),ISNUMBER(SEARCH($Q122,AV116)),ISNUMBER(SEARCH($O123,AV116)),ISNUMBER(SEARCH($Q123,AV116)),)</f>
        <v>1</v>
      </c>
      <c r="AX116" s="3023" t="b">
        <f>AND(P112&gt;1,OR(MAX(I129:I135)=1,MAX(I129:I135)=2))</f>
        <v>0</v>
      </c>
      <c r="AZ116" s="3023"/>
      <c r="BA116" s="3023"/>
      <c r="BB116" s="2816" t="str">
        <f>IF(F116="","",F116&amp;" ("&amp;IF(AL116="","",AL116&amp;", ")&amp;IF(AM116="","",AM116&amp;", ")&amp;IF(AN116="","",AN116&amp;", ")&amp;IF(AO116="","",AO116&amp;", ")&amp;IF(AP116="","",AP116&amp;", ")&amp;IF(AQ116="","",AQ116&amp;", ")&amp;IF(AR116="","",AR116&amp;", "))</f>
        <v/>
      </c>
      <c r="BC116" s="3023" t="str">
        <f t="shared" ref="BC116:BC118" si="13">IFERROR(LEFT(BB116,LEN(BB116)-2)&amp;"), ","")</f>
        <v/>
      </c>
      <c r="BE116" s="2822"/>
    </row>
    <row r="117" spans="1:57" x14ac:dyDescent="0.2">
      <c r="A117" s="3030"/>
      <c r="B117" s="3070">
        <f t="shared" si="12"/>
        <v>4</v>
      </c>
      <c r="C117" s="5106"/>
      <c r="D117" s="5090" t="s">
        <v>790</v>
      </c>
      <c r="E117" s="5091"/>
      <c r="F117" s="5112"/>
      <c r="G117" s="5113"/>
      <c r="H117" s="5113"/>
      <c r="I117" s="5113"/>
      <c r="J117" s="5114"/>
      <c r="K117" s="5115" t="s">
        <v>1729</v>
      </c>
      <c r="L117" s="5116"/>
      <c r="M117" s="5117"/>
      <c r="N117" s="3039">
        <f>SUMPRODUCT(INDEX('Tablas Técnicas'!$O$10:$X$639,,5),--(INDEX('Tablas Técnicas'!$O$10:$X$639,,1)=F117),--(ISNUMBER(MATCH(INDEX('Tablas Técnicas'!$O$10:$X$639,,2),$AL117:$AR117,0))))</f>
        <v>0</v>
      </c>
      <c r="O117" s="3039" t="str">
        <f>V117+X117+Z117+AB117+AD117+AF117&amp;" / "&amp;SUMPRODUCT(INDEX('Tablas Técnicas'!$O$10:$X$639,,IF(D117="Primario",3,4)),--(INDEX('Tablas Técnicas'!$O$10:$X$639,,1)=F117),--(ISNUMBER(MATCH(INDEX('Tablas Técnicas'!$O$10:$X$639,,2),$AL117:$AR117,0))))+IF(AND(K117&lt;&gt;"-",K117&lt;&gt;""),SUMPRODUCT(INDEX('Tablas Técnicas'!$O$10:$X$639,,IF(K117="Mantenido",6,IF(K117="Sostenimiento menor",7,IF(K117="Sostenimiento mayor",8,0)))),--(INDEX('Tablas Técnicas'!$O$10:$X$639,,1)=F117),--(ISNUMBER(MATCH(INDEX('Tablas Técnicas'!$O$10:$X$639,,2),$AL117:$AR117,0)))),0)+AT117</f>
        <v>0 / 0</v>
      </c>
      <c r="P117" s="3039" t="str">
        <f>W117+Y117+AA117+AC117+AE117+AG117&amp;" / "&amp;IF(K117="Mantenido",SUMPRODUCT(INDEX('Tablas Técnicas'!$O$10:$X$639,,6),--(INDEX('Tablas Técnicas'!$O$10:$X$639,,1)=F117),--(ISNUMBER(MATCH(INDEX('Tablas Técnicas'!$O$10:$X$639,,2),$AL117:$AR117,0)))),0)</f>
        <v>0 / 0</v>
      </c>
      <c r="Q117" s="5092" t="str">
        <f>IFERROR(VLOOKUP(F117,'Tablas Técnicas'!$C$9:$H$81,5,FALSE),"")</f>
        <v/>
      </c>
      <c r="R117" s="5092"/>
      <c r="S117" s="5092"/>
      <c r="T117" s="5092"/>
      <c r="U117" s="5092"/>
      <c r="V117" s="3034"/>
      <c r="W117" s="2831"/>
      <c r="X117" s="3034"/>
      <c r="Y117" s="3033"/>
      <c r="Z117" s="3028"/>
      <c r="AA117" s="2831"/>
      <c r="AB117" s="3034"/>
      <c r="AC117" s="3033"/>
      <c r="AD117" s="3028"/>
      <c r="AE117" s="2831"/>
      <c r="AF117" s="3034"/>
      <c r="AG117" s="2832"/>
      <c r="AH117" s="2821"/>
      <c r="AI117" s="3030"/>
      <c r="AJ117" s="2816">
        <v>2</v>
      </c>
      <c r="AK117" s="2816">
        <f>P112</f>
        <v>1</v>
      </c>
      <c r="AL117" s="2816" t="str">
        <f>IF(INDEX($A$1:$AI$44,27+Tablas!A$1,4+6*($AJ117-1))="","",INDEX($A$1:$AI$44,27+Tablas!A$1,4+6*($AJ117-1)))</f>
        <v>Opción</v>
      </c>
      <c r="AM117" s="2816" t="str">
        <f>IF(INDEX($A$1:$AI$44,27+Tablas!B$1,4+6*($AJ117-1))="","",INDEX($A$1:$AI$44,27+Tablas!B$1,4+6*($AJ117-1)))</f>
        <v/>
      </c>
      <c r="AN117" s="2816" t="str">
        <f>IF(INDEX($A$1:$AI$44,27+Tablas!C$1,4+6*($AJ117-1))="","",INDEX($A$1:$AI$44,27+Tablas!C$1,4+6*($AJ117-1)))</f>
        <v/>
      </c>
      <c r="AO117" s="2816" t="str">
        <f>IF(INDEX($A$1:$AI$44,27+Tablas!D$1,4+6*($AJ117-1))="","",INDEX($A$1:$AI$44,27+Tablas!D$1,4+6*($AJ117-1)))</f>
        <v/>
      </c>
      <c r="AP117" s="2816" t="str">
        <f>IF(INDEX($A$1:$AI$44,27+Tablas!E$1,4+6*($AJ117-1))="","",INDEX($A$1:$AI$44,27+Tablas!E$1,4+6*($AJ117-1)))</f>
        <v/>
      </c>
      <c r="AQ117" s="2816" t="str">
        <f>IF(INDEX($A$1:$AI$44,27+Tablas!F$1,4+6*($AJ117-1))="","",INDEX($A$1:$AI$44,27+Tablas!F$1,4+6*($AJ117-1)))</f>
        <v/>
      </c>
      <c r="AR117" s="2816" t="str">
        <f>IF(INDEX($A$1:$AI$44,27+Tablas!G$1,4+6*($AJ117-1))="","",INDEX($A$1:$AI$44,27+Tablas!G$1,4+6*($AJ117-1)))</f>
        <v/>
      </c>
      <c r="AS117" s="2816"/>
      <c r="AT117" s="3023">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V117" s="2816" t="str">
        <f>IFERROR(VLOOKUP(F117,'Tablas Técnicas'!$C$9:$H$81,6,FALSE),"")</f>
        <v/>
      </c>
      <c r="AW117" s="3023" t="b">
        <f>OR(AX101="",OR(ISNUMBER(SEARCH($O121,AV117)),ISNUMBER(SEARCH($Q121,AV117)),ISNUMBER(SEARCH($O122,AV117)),ISNUMBER(SEARCH($Q122,AV117)),ISNUMBER(SEARCH($O123,AV117)),ISNUMBER(SEARCH($Q123,AV117)),))</f>
        <v>1</v>
      </c>
      <c r="AX117" s="3023" t="b">
        <f>AND(P112&gt;1,OR(MAX(O129:O135)=1,MAX(O129:O135)=2))</f>
        <v>0</v>
      </c>
      <c r="AZ117" s="3023"/>
      <c r="BA117" s="3023"/>
      <c r="BB117" s="2816" t="str">
        <f>IF(F117="","",F117&amp;" ("&amp;IF(AL117="","",AL117&amp;", ")&amp;IF(AM117="","",AM117&amp;", ")&amp;IF(AN117="","",AN117&amp;", ")&amp;IF(AO117="","",AO117&amp;", ")&amp;IF(AP117="","",AP117&amp;", ")&amp;IF(AQ117="","",AQ117&amp;", ")&amp;IF(AR117="","",AR117&amp;", "))</f>
        <v/>
      </c>
      <c r="BC117" s="3023" t="str">
        <f t="shared" si="13"/>
        <v/>
      </c>
      <c r="BE117" s="2822"/>
    </row>
    <row r="118" spans="1:57" x14ac:dyDescent="0.2">
      <c r="A118" s="3030"/>
      <c r="B118" s="3070">
        <f t="shared" si="12"/>
        <v>4</v>
      </c>
      <c r="C118" s="5106"/>
      <c r="D118" s="5131" t="s">
        <v>790</v>
      </c>
      <c r="E118" s="5132"/>
      <c r="F118" s="5118"/>
      <c r="G118" s="5119"/>
      <c r="H118" s="5119"/>
      <c r="I118" s="5119"/>
      <c r="J118" s="5120"/>
      <c r="K118" s="5121" t="s">
        <v>1729</v>
      </c>
      <c r="L118" s="5122"/>
      <c r="M118" s="5123"/>
      <c r="N118" s="3040">
        <f>SUMPRODUCT(INDEX('Tablas Técnicas'!$O$10:$X$639,,5),--(INDEX('Tablas Técnicas'!$O$10:$X$639,,1)=F118),--(ISNUMBER(MATCH(INDEX('Tablas Técnicas'!$O$10:$X$639,,2),$AL118:$AR118,0))))</f>
        <v>0</v>
      </c>
      <c r="O118" s="3040" t="str">
        <f>V118+X118+Z118+AB118+AD118+AF118&amp;" / "&amp;SUMPRODUCT(INDEX('Tablas Técnicas'!$O$10:$X$639,,IF(D118="Primario",3,4)),--(INDEX('Tablas Técnicas'!$O$10:$X$639,,1)=F118),--(ISNUMBER(MATCH(INDEX('Tablas Técnicas'!$O$10:$X$639,,2),$AL118:$AR118,0))))+IF(AND(K118&lt;&gt;"-",K118&lt;&gt;""),SUMPRODUCT(INDEX('Tablas Técnicas'!$O$10:$X$639,,IF(K118="Mantenido",6,IF(K118="Sostenimiento menor",7,IF(K118="Sostenimiento mayor",8,0)))),--(INDEX('Tablas Técnicas'!$O$10:$X$639,,1)=F118),--(ISNUMBER(MATCH(INDEX('Tablas Técnicas'!$O$10:$X$639,,2),$AL118:$AR118,0)))),0)+AT118</f>
        <v>0 / 0</v>
      </c>
      <c r="P118" s="3040" t="str">
        <f>W118+Y118+AA118+AC118+AE118+AG118&amp;" / "&amp;IF(K118="Mantenido",SUMPRODUCT(INDEX('Tablas Técnicas'!$O$10:$X$639,,6),--(INDEX('Tablas Técnicas'!$O$10:$X$639,,1)=F118),--(ISNUMBER(MATCH(INDEX('Tablas Técnicas'!$O$10:$X$639,,2),$AL118:$AR118,0)))),0)</f>
        <v>0 / 0</v>
      </c>
      <c r="Q118" s="5133" t="str">
        <f>IFERROR(VLOOKUP(F118,'Tablas Técnicas'!$C$9:$H$81,5,FALSE),"")</f>
        <v/>
      </c>
      <c r="R118" s="5133"/>
      <c r="S118" s="5133"/>
      <c r="T118" s="5133"/>
      <c r="U118" s="5133"/>
      <c r="V118" s="2833"/>
      <c r="W118" s="2834"/>
      <c r="X118" s="3038"/>
      <c r="Y118" s="3037"/>
      <c r="Z118" s="3029"/>
      <c r="AA118" s="2834"/>
      <c r="AB118" s="3038"/>
      <c r="AC118" s="3037"/>
      <c r="AD118" s="3029"/>
      <c r="AE118" s="2834"/>
      <c r="AF118" s="3038"/>
      <c r="AG118" s="2835"/>
      <c r="AH118" s="2821"/>
      <c r="AI118" s="3030"/>
      <c r="AJ118" s="2816">
        <v>3</v>
      </c>
      <c r="AK118" s="2816">
        <f>P112</f>
        <v>1</v>
      </c>
      <c r="AL118" s="2816" t="str">
        <f>IF(INDEX($A$1:$AI$44,27+Tablas!A$1,4+6*($AJ118-1))="","",INDEX($A$1:$AI$44,27+Tablas!A$1,4+6*($AJ118-1)))</f>
        <v>Opción</v>
      </c>
      <c r="AM118" s="2816" t="str">
        <f>IF(INDEX($A$1:$AI$44,27+Tablas!B$1,4+6*($AJ118-1))="","",INDEX($A$1:$AI$44,27+Tablas!B$1,4+6*($AJ118-1)))</f>
        <v/>
      </c>
      <c r="AN118" s="2816" t="str">
        <f>IF(INDEX($A$1:$AI$44,27+Tablas!C$1,4+6*($AJ118-1))="","",INDEX($A$1:$AI$44,27+Tablas!C$1,4+6*($AJ118-1)))</f>
        <v/>
      </c>
      <c r="AO118" s="2816" t="str">
        <f>IF(INDEX($A$1:$AI$44,27+Tablas!D$1,4+6*($AJ118-1))="","",INDEX($A$1:$AI$44,27+Tablas!D$1,4+6*($AJ118-1)))</f>
        <v/>
      </c>
      <c r="AP118" s="2816" t="str">
        <f>IF(INDEX($A$1:$AI$44,27+Tablas!E$1,4+6*($AJ118-1))="","",INDEX($A$1:$AI$44,27+Tablas!E$1,4+6*($AJ118-1)))</f>
        <v/>
      </c>
      <c r="AQ118" s="2816" t="str">
        <f>IF(INDEX($A$1:$AI$44,27+Tablas!F$1,4+6*($AJ118-1))="","",INDEX($A$1:$AI$44,27+Tablas!F$1,4+6*($AJ118-1)))</f>
        <v/>
      </c>
      <c r="AR118" s="2816" t="str">
        <f>IF(INDEX($A$1:$AI$44,27+Tablas!G$1,4+6*($AJ118-1))="","",INDEX($A$1:$AI$44,27+Tablas!G$1,4+6*($AJ118-1)))</f>
        <v/>
      </c>
      <c r="AS118" s="2816"/>
      <c r="AT118" s="3023">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2816" t="str">
        <f>IFERROR(VLOOKUP(F118,'Tablas Técnicas'!$C$9:$H$81,6,FALSE),"")</f>
        <v/>
      </c>
      <c r="AW118" s="3023" t="b">
        <f>OR(AV118="",OR(ISNUMBER(SEARCH($O121,AV118)),ISNUMBER(SEARCH($Q121,AV118)),ISNUMBER(SEARCH($O122,AV118)),ISNUMBER(SEARCH($Q122,AV118)),ISNUMBER(SEARCH($O123,AV118)),ISNUMBER(SEARCH($Q123,AV118)),))</f>
        <v>1</v>
      </c>
      <c r="AX118" s="3023" t="b">
        <f>AND(P112&gt;1,OR(MAX(U129:U135)=1,MAX(U129:U135)=2))</f>
        <v>0</v>
      </c>
      <c r="AZ118" s="3023"/>
      <c r="BA118" s="3023"/>
      <c r="BB118" s="2816" t="str">
        <f>IF(F118="","",F118&amp;" ("&amp;IF(AL118="","",AL118&amp;", ")&amp;IF(AM118="","",AM118&amp;", ")&amp;IF(AN118="","",AN118&amp;", ")&amp;IF(AO118="","",AO118&amp;", ")&amp;IF(AP118="","",AP118&amp;", ")&amp;IF(AQ118="","",AQ118&amp;", ")&amp;IF(AR118="","",AR118&amp;", "))</f>
        <v/>
      </c>
      <c r="BC118" s="3023" t="str">
        <f t="shared" si="13"/>
        <v/>
      </c>
      <c r="BE118" s="2822"/>
    </row>
    <row r="119" spans="1:57" x14ac:dyDescent="0.2">
      <c r="A119" s="3030"/>
      <c r="B119" s="3070">
        <f t="shared" si="12"/>
        <v>4</v>
      </c>
      <c r="C119" s="5106"/>
      <c r="D119" s="5090" t="s">
        <v>790</v>
      </c>
      <c r="E119" s="5091"/>
      <c r="F119" s="5112"/>
      <c r="G119" s="5113"/>
      <c r="H119" s="5113"/>
      <c r="I119" s="5113"/>
      <c r="J119" s="5114"/>
      <c r="K119" s="5115" t="s">
        <v>1729</v>
      </c>
      <c r="L119" s="5116"/>
      <c r="M119" s="5117"/>
      <c r="N119" s="3039">
        <f>SUMPRODUCT(INDEX('Tablas Técnicas'!$O$10:$X$639,,5),--(INDEX('Tablas Técnicas'!$O$10:$X$639,,1)=F119),--(ISNUMBER(MATCH(INDEX('Tablas Técnicas'!$O$10:$X$639,,2),$AL119:$AR119,0))))</f>
        <v>0</v>
      </c>
      <c r="O119" s="3039" t="str">
        <f>V119+X119+Z119+AB119+AD119+AF119&amp;" / "&amp;SUMPRODUCT(INDEX('Tablas Técnicas'!$O$10:$X$639,,IF(D119="Primario",3,4)),--(INDEX('Tablas Técnicas'!$O$10:$X$639,,1)=F119),--(ISNUMBER(MATCH(INDEX('Tablas Técnicas'!$O$10:$X$639,,2),$AL119:$AR119,0))))+IF(AND(K119&lt;&gt;"-",K119&lt;&gt;""),SUMPRODUCT(INDEX('Tablas Técnicas'!$O$10:$X$639,,IF(K119="Mantenido",6,IF(K119="Sostenimiento menor",7,IF(K119="Sostenimiento mayor",8,0)))),--(INDEX('Tablas Técnicas'!$O$10:$X$639,,1)=F119),--(ISNUMBER(MATCH(INDEX('Tablas Técnicas'!$O$10:$X$639,,2),$AL119:$AR119,0)))),0)+AT119</f>
        <v>0 / 0</v>
      </c>
      <c r="P119" s="3039" t="str">
        <f>W119+Y119+AA119+AC119+AE119+AG119&amp;" / "&amp;IF(K119="Mantenido",SUMPRODUCT(INDEX('Tablas Técnicas'!$O$10:$X$639,,6),--(INDEX('Tablas Técnicas'!$O$10:$X$639,,1)=F119),--(ISNUMBER(MATCH(INDEX('Tablas Técnicas'!$O$10:$X$639,,2),$AL119:$AR119,0)))),0)</f>
        <v>0 / 0</v>
      </c>
      <c r="Q119" s="5092" t="str">
        <f>IFERROR(VLOOKUP(F119,'Tablas Técnicas'!$C$9:$H$81,5,FALSE),"")</f>
        <v/>
      </c>
      <c r="R119" s="5092"/>
      <c r="S119" s="5092"/>
      <c r="T119" s="5092"/>
      <c r="U119" s="5092"/>
      <c r="V119" s="3034"/>
      <c r="W119" s="2831"/>
      <c r="X119" s="3034"/>
      <c r="Y119" s="3033"/>
      <c r="Z119" s="3028"/>
      <c r="AA119" s="2831"/>
      <c r="AB119" s="3034"/>
      <c r="AC119" s="3033"/>
      <c r="AD119" s="3028"/>
      <c r="AE119" s="2831"/>
      <c r="AF119" s="3034"/>
      <c r="AG119" s="2832"/>
      <c r="AH119" s="2821"/>
      <c r="AI119" s="3030"/>
      <c r="AJ119" s="2816">
        <v>4</v>
      </c>
      <c r="AK119" s="2816">
        <f>P112</f>
        <v>1</v>
      </c>
      <c r="AL119" s="2816" t="str">
        <f>IF(INDEX($A$1:$AI$44,27+Tablas!A$1,4+6*($AJ119-1))="","",INDEX($A$1:$AI$44,27+Tablas!A$1,4+6*($AJ119-1)))</f>
        <v>Opción</v>
      </c>
      <c r="AM119" s="2816" t="str">
        <f>IF(INDEX($A$1:$AI$44,27+Tablas!B$1,4+6*($AJ119-1))="","",INDEX($A$1:$AI$44,27+Tablas!B$1,4+6*($AJ119-1)))</f>
        <v/>
      </c>
      <c r="AN119" s="2816" t="str">
        <f>IF(INDEX($A$1:$AI$44,27+Tablas!C$1,4+6*($AJ119-1))="","",INDEX($A$1:$AI$44,27+Tablas!C$1,4+6*($AJ119-1)))</f>
        <v/>
      </c>
      <c r="AO119" s="2816" t="str">
        <f>IF(INDEX($A$1:$AI$44,27+Tablas!D$1,4+6*($AJ119-1))="","",INDEX($A$1:$AI$44,27+Tablas!D$1,4+6*($AJ119-1)))</f>
        <v/>
      </c>
      <c r="AP119" s="2816" t="str">
        <f>IF(INDEX($A$1:$AI$44,27+Tablas!E$1,4+6*($AJ119-1))="","",INDEX($A$1:$AI$44,27+Tablas!E$1,4+6*($AJ119-1)))</f>
        <v/>
      </c>
      <c r="AQ119" s="2816" t="str">
        <f>IF(INDEX($A$1:$AI$44,27+Tablas!F$1,4+6*($AJ119-1))="","",INDEX($A$1:$AI$44,27+Tablas!F$1,4+6*($AJ119-1)))</f>
        <v/>
      </c>
      <c r="AR119" s="2816" t="str">
        <f>IF(INDEX($A$1:$AI$44,27+Tablas!G$1,4+6*($AJ119-1))="","",INDEX($A$1:$AI$44,27+Tablas!G$1,4+6*($AJ119-1)))</f>
        <v/>
      </c>
      <c r="AS119" s="2816"/>
      <c r="AT119" s="3023">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2816" t="str">
        <f>IFERROR(VLOOKUP(F119,'Tablas Técnicas'!$C$9:$H$81,6,FALSE),"")</f>
        <v/>
      </c>
      <c r="AW119" s="3023" t="b">
        <f>OR(AV119="",OR(ISNUMBER(SEARCH($O121,AV119)),ISNUMBER(SEARCH($Q121,AV119)),ISNUMBER(SEARCH($O122,AV119)),ISNUMBER(SEARCH($Q122,AV119)),ISNUMBER(SEARCH($O123,AV119)),ISNUMBER(SEARCH($Q123,AV119)),))</f>
        <v>1</v>
      </c>
      <c r="AX119" s="3023" t="b">
        <f>AND(P112&gt;1,OR(MAX(AA129:AA135)=1,MAX(AA129:AA135)=2))</f>
        <v>0</v>
      </c>
      <c r="AZ119" s="3023"/>
      <c r="BA119" s="3023"/>
      <c r="BB119" s="2816" t="str">
        <f>IF(F119="","",F119&amp;" ("&amp;IF(AL119="","",AL119&amp;", ")&amp;IF(AM119="","",AM119&amp;", ")&amp;IF(AN119="","",AN119&amp;", ")&amp;IF(AO119="","",AO119&amp;", ")&amp;IF(AP119="","",AP119&amp;", ")&amp;IF(AQ119="","",AQ119&amp;", ")&amp;IF(AR119="","",AR119&amp;", "))</f>
        <v/>
      </c>
      <c r="BC119" s="3023" t="str">
        <f>IFERROR(LEFT(BB119,LEN(BB119)-2)&amp;"), ","")</f>
        <v/>
      </c>
    </row>
    <row r="120" spans="1:57" x14ac:dyDescent="0.2">
      <c r="A120" s="3030"/>
      <c r="B120" s="3070">
        <f t="shared" si="12"/>
        <v>4</v>
      </c>
      <c r="C120" s="5106"/>
      <c r="D120" s="5093" t="s">
        <v>790</v>
      </c>
      <c r="E120" s="5094"/>
      <c r="F120" s="5084"/>
      <c r="G120" s="5085"/>
      <c r="H120" s="5085"/>
      <c r="I120" s="5085"/>
      <c r="J120" s="5086"/>
      <c r="K120" s="5087" t="s">
        <v>1729</v>
      </c>
      <c r="L120" s="5088"/>
      <c r="M120" s="5089"/>
      <c r="N120" s="3032">
        <f>SUMPRODUCT(INDEX('Tablas Técnicas'!$O$10:$X$639,,5),--(INDEX('Tablas Técnicas'!$O$10:$X$639,,1)=F120),--(ISNUMBER(MATCH(INDEX('Tablas Técnicas'!$O$10:$X$639,,2),$AL120:$AR120,0))))</f>
        <v>0</v>
      </c>
      <c r="O120" s="3032" t="str">
        <f>V120+X120+Z120+AB120+AD120+AF120&amp;" / "&amp;SUMPRODUCT(INDEX('Tablas Técnicas'!$O$10:$X$639,,IF(D120="Primario",3,4)),--(INDEX('Tablas Técnicas'!$O$10:$X$639,,1)=F120),--(ISNUMBER(MATCH(INDEX('Tablas Técnicas'!$O$10:$X$639,,2),$AL120:$AR120,0))))+IF(AND(K120&lt;&gt;"-",K120&lt;&gt;""),SUMPRODUCT(INDEX('Tablas Técnicas'!$O$10:$X$639,,IF(K120="Mantenido",6,IF(K120="Sostenimiento menor",7,IF(K120="Sostenimiento mayor",8,0)))),--(INDEX('Tablas Técnicas'!$O$10:$X$639,,1)=F120),--(ISNUMBER(MATCH(INDEX('Tablas Técnicas'!$O$10:$X$639,,2),$AL120:$AR120,0)))),0)+AT120</f>
        <v>0 / 0</v>
      </c>
      <c r="P120" s="3032" t="str">
        <f>W120+Y120+AA120+AC120+AE120+AG120&amp;" / "&amp;IF(K120="Mantenido",SUMPRODUCT(INDEX('Tablas Técnicas'!$O$10:$X$639,,6),--(INDEX('Tablas Técnicas'!$O$10:$X$639,,1)=F120),--(ISNUMBER(MATCH(INDEX('Tablas Técnicas'!$O$10:$X$639,,2),$AL120:$AR120,0)))),0)</f>
        <v>0 / 0</v>
      </c>
      <c r="Q120" s="5095" t="str">
        <f>IFERROR(VLOOKUP(F120,'Tablas Técnicas'!$C$9:$H$81,5,FALSE),"")</f>
        <v/>
      </c>
      <c r="R120" s="5095"/>
      <c r="S120" s="5095"/>
      <c r="T120" s="5095"/>
      <c r="U120" s="5095"/>
      <c r="V120" s="2836"/>
      <c r="W120" s="2837"/>
      <c r="X120" s="2836"/>
      <c r="Y120" s="2838"/>
      <c r="Z120" s="2839"/>
      <c r="AA120" s="2837"/>
      <c r="AB120" s="2836"/>
      <c r="AC120" s="2838"/>
      <c r="AD120" s="2839"/>
      <c r="AE120" s="2837"/>
      <c r="AF120" s="2836"/>
      <c r="AG120" s="2840"/>
      <c r="AH120" s="2821"/>
      <c r="AI120" s="3030"/>
      <c r="AJ120" s="2816">
        <v>5</v>
      </c>
      <c r="AK120" s="2816">
        <f>P112</f>
        <v>1</v>
      </c>
      <c r="AL120" s="2816" t="str">
        <f>IF(INDEX($A$1:$AI$44,27+Tablas!A$1,4+6*($AJ120-1))="","",INDEX($A$1:$AI$44,27+Tablas!A$1,4+6*($AJ120-1)))</f>
        <v>Opción</v>
      </c>
      <c r="AM120" s="2816" t="str">
        <f>IF(INDEX($A$1:$AI$44,27+Tablas!B$1,4+6*($AJ120-1))="","",INDEX($A$1:$AI$44,27+Tablas!B$1,4+6*($AJ120-1)))</f>
        <v/>
      </c>
      <c r="AN120" s="2816" t="str">
        <f>IF(INDEX($A$1:$AI$44,27+Tablas!C$1,4+6*($AJ120-1))="","",INDEX($A$1:$AI$44,27+Tablas!C$1,4+6*($AJ120-1)))</f>
        <v/>
      </c>
      <c r="AO120" s="2816" t="str">
        <f>IF(INDEX($A$1:$AI$44,27+Tablas!D$1,4+6*($AJ120-1))="","",INDEX($A$1:$AI$44,27+Tablas!D$1,4+6*($AJ120-1)))</f>
        <v/>
      </c>
      <c r="AP120" s="2816" t="str">
        <f>IF(INDEX($A$1:$AI$44,27+Tablas!E$1,4+6*($AJ120-1))="","",INDEX($A$1:$AI$44,27+Tablas!E$1,4+6*($AJ120-1)))</f>
        <v/>
      </c>
      <c r="AQ120" s="2816" t="str">
        <f>IF(INDEX($A$1:$AI$44,27+Tablas!F$1,4+6*($AJ120-1))="","",INDEX($A$1:$AI$44,27+Tablas!F$1,4+6*($AJ120-1)))</f>
        <v/>
      </c>
      <c r="AR120" s="2816" t="str">
        <f>IF(INDEX($A$1:$AI$44,27+Tablas!G$1,4+6*($AJ120-1))="","",INDEX($A$1:$AI$44,27+Tablas!G$1,4+6*($AJ120-1)))</f>
        <v/>
      </c>
      <c r="AS120" s="2816"/>
      <c r="AT120" s="3023">
        <f>IF(AND(ISNUMBER(FIND(V$14&amp;"+",$Q120)),V120&gt;0),MID($Q120,FIND(V$14&amp;"+",$Q120)+4,1),0)+IF(AND(ISNUMBER(FIND(X$14&amp;"+",$Q120)),X120&gt;0),MID($Q120,FIND(X$14&amp;"+",$Q120)+4,1),0)+IF(AND(ISNUMBER(FIND(Z$14&amp;"+",$Q120)),Z120&gt;0),MID($Q120,FIND(Z$14&amp;"+",$Q120)+4,1),0)+IF(AND(ISNUMBER(FIND(AB$14&amp;"+",$Q120)),AB120&gt;0),MID($Q120,FIND(AB$14&amp;"+",$Q120)+4,1),0)+IF(AND(ISNUMBER(FIND(AD$14&amp;"+",$Q120)),AD120&gt;0),MID($Q120,FIND(AD$14&amp;"+",$Q120)+4,1),0)+IF(AND(ISNUMBER(FIND(AF$14&amp;"+",$Q120)),AF120&gt;0),MID($Q120,FIND(AF$14&amp;"+",$Q120)+4,1),0)</f>
        <v>0</v>
      </c>
      <c r="AV120" s="2816" t="str">
        <f>IFERROR(VLOOKUP(F120,'Tablas Técnicas'!$C$9:$H$81,6,FALSE),"")</f>
        <v/>
      </c>
      <c r="AW120" s="3023" t="b">
        <f>OR(AV120="",OR(ISNUMBER(SEARCH($O121,AV120)),ISNUMBER(SEARCH($Q121,AV120)),ISNUMBER(SEARCH($O122,AV120)),ISNUMBER(SEARCH($Q122,AV120)),ISNUMBER(SEARCH($O123,AV120)),ISNUMBER(SEARCH($Q123,AV120)),))</f>
        <v>1</v>
      </c>
      <c r="AX120" s="3023" t="b">
        <f>AND(P112&gt;1,OR(MAX(AG129:AG135)=1,MAX(AG129:AG135)=2))</f>
        <v>0</v>
      </c>
      <c r="AZ120" s="3023"/>
      <c r="BA120" s="3023"/>
      <c r="BB120" s="2816" t="str">
        <f>IF(F120="","",F120&amp;" ("&amp;IF(AL120="","",AL120&amp;", ")&amp;IF(AM120="","",AM120&amp;", ")&amp;IF(AN120="","",AN120&amp;", ")&amp;IF(AO120="","",AO120&amp;", ")&amp;IF(AP120="","",AP120&amp;", ")&amp;IF(AQ120="","",AQ120&amp;", ")&amp;IF(AR120="","",AR120&amp;", "))</f>
        <v/>
      </c>
      <c r="BC120" s="3023" t="str">
        <f t="shared" ref="BC120" si="14">IFERROR(LEFT(BB120,LEN(BB120)-2)&amp;"), ","")</f>
        <v/>
      </c>
      <c r="BE120" s="2822"/>
    </row>
    <row r="121" spans="1:57" x14ac:dyDescent="0.2">
      <c r="A121" s="3030"/>
      <c r="B121" s="3070">
        <f t="shared" si="12"/>
        <v>4</v>
      </c>
      <c r="C121" s="5106"/>
      <c r="D121" s="5096" t="s">
        <v>3218</v>
      </c>
      <c r="E121" s="5097"/>
      <c r="F121" s="5102"/>
      <c r="G121" s="5103"/>
      <c r="H121" s="5103"/>
      <c r="I121" s="5103"/>
      <c r="J121" s="5104"/>
      <c r="K121" s="5128"/>
      <c r="L121" s="5176"/>
      <c r="M121" s="5177"/>
      <c r="N121" s="2841" t="str">
        <f>IF(F121="","",SUMPRODUCT(--(INDEX('Tablas Técnicas'!$C$114:$F$200,,1)=F121),--(INDEX('Tablas Técnicas'!$C$114:$F$200,,2)=K121),INDEX('Tablas Técnicas'!$C$114:$F$200,,3)))</f>
        <v/>
      </c>
      <c r="O121" s="5178"/>
      <c r="P121" s="5179"/>
      <c r="Q121" s="5180"/>
      <c r="R121" s="5179"/>
      <c r="S121" s="3036" t="str">
        <f>IF(K121="","","Nivel: "&amp;MAX(1,SUMPRODUCT(--(INDEX('Tablas Técnicas'!$C$114:$F$200,,1)=F121),--(INDEX('Tablas Técnicas'!$C$114:$F$200,,2)=K121),INDEX('Tablas Técnicas'!$C$114:$F$200,,4))))</f>
        <v/>
      </c>
      <c r="T121" s="2842"/>
      <c r="U121" s="2843" t="str">
        <f>IFERROR("("&amp;VLOOKUP(F121,'Tablas Técnicas'!$C$86:$E$108,3,FALSE)&amp;")","")</f>
        <v/>
      </c>
      <c r="V121" s="5195" t="s">
        <v>10245</v>
      </c>
      <c r="W121" s="5196"/>
      <c r="X121" s="5196"/>
      <c r="Y121" s="5196"/>
      <c r="Z121" s="5196"/>
      <c r="AA121" s="5196"/>
      <c r="AB121" s="5196"/>
      <c r="AC121" s="5196"/>
      <c r="AD121" s="5196"/>
      <c r="AE121" s="5196"/>
      <c r="AF121" s="5196"/>
      <c r="AG121" s="5197"/>
      <c r="AH121" s="2821"/>
      <c r="AI121" s="3030"/>
      <c r="AJ121" s="2816">
        <v>1</v>
      </c>
      <c r="AL121" s="2816" t="e">
        <f>VLOOKUP(F121,'Tablas Técnicas'!$C$86:$E$108,2,FALSE)</f>
        <v>#N/A</v>
      </c>
      <c r="AN121" s="2817"/>
      <c r="AR121" s="2816"/>
      <c r="AS121" s="2816"/>
      <c r="AT121" s="2816"/>
      <c r="AU121" s="2816"/>
      <c r="AV121" s="3023"/>
      <c r="AW121" s="3023" t="b">
        <f>F121="Atadura Elemental"</f>
        <v>0</v>
      </c>
      <c r="AX121" s="3023"/>
      <c r="AZ121" s="3023"/>
      <c r="BA121" s="3023"/>
      <c r="BB121" s="3023"/>
      <c r="BC121" s="2816" t="str">
        <f>IF(F121="","",F121&amp;IF(K121="",""," ("&amp;IF(F121="Atadura Elemental",O121&amp;IF(Q121="","",", "&amp;Q121),K121)&amp;")")&amp;", ")</f>
        <v/>
      </c>
      <c r="BE121" s="2822"/>
    </row>
    <row r="122" spans="1:57" ht="11.25" customHeight="1" x14ac:dyDescent="0.2">
      <c r="A122" s="3030"/>
      <c r="B122" s="3070">
        <f t="shared" si="12"/>
        <v>4</v>
      </c>
      <c r="C122" s="5106"/>
      <c r="D122" s="5098"/>
      <c r="E122" s="5099"/>
      <c r="F122" s="5171"/>
      <c r="G122" s="5172"/>
      <c r="H122" s="5172"/>
      <c r="I122" s="5172"/>
      <c r="J122" s="5173"/>
      <c r="K122" s="5114"/>
      <c r="L122" s="5156"/>
      <c r="M122" s="5157"/>
      <c r="N122" s="2844" t="str">
        <f>IF(F122="","",SUMPRODUCT(--(INDEX('Tablas Técnicas'!$C$114:$F$200,,1)=F122),--(INDEX('Tablas Técnicas'!$C$114:$F$200,,2)=K122),INDEX('Tablas Técnicas'!$C$114:$F$200,,3)))</f>
        <v/>
      </c>
      <c r="O122" s="5158"/>
      <c r="P122" s="5159"/>
      <c r="Q122" s="5160"/>
      <c r="R122" s="5159"/>
      <c r="S122" s="3039" t="str">
        <f>IF(K122="","","Nivel: "&amp;MAX(1,SUMPRODUCT(--(INDEX('Tablas Técnicas'!$C$114:$F$200,,1)=F122),--(INDEX('Tablas Técnicas'!$C$114:$F$200,,2)=K122),INDEX('Tablas Técnicas'!$C$114:$F$200,,4))))</f>
        <v/>
      </c>
      <c r="T122" s="3015"/>
      <c r="U122" s="3016" t="str">
        <f>IFERROR("("&amp;VLOOKUP(F122,'Tablas Técnicas'!$C$86:$E$108,3,FALSE)&amp;")","")</f>
        <v/>
      </c>
      <c r="V122" s="5198" t="s">
        <v>9659</v>
      </c>
      <c r="W122" s="5199"/>
      <c r="X122" s="5200"/>
      <c r="Y122" s="3025">
        <v>0</v>
      </c>
      <c r="Z122" s="5201" t="s">
        <v>9660</v>
      </c>
      <c r="AA122" s="5202"/>
      <c r="AB122" s="5203"/>
      <c r="AC122" s="3025">
        <v>0</v>
      </c>
      <c r="AD122" s="5204" t="str">
        <f>"Ki repartido / total: "&amp;AL133&amp;IF(AM132=0,""," ("&amp;AM132&amp;")")&amp;" / "&amp;AL132&amp;IF(AM133=0,""," ("&amp;AM133&amp;")")</f>
        <v>Ki repartido / total: 0 / 0</v>
      </c>
      <c r="AE122" s="5205"/>
      <c r="AF122" s="5205"/>
      <c r="AG122" s="5206"/>
      <c r="AH122" s="2821"/>
      <c r="AI122" s="3030"/>
      <c r="AJ122" s="2816">
        <v>2</v>
      </c>
      <c r="AL122" s="2816" t="e">
        <f>VLOOKUP(F122,'Tablas Técnicas'!$C$86:$E$108,2,FALSE)</f>
        <v>#N/A</v>
      </c>
      <c r="AN122" s="2817"/>
      <c r="AR122" s="2816"/>
      <c r="AS122" s="2816"/>
      <c r="AT122" s="2816"/>
      <c r="AU122" s="2816"/>
      <c r="AV122" s="3023"/>
      <c r="AW122" s="3023" t="b">
        <f>F122="Atadura Elemental"</f>
        <v>0</v>
      </c>
      <c r="AX122" s="3023"/>
      <c r="AZ122" s="3023"/>
      <c r="BA122" s="3023"/>
      <c r="BB122" s="3023"/>
      <c r="BC122" s="2816" t="str">
        <f>IF(F122="","",F122&amp;IF(K122="",""," ("&amp;IF(F122="Atadura Elemental",O122&amp;IF(Q122="","",", "&amp;Q122),K122)&amp;")")&amp;", ")</f>
        <v/>
      </c>
      <c r="BE122" s="2822"/>
    </row>
    <row r="123" spans="1:57" x14ac:dyDescent="0.2">
      <c r="A123" s="3030"/>
      <c r="B123" s="3070">
        <f t="shared" si="12"/>
        <v>4</v>
      </c>
      <c r="C123" s="5106"/>
      <c r="D123" s="5100"/>
      <c r="E123" s="5101"/>
      <c r="F123" s="5168"/>
      <c r="G123" s="5169"/>
      <c r="H123" s="5169"/>
      <c r="I123" s="5169"/>
      <c r="J123" s="5170"/>
      <c r="K123" s="5148"/>
      <c r="L123" s="5149"/>
      <c r="M123" s="5150"/>
      <c r="N123" s="2845" t="str">
        <f>IF(F123="","",SUMPRODUCT(--(INDEX('Tablas Técnicas'!$C$114:$F$200,,1)=F123),--(INDEX('Tablas Técnicas'!$C$114:$F$200,,2)=K123),INDEX('Tablas Técnicas'!$C$114:$F$200,,3)))</f>
        <v/>
      </c>
      <c r="O123" s="5151"/>
      <c r="P123" s="5152"/>
      <c r="Q123" s="5153"/>
      <c r="R123" s="5152"/>
      <c r="S123" s="3032" t="str">
        <f>IF(K123="","","Nivel: "&amp;MAX(1,SUMPRODUCT(--(INDEX('Tablas Técnicas'!$C$114:$F$200,,1)=F123),--(INDEX('Tablas Técnicas'!$C$114:$F$200,,2)=K123),INDEX('Tablas Técnicas'!$C$114:$F$200,,4))))</f>
        <v/>
      </c>
      <c r="T123" s="2846"/>
      <c r="U123" s="3017" t="str">
        <f>IFERROR("("&amp;VLOOKUP(F123,'Tablas Técnicas'!$C$86:$E$108,3,FALSE)&amp;")","")</f>
        <v/>
      </c>
      <c r="V123" s="5154"/>
      <c r="W123" s="5154"/>
      <c r="X123" s="5154"/>
      <c r="Y123" s="5154"/>
      <c r="Z123" s="5154"/>
      <c r="AA123" s="5154"/>
      <c r="AB123" s="5154"/>
      <c r="AC123" s="5154"/>
      <c r="AD123" s="5154"/>
      <c r="AE123" s="5154"/>
      <c r="AF123" s="5154"/>
      <c r="AG123" s="5155"/>
      <c r="AH123" s="2821"/>
      <c r="AI123" s="3030"/>
      <c r="AJ123" s="2816">
        <v>3</v>
      </c>
      <c r="AL123" s="2816" t="e">
        <f>VLOOKUP(F123,'Tablas Técnicas'!$C$86:$E$108,2,FALSE)</f>
        <v>#N/A</v>
      </c>
      <c r="AN123" s="2817"/>
      <c r="AR123" s="3023"/>
      <c r="AT123" s="3023"/>
      <c r="AV123" s="3023"/>
      <c r="AW123" s="3023" t="b">
        <f>F123="Atadura Elemental"</f>
        <v>0</v>
      </c>
      <c r="AX123" s="3023"/>
      <c r="AZ123" s="3023"/>
      <c r="BA123" s="3023"/>
      <c r="BB123" s="3023"/>
      <c r="BC123" s="2816" t="str">
        <f>IF(F123="","",F123&amp;IF(K123="",""," ("&amp;IF(F123="Atadura Elemental",O123&amp;IF(Q123="","",", "&amp;Q123),K123)&amp;")")&amp;", ")</f>
        <v/>
      </c>
      <c r="BE123" s="2822"/>
    </row>
    <row r="124" spans="1:57" x14ac:dyDescent="0.2">
      <c r="A124" s="3030"/>
      <c r="B124" s="3070">
        <f t="shared" si="12"/>
        <v>4</v>
      </c>
      <c r="C124" s="5106"/>
      <c r="D124" s="5069" t="s">
        <v>10241</v>
      </c>
      <c r="E124" s="5070"/>
      <c r="F124" s="5070"/>
      <c r="G124" s="5070"/>
      <c r="H124" s="5070"/>
      <c r="I124" s="5070"/>
      <c r="J124" s="5070"/>
      <c r="K124" s="5070"/>
      <c r="L124" s="5070"/>
      <c r="M124" s="5070"/>
      <c r="N124" s="5070"/>
      <c r="O124" s="5070"/>
      <c r="P124" s="5070"/>
      <c r="Q124" s="5070"/>
      <c r="R124" s="5070"/>
      <c r="S124" s="5070"/>
      <c r="T124" s="5070"/>
      <c r="U124" s="5070"/>
      <c r="V124" s="5070"/>
      <c r="W124" s="5070"/>
      <c r="X124" s="5070"/>
      <c r="Y124" s="5070"/>
      <c r="Z124" s="5070"/>
      <c r="AA124" s="5070"/>
      <c r="AB124" s="5070"/>
      <c r="AC124" s="5070"/>
      <c r="AD124" s="5070"/>
      <c r="AE124" s="5070"/>
      <c r="AF124" s="5070"/>
      <c r="AG124" s="5071"/>
      <c r="AH124" s="2821"/>
      <c r="AI124" s="3030"/>
      <c r="AN124" s="2817" t="s">
        <v>9661</v>
      </c>
      <c r="AO124" s="2816" t="e">
        <f>LEFT(BC116&amp;BC117&amp;BC118&amp;BC119&amp;BC120,LEN(BC116&amp;BC117&amp;BC118&amp;BC119&amp;BC120)-2)</f>
        <v>#VALUE!</v>
      </c>
      <c r="AR124" s="3023"/>
      <c r="AT124" s="2817"/>
      <c r="AU124" s="2817"/>
      <c r="AV124" s="3023"/>
      <c r="AW124" s="3023"/>
      <c r="AX124" s="3023"/>
      <c r="AZ124" s="3023"/>
      <c r="BA124" s="3023"/>
      <c r="BB124" s="3023"/>
      <c r="BC124" s="3023"/>
      <c r="BE124" s="2822"/>
    </row>
    <row r="125" spans="1:57" x14ac:dyDescent="0.2">
      <c r="A125" s="3030"/>
      <c r="B125" s="3070">
        <f t="shared" si="12"/>
        <v>4</v>
      </c>
      <c r="C125" s="5106"/>
      <c r="D125" s="5066" t="str">
        <f>IF(F116="","",F116)</f>
        <v/>
      </c>
      <c r="E125" s="5067"/>
      <c r="F125" s="5067"/>
      <c r="G125" s="5067"/>
      <c r="H125" s="5067"/>
      <c r="I125" s="5068"/>
      <c r="J125" s="5066" t="str">
        <f>IF(F117="","",F117)</f>
        <v/>
      </c>
      <c r="K125" s="5067"/>
      <c r="L125" s="5067"/>
      <c r="M125" s="5067"/>
      <c r="N125" s="5067"/>
      <c r="O125" s="5068"/>
      <c r="P125" s="5067" t="str">
        <f>IF(F118="","",F118)</f>
        <v/>
      </c>
      <c r="Q125" s="5067"/>
      <c r="R125" s="5067"/>
      <c r="S125" s="5067"/>
      <c r="T125" s="5067"/>
      <c r="U125" s="5068"/>
      <c r="V125" s="5066" t="str">
        <f>IF(F119="","",F119)</f>
        <v/>
      </c>
      <c r="W125" s="5067"/>
      <c r="X125" s="5067"/>
      <c r="Y125" s="5067"/>
      <c r="Z125" s="5067"/>
      <c r="AA125" s="5068"/>
      <c r="AB125" s="5067" t="str">
        <f>IF(F120="","",F120)</f>
        <v/>
      </c>
      <c r="AC125" s="5067"/>
      <c r="AD125" s="5067"/>
      <c r="AE125" s="5067"/>
      <c r="AF125" s="5067"/>
      <c r="AG125" s="5083"/>
      <c r="AH125" s="2821"/>
      <c r="AI125" s="3030"/>
      <c r="AN125" s="2817" t="s">
        <v>9662</v>
      </c>
      <c r="AO125" s="2816" t="e">
        <f>LEFT(BC121&amp;BC122&amp;BC123,LEN(BC121&amp;BC122&amp;BC123)-2)</f>
        <v>#VALUE!</v>
      </c>
      <c r="AR125" s="3023"/>
      <c r="AT125" s="2817"/>
      <c r="AU125" s="2817"/>
      <c r="AV125" s="3023"/>
      <c r="AW125" s="3023"/>
      <c r="AX125" s="3023"/>
      <c r="AZ125" s="3023"/>
      <c r="BA125" s="3023"/>
      <c r="BB125" s="3023"/>
      <c r="BC125" s="3023"/>
      <c r="BE125" s="2822"/>
    </row>
    <row r="126" spans="1:57" x14ac:dyDescent="0.2">
      <c r="A126" s="3030"/>
      <c r="B126" s="3070">
        <f t="shared" si="12"/>
        <v>4</v>
      </c>
      <c r="C126" s="5106"/>
      <c r="D126" s="3046" t="s">
        <v>2121</v>
      </c>
      <c r="E126" s="3040" t="str">
        <f>IFERROR(VLOOKUP(D125,'Tablas Técnicas'!$C$9:$H$81,3,FALSE),"")</f>
        <v/>
      </c>
      <c r="F126" s="3019"/>
      <c r="G126" s="3018"/>
      <c r="H126" s="3018" t="s">
        <v>1636</v>
      </c>
      <c r="I126" s="3040" t="str">
        <f>IFERROR(VLOOKUP(D125,'Tablas Técnicas'!$C$9:$H$81,4,FALSE),"")</f>
        <v/>
      </c>
      <c r="J126" s="3046" t="s">
        <v>2121</v>
      </c>
      <c r="K126" s="3040" t="str">
        <f>IFERROR(VLOOKUP(J125,'Tablas Técnicas'!$C$9:$H$81,3,FALSE),"")</f>
        <v/>
      </c>
      <c r="L126" s="3019"/>
      <c r="M126" s="3018"/>
      <c r="N126" s="3018" t="s">
        <v>1636</v>
      </c>
      <c r="O126" s="2847" t="str">
        <f>IFERROR(VLOOKUP(J125,'Tablas Técnicas'!$C$9:$H$81,4,FALSE),"")</f>
        <v/>
      </c>
      <c r="P126" s="3018" t="s">
        <v>2121</v>
      </c>
      <c r="Q126" s="3040" t="str">
        <f>IFERROR(VLOOKUP(P125,'Tablas Técnicas'!$C$9:$H$81,3,FALSE),"")</f>
        <v/>
      </c>
      <c r="R126" s="3019"/>
      <c r="S126" s="3018"/>
      <c r="T126" s="3018" t="s">
        <v>1636</v>
      </c>
      <c r="U126" s="3040" t="str">
        <f>IFERROR(VLOOKUP(P125,'Tablas Técnicas'!$C$9:$H$81,4,FALSE),"")</f>
        <v/>
      </c>
      <c r="V126" s="3046" t="s">
        <v>2121</v>
      </c>
      <c r="W126" s="3040" t="str">
        <f>IFERROR(VLOOKUP(V125,'Tablas Técnicas'!$C$9:$H$81,3,FALSE),"")</f>
        <v/>
      </c>
      <c r="X126" s="3019"/>
      <c r="Y126" s="3018"/>
      <c r="Z126" s="3018" t="s">
        <v>1636</v>
      </c>
      <c r="AA126" s="2847" t="str">
        <f>IFERROR(VLOOKUP(V125,'Tablas Técnicas'!$C$9:$H$81,4,FALSE),"")</f>
        <v/>
      </c>
      <c r="AB126" s="3018" t="s">
        <v>2121</v>
      </c>
      <c r="AC126" s="3040" t="str">
        <f>IFERROR(VLOOKUP(AB125,'Tablas Técnicas'!$C$9:$H$81,3,FALSE),"")</f>
        <v/>
      </c>
      <c r="AD126" s="3019"/>
      <c r="AE126" s="3018"/>
      <c r="AF126" s="3018" t="s">
        <v>1636</v>
      </c>
      <c r="AG126" s="2848" t="str">
        <f>IFERROR(VLOOKUP(AB125,'Tablas Técnicas'!$C$9:$H$81,4,FALSE),"")</f>
        <v/>
      </c>
      <c r="AH126" s="2821"/>
      <c r="AI126" s="3030"/>
      <c r="AN126" s="2817"/>
      <c r="AR126" s="3023"/>
      <c r="AT126" s="3023"/>
      <c r="AV126" s="3023"/>
      <c r="AW126" s="3023"/>
      <c r="AX126" s="3023"/>
      <c r="AZ126" s="3023"/>
      <c r="BA126" s="3023"/>
      <c r="BB126" s="3023"/>
      <c r="BC126" s="3023"/>
    </row>
    <row r="127" spans="1:57" x14ac:dyDescent="0.2">
      <c r="A127" s="3030"/>
      <c r="B127" s="3070">
        <f t="shared" si="12"/>
        <v>4</v>
      </c>
      <c r="C127" s="5106"/>
      <c r="D127" s="3047" t="s">
        <v>9663</v>
      </c>
      <c r="E127" s="3018"/>
      <c r="F127" s="3019"/>
      <c r="G127" s="3020"/>
      <c r="H127" s="3020"/>
      <c r="I127" s="3017" t="str">
        <f>AV116</f>
        <v/>
      </c>
      <c r="J127" s="2849" t="s">
        <v>9663</v>
      </c>
      <c r="K127" s="2850"/>
      <c r="L127" s="2851"/>
      <c r="M127" s="2852"/>
      <c r="N127" s="2852"/>
      <c r="O127" s="2853" t="str">
        <f>IFERROR(VLOOKUP(J125,'Tablas Técnicas'!$C$9:$H$81,6,FALSE),"")</f>
        <v/>
      </c>
      <c r="P127" s="2854" t="s">
        <v>9663</v>
      </c>
      <c r="Q127" s="2850"/>
      <c r="R127" s="2851"/>
      <c r="S127" s="2852"/>
      <c r="T127" s="2852"/>
      <c r="U127" s="2855" t="str">
        <f>IFERROR(VLOOKUP(P125,'Tablas Técnicas'!$C$9:$H$81,6,FALSE),"")</f>
        <v/>
      </c>
      <c r="V127" s="2849" t="s">
        <v>9663</v>
      </c>
      <c r="W127" s="2850"/>
      <c r="X127" s="2851"/>
      <c r="Y127" s="2852"/>
      <c r="Z127" s="2852"/>
      <c r="AA127" s="2853" t="str">
        <f>IFERROR(VLOOKUP(V125,'Tablas Técnicas'!$C$9:$H$81,6,FALSE),"")</f>
        <v/>
      </c>
      <c r="AB127" s="2854" t="s">
        <v>9663</v>
      </c>
      <c r="AC127" s="2850"/>
      <c r="AD127" s="2851"/>
      <c r="AE127" s="2852"/>
      <c r="AF127" s="2852"/>
      <c r="AG127" s="2856" t="str">
        <f>IFERROR(VLOOKUP(AB125,'Tablas Técnicas'!$C$9:$H$81,6,FALSE),"")</f>
        <v/>
      </c>
      <c r="AH127" s="2821"/>
      <c r="AI127" s="3030"/>
      <c r="AJ127" s="2816" t="s">
        <v>9664</v>
      </c>
      <c r="AR127" s="3023"/>
      <c r="AT127" s="3023"/>
      <c r="AV127" s="3023"/>
      <c r="AW127" s="3023"/>
      <c r="AX127" s="3023"/>
      <c r="AZ127" s="3023"/>
      <c r="BA127" s="3023"/>
      <c r="BB127" s="2816"/>
      <c r="BC127" s="2816"/>
      <c r="BE127" s="2822"/>
    </row>
    <row r="128" spans="1:57" x14ac:dyDescent="0.2">
      <c r="A128" s="3030"/>
      <c r="B128" s="3070">
        <f t="shared" si="12"/>
        <v>4</v>
      </c>
      <c r="C128" s="5106"/>
      <c r="D128" s="5066" t="s">
        <v>3226</v>
      </c>
      <c r="E128" s="5067"/>
      <c r="F128" s="5067"/>
      <c r="G128" s="5067"/>
      <c r="H128" s="5068"/>
      <c r="I128" s="2857" t="s">
        <v>1676</v>
      </c>
      <c r="J128" s="5066" t="s">
        <v>3226</v>
      </c>
      <c r="K128" s="5067"/>
      <c r="L128" s="5067"/>
      <c r="M128" s="5067"/>
      <c r="N128" s="5068"/>
      <c r="O128" s="2858" t="s">
        <v>1676</v>
      </c>
      <c r="P128" s="5066" t="s">
        <v>3226</v>
      </c>
      <c r="Q128" s="5067"/>
      <c r="R128" s="5067"/>
      <c r="S128" s="5067"/>
      <c r="T128" s="5068"/>
      <c r="U128" s="2858" t="s">
        <v>1676</v>
      </c>
      <c r="V128" s="5066" t="s">
        <v>3226</v>
      </c>
      <c r="W128" s="5067"/>
      <c r="X128" s="5067"/>
      <c r="Y128" s="5067"/>
      <c r="Z128" s="5068"/>
      <c r="AA128" s="2858" t="s">
        <v>1676</v>
      </c>
      <c r="AB128" s="5066" t="s">
        <v>3226</v>
      </c>
      <c r="AC128" s="5067"/>
      <c r="AD128" s="5067"/>
      <c r="AE128" s="5067"/>
      <c r="AF128" s="5068"/>
      <c r="AG128" s="2859" t="s">
        <v>1676</v>
      </c>
      <c r="AH128" s="2821"/>
      <c r="AI128" s="3030"/>
      <c r="AJ128" s="2816" t="s">
        <v>9665</v>
      </c>
      <c r="AQ128" s="2816"/>
      <c r="AR128" s="2816"/>
      <c r="AS128" s="2816"/>
      <c r="AT128" s="2816"/>
      <c r="AU128" s="2816"/>
      <c r="AV128" s="2816"/>
      <c r="AW128" s="2816"/>
      <c r="AX128" s="2816"/>
      <c r="AY128" s="2816"/>
      <c r="AZ128" s="3023"/>
      <c r="BA128" s="3023"/>
      <c r="BB128" s="3023"/>
      <c r="BC128" s="3023"/>
      <c r="BE128" s="2822"/>
    </row>
    <row r="129" spans="1:57" x14ac:dyDescent="0.2">
      <c r="A129" s="3030"/>
      <c r="B129" s="3070">
        <f t="shared" si="12"/>
        <v>4</v>
      </c>
      <c r="C129" s="5106"/>
      <c r="D129" s="5081"/>
      <c r="E129" s="5082"/>
      <c r="F129" s="5082"/>
      <c r="G129" s="5082"/>
      <c r="H129" s="5082"/>
      <c r="I129" s="2860" t="str">
        <f>IF(OR(D125="",D129=""),"",MAX(1,SUMPRODUCT(--(INDEX('Tablas Técnicas'!$O$10:$X$639,,1)=D125),--(INDEX('Tablas Técnicas'!$O$10:$X$639,,2)=D129),INDEX('Tablas Técnicas'!$O$10:$X$639,,9))))</f>
        <v/>
      </c>
      <c r="J129" s="5082"/>
      <c r="K129" s="5082"/>
      <c r="L129" s="5082"/>
      <c r="M129" s="5082"/>
      <c r="N129" s="5082"/>
      <c r="O129" s="2860" t="str">
        <f>IF(OR(J125="",J129=""),"",MAX(1,SUMPRODUCT(--(INDEX('Tablas Técnicas'!$O$10:$X$639,,1)=J125),--(INDEX('Tablas Técnicas'!$O$10:$X$639,,2)=J129),INDEX('Tablas Técnicas'!$O$10:$X$639,,9))))</f>
        <v/>
      </c>
      <c r="P129" s="5081"/>
      <c r="Q129" s="5082"/>
      <c r="R129" s="5082"/>
      <c r="S129" s="5082"/>
      <c r="T129" s="5082"/>
      <c r="U129" s="2860" t="str">
        <f>IF(OR(P125="",P129=""),"",MAX(1,SUMPRODUCT(--(INDEX('Tablas Técnicas'!$O$10:$X$639,,1)=P125),--(INDEX('Tablas Técnicas'!$O$10:$X$639,,2)=P129),INDEX('Tablas Técnicas'!$O$10:$X$639,,9))))</f>
        <v/>
      </c>
      <c r="V129" s="5081"/>
      <c r="W129" s="5082"/>
      <c r="X129" s="5082"/>
      <c r="Y129" s="5082"/>
      <c r="Z129" s="5082"/>
      <c r="AA129" s="2860" t="str">
        <f>IF(OR(V125="",V129=""),"",MAX(1,SUMPRODUCT(--(INDEX('Tablas Técnicas'!$O$10:$X$639,,1)=V125),--(INDEX('Tablas Técnicas'!$O$10:$X$639,,2)=V129),INDEX('Tablas Técnicas'!$O$10:$X$639,,9))))</f>
        <v/>
      </c>
      <c r="AB129" s="5081"/>
      <c r="AC129" s="5082"/>
      <c r="AD129" s="5082"/>
      <c r="AE129" s="5082"/>
      <c r="AF129" s="5082"/>
      <c r="AG129" s="2861" t="str">
        <f>IF(OR(AB125="",AB129=""),"",MAX(1,SUMPRODUCT(--(INDEX('Tablas Técnicas'!$O$10:$X$639,,1)=AB125),--(INDEX('Tablas Técnicas'!$O$10:$X$639,,2)=AB129),INDEX('Tablas Técnicas'!$O$10:$X$639,,9))))</f>
        <v/>
      </c>
      <c r="AH129" s="2821">
        <f>P112</f>
        <v>1</v>
      </c>
      <c r="AI129" s="3030"/>
      <c r="AJ129" s="2816" t="s">
        <v>9667</v>
      </c>
      <c r="AK129" s="3023"/>
      <c r="AL129" s="3023"/>
      <c r="AM129" s="3023"/>
      <c r="AN129" s="3023"/>
      <c r="AO129" s="3023"/>
      <c r="AP129" s="2824"/>
      <c r="AQ129" s="2824"/>
      <c r="AR129" s="2824"/>
      <c r="AS129" s="2824"/>
      <c r="AT129" s="2824"/>
      <c r="AU129" s="2824"/>
      <c r="AV129" s="2824"/>
      <c r="AW129" s="2824"/>
      <c r="AX129" s="2824"/>
      <c r="AY129" s="2824"/>
      <c r="AZ129" s="3023"/>
      <c r="BA129" s="3023"/>
      <c r="BB129" s="3023"/>
      <c r="BC129" s="3023"/>
      <c r="BE129" s="2822"/>
    </row>
    <row r="130" spans="1:57" x14ac:dyDescent="0.2">
      <c r="A130" s="3030"/>
      <c r="B130" s="3070">
        <f t="shared" si="12"/>
        <v>4</v>
      </c>
      <c r="C130" s="5106"/>
      <c r="D130" s="5064"/>
      <c r="E130" s="5065"/>
      <c r="F130" s="5065"/>
      <c r="G130" s="5065"/>
      <c r="H130" s="5065"/>
      <c r="I130" s="2862" t="str">
        <f>IF(OR(D125="",D130=""),"",MAX(1,SUMPRODUCT(--(INDEX('Tablas Técnicas'!$O$10:$X$639,,1)=D125),--(INDEX('Tablas Técnicas'!$O$10:$X$639,,2)=D130),INDEX('Tablas Técnicas'!$O$10:$X$639,,9))))</f>
        <v/>
      </c>
      <c r="J130" s="5065"/>
      <c r="K130" s="5065"/>
      <c r="L130" s="5065"/>
      <c r="M130" s="5065"/>
      <c r="N130" s="5065"/>
      <c r="O130" s="2862" t="str">
        <f>IF(OR(J125="",J130=""),"",MAX(1,SUMPRODUCT(--(INDEX('Tablas Técnicas'!$O$10:$X$639,,1)=J125),--(INDEX('Tablas Técnicas'!$O$10:$X$639,,2)=J130),INDEX('Tablas Técnicas'!$O$10:$X$639,,9))))</f>
        <v/>
      </c>
      <c r="P130" s="5064"/>
      <c r="Q130" s="5065"/>
      <c r="R130" s="5065"/>
      <c r="S130" s="5065"/>
      <c r="T130" s="5065"/>
      <c r="U130" s="2862" t="str">
        <f>IF(OR(P125="",P130=""),"",MAX(1,SUMPRODUCT(--(INDEX('Tablas Técnicas'!$O$10:$X$639,,1)=P125),--(INDEX('Tablas Técnicas'!$O$10:$X$639,,2)=P130),INDEX('Tablas Técnicas'!$O$10:$X$639,,9))))</f>
        <v/>
      </c>
      <c r="V130" s="5064"/>
      <c r="W130" s="5065"/>
      <c r="X130" s="5065"/>
      <c r="Y130" s="5065"/>
      <c r="Z130" s="5065"/>
      <c r="AA130" s="2862" t="str">
        <f>IF(OR(V125="",V130=""),"",MAX(1,SUMPRODUCT(--(INDEX('Tablas Técnicas'!$O$10:$X$639,,1)=V125),--(INDEX('Tablas Técnicas'!$O$10:$X$639,,2)=V130),INDEX('Tablas Técnicas'!$O$10:$X$639,,9))))</f>
        <v/>
      </c>
      <c r="AB130" s="5064"/>
      <c r="AC130" s="5065"/>
      <c r="AD130" s="5065"/>
      <c r="AE130" s="5065"/>
      <c r="AF130" s="5065"/>
      <c r="AG130" s="2863" t="str">
        <f>IF(OR(AB125="",AB130=""),"",MAX(1,SUMPRODUCT(--(INDEX('Tablas Técnicas'!$O$10:$X$639,,1)=AB125),--(INDEX('Tablas Técnicas'!$O$10:$X$639,,2)=AB130),INDEX('Tablas Técnicas'!$O$10:$X$639,,9))))</f>
        <v/>
      </c>
      <c r="AH130" s="2821">
        <f>P112</f>
        <v>1</v>
      </c>
      <c r="AI130" s="3030"/>
      <c r="AJ130" s="3023" t="s">
        <v>1646</v>
      </c>
      <c r="AK130" s="3023" t="s">
        <v>1772</v>
      </c>
      <c r="AL130" s="3023" t="s">
        <v>1651</v>
      </c>
      <c r="AM130" s="3023" t="s">
        <v>1656</v>
      </c>
      <c r="AN130" s="3023" t="s">
        <v>1664</v>
      </c>
      <c r="AO130" s="3023" t="s">
        <v>1665</v>
      </c>
      <c r="AQ130" s="2816"/>
      <c r="AR130" s="2816"/>
      <c r="AS130" s="2816"/>
      <c r="AT130" s="2816"/>
      <c r="AU130" s="2816"/>
      <c r="AV130" s="3023"/>
      <c r="AW130" s="2816"/>
      <c r="AX130" s="2816"/>
      <c r="AY130" s="2816"/>
      <c r="AZ130" s="2816"/>
      <c r="BA130" s="2816"/>
      <c r="BB130" s="2816"/>
      <c r="BC130" s="2816"/>
    </row>
    <row r="131" spans="1:57" x14ac:dyDescent="0.2">
      <c r="A131" s="3030"/>
      <c r="B131" s="3070">
        <f t="shared" si="12"/>
        <v>4</v>
      </c>
      <c r="C131" s="5106"/>
      <c r="D131" s="5064"/>
      <c r="E131" s="5065"/>
      <c r="F131" s="5065"/>
      <c r="G131" s="5065"/>
      <c r="H131" s="5065"/>
      <c r="I131" s="2862" t="str">
        <f>IF(OR(D125="",D131=""),"",MAX(1,SUMPRODUCT(--(INDEX('Tablas Técnicas'!$O$10:$X$639,,1)=D125),--(INDEX('Tablas Técnicas'!$O$10:$X$639,,2)=D131),INDEX('Tablas Técnicas'!$O$10:$X$639,,9))))</f>
        <v/>
      </c>
      <c r="J131" s="5065"/>
      <c r="K131" s="5065"/>
      <c r="L131" s="5065"/>
      <c r="M131" s="5065"/>
      <c r="N131" s="5065"/>
      <c r="O131" s="2862" t="str">
        <f>IF(OR(J125="",J131=""),"",MAX(1,SUMPRODUCT(--(INDEX('Tablas Técnicas'!$O$10:$X$639,,1)=J125),--(INDEX('Tablas Técnicas'!$O$10:$X$639,,2)=J131),INDEX('Tablas Técnicas'!$O$10:$X$639,,9))))</f>
        <v/>
      </c>
      <c r="P131" s="5064"/>
      <c r="Q131" s="5065"/>
      <c r="R131" s="5065"/>
      <c r="S131" s="5065"/>
      <c r="T131" s="5065"/>
      <c r="U131" s="2862" t="str">
        <f>IF(OR(P125="",P131=""),"",MAX(1,SUMPRODUCT(--(INDEX('Tablas Técnicas'!$O$10:$X$639,,1)=P125),--(INDEX('Tablas Técnicas'!$O$10:$X$639,,2)=P131),INDEX('Tablas Técnicas'!$O$10:$X$639,,9))))</f>
        <v/>
      </c>
      <c r="V131" s="5064"/>
      <c r="W131" s="5065"/>
      <c r="X131" s="5065"/>
      <c r="Y131" s="5065"/>
      <c r="Z131" s="5065"/>
      <c r="AA131" s="2862" t="str">
        <f>IF(OR(V125="",V131=""),"",MAX(1,SUMPRODUCT(--(INDEX('Tablas Técnicas'!$O$10:$X$639,,1)=V125),--(INDEX('Tablas Técnicas'!$O$10:$X$639,,2)=V131),INDEX('Tablas Técnicas'!$O$10:$X$639,,9))))</f>
        <v/>
      </c>
      <c r="AB131" s="5064"/>
      <c r="AC131" s="5065"/>
      <c r="AD131" s="5065"/>
      <c r="AE131" s="5065"/>
      <c r="AF131" s="5065"/>
      <c r="AG131" s="2863" t="str">
        <f>IF(OR(AB125="",AB131=""),"",MAX(1,SUMPRODUCT(--(INDEX('Tablas Técnicas'!$O$10:$X$639,,1)=AB125),--(INDEX('Tablas Técnicas'!$O$10:$X$639,,2)=AB131),INDEX('Tablas Técnicas'!$O$10:$X$639,,9))))</f>
        <v/>
      </c>
      <c r="AH131" s="2821">
        <f>P112</f>
        <v>1</v>
      </c>
      <c r="AI131" s="3030"/>
      <c r="AJ131" s="2816" t="str">
        <f>IF(V114="","",IF(SUM(V116:V120)=0,"",V114&amp;" "&amp;SUM(V116:V120)+V123&amp;IF(SUM(W116)=0,""," ("&amp;SUM(W116)&amp;")")&amp;", "))</f>
        <v/>
      </c>
      <c r="AK131" s="2816" t="str">
        <f>IF(X114="","",IF(SUM(X116:X120)=0,"",X114&amp;" "&amp;SUM(X116:X120)+X123&amp;IF(SUM(Y116)=0,""," ("&amp;SUM(Y116)&amp;")")&amp;", "))</f>
        <v/>
      </c>
      <c r="AL131" s="2816" t="str">
        <f>IF(Z114="","",IF(SUM(Z116:Z120)=0,"",Z114&amp;" "&amp;SUM(Z116:Z120)+Z123&amp;IF(SUM(AA116)=0,""," ("&amp;SUM(AA116)&amp;")")&amp;", "))</f>
        <v/>
      </c>
      <c r="AM131" s="2816" t="str">
        <f>IF(AB114="","",IF(SUM(AB116:AB120)=0,"",AB114&amp;" "&amp;SUM(AB116:AB120)+AB123&amp;IF(SUM(AC116)=0,""," ("&amp;SUM(AC116)&amp;")")&amp;", "))</f>
        <v/>
      </c>
      <c r="AN131" s="2816" t="str">
        <f>IF(AD114="","",IF(SUM(AD116:AD120)=0,"",AD114&amp;" "&amp;SUM(AD116:AD120)+AD123&amp;IF(SUM(AE116)=0,""," ("&amp;SUM(AE116)&amp;")")&amp;", "))</f>
        <v/>
      </c>
      <c r="AO131" s="2816" t="str">
        <f>IF(AF114="","",IF(SUM(AF116:AF120)=0,"",AF114&amp;" "&amp;SUM(AF116:AF120)+AF123&amp;IF(SUM(AG116)=0,""," ("&amp;SUM(AG116)&amp;")")&amp;", "))</f>
        <v/>
      </c>
      <c r="AQ131" s="2816"/>
      <c r="AR131" s="2816"/>
      <c r="AS131" s="2816"/>
      <c r="AT131" s="2816"/>
      <c r="AU131" s="2816"/>
      <c r="AV131" s="3023"/>
      <c r="AW131" s="3023"/>
      <c r="AX131" s="3023"/>
      <c r="AZ131" s="3023"/>
      <c r="BA131" s="3023"/>
      <c r="BB131" s="2816"/>
      <c r="BC131" s="2816"/>
      <c r="BE131" s="2822"/>
    </row>
    <row r="132" spans="1:57" x14ac:dyDescent="0.2">
      <c r="A132" s="3030"/>
      <c r="B132" s="3070">
        <f t="shared" si="12"/>
        <v>4</v>
      </c>
      <c r="C132" s="5106"/>
      <c r="D132" s="5064"/>
      <c r="E132" s="5065"/>
      <c r="F132" s="5065"/>
      <c r="G132" s="5065"/>
      <c r="H132" s="5065"/>
      <c r="I132" s="2862" t="str">
        <f>IF(OR(D125="",D132=""),"",MAX(1,SUMPRODUCT(--(INDEX('Tablas Técnicas'!$O$10:$X$639,,1)=D125),--(INDEX('Tablas Técnicas'!$O$10:$X$639,,2)=D132),INDEX('Tablas Técnicas'!$O$10:$X$639,,9))))</f>
        <v/>
      </c>
      <c r="J132" s="5065"/>
      <c r="K132" s="5065"/>
      <c r="L132" s="5065"/>
      <c r="M132" s="5065"/>
      <c r="N132" s="5065"/>
      <c r="O132" s="2862" t="str">
        <f>IF(OR(J125="",J132=""),"",MAX(1,SUMPRODUCT(--(INDEX('Tablas Técnicas'!$O$10:$X$639,,1)=J125),--(INDEX('Tablas Técnicas'!$O$10:$X$639,,2)=J132),INDEX('Tablas Técnicas'!$O$10:$X$639,,9))))</f>
        <v/>
      </c>
      <c r="P132" s="5064"/>
      <c r="Q132" s="5065"/>
      <c r="R132" s="5065"/>
      <c r="S132" s="5065"/>
      <c r="T132" s="5065"/>
      <c r="U132" s="2862" t="str">
        <f>IF(OR(P125="",P132=""),"",MAX(1,SUMPRODUCT(--(INDEX('Tablas Técnicas'!$O$10:$X$639,,1)=P125),--(INDEX('Tablas Técnicas'!$O$10:$X$639,,2)=P132),INDEX('Tablas Técnicas'!$O$10:$X$639,,9))))</f>
        <v/>
      </c>
      <c r="V132" s="5064"/>
      <c r="W132" s="5065"/>
      <c r="X132" s="5065"/>
      <c r="Y132" s="5065"/>
      <c r="Z132" s="5065"/>
      <c r="AA132" s="2862" t="str">
        <f>IF(OR(V125="",V132=""),"",MAX(1,SUMPRODUCT(--(INDEX('Tablas Técnicas'!$O$10:$X$639,,1)=V125),--(INDEX('Tablas Técnicas'!$O$10:$X$639,,2)=V132),INDEX('Tablas Técnicas'!$O$10:$X$639,,9))))</f>
        <v/>
      </c>
      <c r="AB132" s="5064"/>
      <c r="AC132" s="5065"/>
      <c r="AD132" s="5065"/>
      <c r="AE132" s="5065"/>
      <c r="AF132" s="5065"/>
      <c r="AG132" s="2863" t="str">
        <f>IF(OR(AB125="",AB132=""),"",MAX(1,SUMPRODUCT(--(INDEX('Tablas Técnicas'!$O$10:$X$639,,1)=AB125),--(INDEX('Tablas Técnicas'!$O$10:$X$639,,2)=AB132),INDEX('Tablas Técnicas'!$O$10:$X$639,,9))))</f>
        <v/>
      </c>
      <c r="AH132" s="2821">
        <f>P112</f>
        <v>1</v>
      </c>
      <c r="AI132" s="3030"/>
      <c r="AJ132" s="2816" t="s">
        <v>10242</v>
      </c>
      <c r="AL132" s="2816">
        <f t="array" ref="AL132">MAX(0,SUM(VALUE(RIGHT(O116:O120,2)))+ABS($AC122*2/5))+IF(AM139,Y122,0)+IF(S112="Si",3*P112,0)</f>
        <v>0</v>
      </c>
      <c r="AM132" s="2816">
        <f t="array" ref="AM132">IF(ISNUMBER(SEARCH("Mantenido",K116&amp;K117&amp;K118&amp;K119&amp;K120)),MAX(0,SUM(VALUE(RIGHT($P116:$P120,2)))),0)</f>
        <v>0</v>
      </c>
      <c r="AR132" s="3023"/>
      <c r="AT132" s="3023"/>
      <c r="AV132" s="3023"/>
      <c r="AW132" s="3023"/>
      <c r="AX132" s="3023"/>
      <c r="AZ132" s="3023"/>
      <c r="BA132" s="3023"/>
      <c r="BB132" s="2816"/>
      <c r="BC132" s="2816"/>
      <c r="BE132" s="2822"/>
    </row>
    <row r="133" spans="1:57" x14ac:dyDescent="0.2">
      <c r="A133" s="3030"/>
      <c r="B133" s="3070">
        <f t="shared" si="12"/>
        <v>4</v>
      </c>
      <c r="C133" s="5106"/>
      <c r="D133" s="5064"/>
      <c r="E133" s="5065"/>
      <c r="F133" s="5065"/>
      <c r="G133" s="5065"/>
      <c r="H133" s="5065"/>
      <c r="I133" s="2862" t="str">
        <f>IF(OR(D125="",D133=""),"",MAX(1,SUMPRODUCT(--(INDEX('Tablas Técnicas'!$O$10:$X$639,,1)=D125),--(INDEX('Tablas Técnicas'!$O$10:$X$639,,2)=D133),INDEX('Tablas Técnicas'!$O$10:$X$639,,9))))</f>
        <v/>
      </c>
      <c r="J133" s="5065"/>
      <c r="K133" s="5065"/>
      <c r="L133" s="5065"/>
      <c r="M133" s="5065"/>
      <c r="N133" s="5065"/>
      <c r="O133" s="2862" t="str">
        <f>IF(OR(J125="",J133=""),"",MAX(1,SUMPRODUCT(--(INDEX('Tablas Técnicas'!$O$10:$X$639,,1)=J125),--(INDEX('Tablas Técnicas'!$O$10:$X$639,,2)=J133),INDEX('Tablas Técnicas'!$O$10:$X$639,,9))))</f>
        <v/>
      </c>
      <c r="P133" s="5064"/>
      <c r="Q133" s="5065"/>
      <c r="R133" s="5065"/>
      <c r="S133" s="5065"/>
      <c r="T133" s="5065"/>
      <c r="U133" s="2862" t="str">
        <f>IF(OR(P125="",P133=""),"",MAX(1,SUMPRODUCT(--(INDEX('Tablas Técnicas'!$O$10:$X$639,,1)=P125),--(INDEX('Tablas Técnicas'!$O$10:$X$639,,2)=P133),INDEX('Tablas Técnicas'!$O$10:$X$639,,9))))</f>
        <v/>
      </c>
      <c r="V133" s="5064"/>
      <c r="W133" s="5065"/>
      <c r="X133" s="5065"/>
      <c r="Y133" s="5065"/>
      <c r="Z133" s="5065"/>
      <c r="AA133" s="2862" t="str">
        <f>IF(OR(V125="",V133=""),"",MAX(1,SUMPRODUCT(--(INDEX('Tablas Técnicas'!$O$10:$X$639,,1)=V125),--(INDEX('Tablas Técnicas'!$O$10:$X$639,,2)=V133),INDEX('Tablas Técnicas'!$O$10:$X$639,,9))))</f>
        <v/>
      </c>
      <c r="AB133" s="5064"/>
      <c r="AC133" s="5065"/>
      <c r="AD133" s="5065"/>
      <c r="AE133" s="5065"/>
      <c r="AF133" s="5065"/>
      <c r="AG133" s="2863" t="str">
        <f>IF(OR(AB125="",AB133=""),"",MAX(1,SUMPRODUCT(--(INDEX('Tablas Técnicas'!$O$10:$X$639,,1)=AB125),--(INDEX('Tablas Técnicas'!$O$10:$X$639,,2)=AB133),INDEX('Tablas Técnicas'!$O$10:$X$639,,9))))</f>
        <v/>
      </c>
      <c r="AH133" s="2821">
        <f>P112</f>
        <v>1</v>
      </c>
      <c r="AI133" s="3030"/>
      <c r="AJ133" s="2816" t="s">
        <v>9668</v>
      </c>
      <c r="AL133" s="2816">
        <f>SUM(V116:V120,X116:X120,Z116:Z120,AB116:AB120,AD116:AD120,AF116:AF120)+SUM(V123:AG123)</f>
        <v>0</v>
      </c>
      <c r="AM133" s="2816">
        <f>SUM(W116:W120,Y116:Y120,AA116:AA120,AC116:AC120,AE116:AE120,AG116:AG120)</f>
        <v>0</v>
      </c>
      <c r="AR133" s="3023"/>
      <c r="AT133" s="3023"/>
      <c r="AV133" s="3023"/>
      <c r="AW133" s="3023"/>
      <c r="AX133" s="3023"/>
      <c r="AZ133" s="3023"/>
      <c r="BA133" s="3023"/>
      <c r="BB133" s="2816"/>
      <c r="BC133" s="2816"/>
      <c r="BE133" s="2822"/>
    </row>
    <row r="134" spans="1:57" x14ac:dyDescent="0.2">
      <c r="A134" s="3030"/>
      <c r="B134" s="3070">
        <f t="shared" si="12"/>
        <v>4</v>
      </c>
      <c r="C134" s="5106"/>
      <c r="D134" s="5064"/>
      <c r="E134" s="5065"/>
      <c r="F134" s="5065"/>
      <c r="G134" s="5065"/>
      <c r="H134" s="5065"/>
      <c r="I134" s="2862" t="str">
        <f>IF(OR(D125="",D134=""),"",MAX(1,SUMPRODUCT(--(INDEX('Tablas Técnicas'!$O$10:$X$639,,1)=D125),--(INDEX('Tablas Técnicas'!$O$10:$X$639,,2)=D134),INDEX('Tablas Técnicas'!$O$10:$X$639,,9))))</f>
        <v/>
      </c>
      <c r="J134" s="5065"/>
      <c r="K134" s="5065"/>
      <c r="L134" s="5065"/>
      <c r="M134" s="5065"/>
      <c r="N134" s="5065"/>
      <c r="O134" s="2862" t="str">
        <f>IF(OR(J125="",J134=""),"",MAX(1,SUMPRODUCT(--(INDEX('Tablas Técnicas'!$O$10:$X$639,,1)=J125),--(INDEX('Tablas Técnicas'!$O$10:$X$639,,2)=J134),INDEX('Tablas Técnicas'!$O$10:$X$639,,9))))</f>
        <v/>
      </c>
      <c r="P134" s="5064"/>
      <c r="Q134" s="5065"/>
      <c r="R134" s="5065"/>
      <c r="S134" s="5065"/>
      <c r="T134" s="5065"/>
      <c r="U134" s="2862" t="str">
        <f>IF(OR(P125="",P134=""),"",MAX(1,SUMPRODUCT(--(INDEX('Tablas Técnicas'!$O$10:$X$639,,1)=P125),--(INDEX('Tablas Técnicas'!$O$10:$X$639,,2)=P134),INDEX('Tablas Técnicas'!$O$10:$X$639,,9))))</f>
        <v/>
      </c>
      <c r="V134" s="5064"/>
      <c r="W134" s="5065"/>
      <c r="X134" s="5065"/>
      <c r="Y134" s="5065"/>
      <c r="Z134" s="5065"/>
      <c r="AA134" s="2862" t="str">
        <f>IF(OR(V125="",V134=""),"",MAX(1,SUMPRODUCT(--(INDEX('Tablas Técnicas'!$O$10:$X$639,,1)=V125),--(INDEX('Tablas Técnicas'!$O$10:$X$639,,2)=V134),INDEX('Tablas Técnicas'!$O$10:$X$639,,9))))</f>
        <v/>
      </c>
      <c r="AB134" s="5064"/>
      <c r="AC134" s="5065"/>
      <c r="AD134" s="5065"/>
      <c r="AE134" s="5065"/>
      <c r="AF134" s="5065"/>
      <c r="AG134" s="2863" t="str">
        <f>IF(OR(AB125="",AB134=""),"",MAX(1,SUMPRODUCT(--(INDEX('Tablas Técnicas'!$O$10:$X$639,,1)=AB125),--(INDEX('Tablas Técnicas'!$O$10:$X$639,,2)=AB134),INDEX('Tablas Técnicas'!$O$10:$X$639,,9))))</f>
        <v/>
      </c>
      <c r="AH134" s="2821">
        <f>P112</f>
        <v>1</v>
      </c>
      <c r="AI134" s="3030"/>
      <c r="AR134" s="3023"/>
      <c r="AT134" s="3023"/>
      <c r="AV134" s="3023"/>
      <c r="AW134" s="3023"/>
      <c r="AX134" s="3023"/>
      <c r="AZ134" s="3023"/>
      <c r="BA134" s="3023"/>
      <c r="BB134" s="2816"/>
      <c r="BC134" s="2816"/>
      <c r="BE134" s="2822"/>
    </row>
    <row r="135" spans="1:57" x14ac:dyDescent="0.2">
      <c r="A135" s="3030"/>
      <c r="B135" s="3070">
        <f t="shared" si="12"/>
        <v>4</v>
      </c>
      <c r="C135" s="5106"/>
      <c r="D135" s="5079"/>
      <c r="E135" s="5080"/>
      <c r="F135" s="5080"/>
      <c r="G135" s="5080"/>
      <c r="H135" s="5080"/>
      <c r="I135" s="2864" t="str">
        <f>IF(OR(D125="",D135=""),"",MAX(1,SUMPRODUCT(--(INDEX('Tablas Técnicas'!$O$10:$X$639,,1)=D125),--(INDEX('Tablas Técnicas'!$O$10:$X$639,,2)=D135),INDEX('Tablas Técnicas'!$O$10:$X$639,,9))))</f>
        <v/>
      </c>
      <c r="J135" s="5080"/>
      <c r="K135" s="5080"/>
      <c r="L135" s="5080"/>
      <c r="M135" s="5080"/>
      <c r="N135" s="5080"/>
      <c r="O135" s="2864" t="str">
        <f>IF(OR(J125="",J135=""),"",MAX(1,SUMPRODUCT(--(INDEX('Tablas Técnicas'!$O$10:$X$639,,1)=J125),--(INDEX('Tablas Técnicas'!$O$10:$X$639,,2)=J135),INDEX('Tablas Técnicas'!$O$10:$X$639,,9))))</f>
        <v/>
      </c>
      <c r="P135" s="5079"/>
      <c r="Q135" s="5080"/>
      <c r="R135" s="5080"/>
      <c r="S135" s="5080"/>
      <c r="T135" s="5080"/>
      <c r="U135" s="2864" t="str">
        <f>IF(OR(P125="",P135=""),"",MAX(1,SUMPRODUCT(--(INDEX('Tablas Técnicas'!$O$10:$X$639,,1)=P125),--(INDEX('Tablas Técnicas'!$O$10:$X$639,,2)=P135),INDEX('Tablas Técnicas'!$O$10:$X$639,,9))))</f>
        <v/>
      </c>
      <c r="V135" s="5079"/>
      <c r="W135" s="5080"/>
      <c r="X135" s="5080"/>
      <c r="Y135" s="5080"/>
      <c r="Z135" s="5080"/>
      <c r="AA135" s="2864" t="str">
        <f>IF(OR(V125="",V135=""),"",MAX(1,SUMPRODUCT(--(INDEX('Tablas Técnicas'!$O$10:$X$639,,1)=V125),--(INDEX('Tablas Técnicas'!$O$10:$X$639,,2)=V135),INDEX('Tablas Técnicas'!$O$10:$X$639,,9))))</f>
        <v/>
      </c>
      <c r="AB135" s="5079"/>
      <c r="AC135" s="5080"/>
      <c r="AD135" s="5080"/>
      <c r="AE135" s="5080"/>
      <c r="AF135" s="5080"/>
      <c r="AG135" s="2865" t="str">
        <f>IF(OR(AB125="",AB135=""),"",MAX(1,SUMPRODUCT(--(INDEX('Tablas Técnicas'!$O$10:$X$639,,1)=AB125),--(INDEX('Tablas Técnicas'!$O$10:$X$639,,2)=AB135),INDEX('Tablas Técnicas'!$O$10:$X$639,,9))))</f>
        <v/>
      </c>
      <c r="AH135" s="2821">
        <f>P112</f>
        <v>1</v>
      </c>
      <c r="AI135" s="3030"/>
      <c r="AJ135" s="2816" t="s">
        <v>9669</v>
      </c>
      <c r="AR135" s="3023"/>
      <c r="AT135" s="3023"/>
      <c r="AV135" s="3023"/>
      <c r="AW135" s="3023"/>
      <c r="AX135" s="3023"/>
      <c r="AZ135" s="3023"/>
      <c r="BA135" s="3023"/>
      <c r="BB135" s="2816"/>
      <c r="BC135" s="2816"/>
      <c r="BE135" s="2822"/>
    </row>
    <row r="136" spans="1:57" x14ac:dyDescent="0.2">
      <c r="A136" s="3030"/>
      <c r="B136" s="3070">
        <f t="shared" si="12"/>
        <v>4</v>
      </c>
      <c r="C136" s="5106"/>
      <c r="D136" s="5069" t="s">
        <v>1824</v>
      </c>
      <c r="E136" s="5070"/>
      <c r="F136" s="5070"/>
      <c r="G136" s="5070"/>
      <c r="H136" s="5070"/>
      <c r="I136" s="5070"/>
      <c r="J136" s="5070"/>
      <c r="K136" s="5070"/>
      <c r="L136" s="5070"/>
      <c r="M136" s="5070"/>
      <c r="N136" s="5070"/>
      <c r="O136" s="5070"/>
      <c r="P136" s="5070"/>
      <c r="Q136" s="5070"/>
      <c r="R136" s="5070"/>
      <c r="S136" s="5070"/>
      <c r="T136" s="5070"/>
      <c r="U136" s="5070"/>
      <c r="V136" s="5070"/>
      <c r="W136" s="5070"/>
      <c r="X136" s="5070"/>
      <c r="Y136" s="5070"/>
      <c r="Z136" s="5070"/>
      <c r="AA136" s="5070"/>
      <c r="AB136" s="5070"/>
      <c r="AC136" s="5070"/>
      <c r="AD136" s="5070"/>
      <c r="AE136" s="5070"/>
      <c r="AF136" s="5070"/>
      <c r="AG136" s="5071"/>
      <c r="AH136" s="2821"/>
      <c r="AI136" s="3030"/>
      <c r="AJ136" s="2816" t="s">
        <v>9670</v>
      </c>
      <c r="AM136" s="2816" t="b">
        <f t="array" ref="AM136">MAX(I129:I135,O129:O135,U129:U135,AA129:AA135,AG129:AG135,RIGHT(S121:S123,1))&gt;P112</f>
        <v>0</v>
      </c>
      <c r="AR136" s="3023"/>
      <c r="AT136" s="3023"/>
      <c r="AV136" s="3023"/>
      <c r="AW136" s="3023"/>
      <c r="AX136" s="3023"/>
      <c r="AZ136" s="3023"/>
      <c r="BA136" s="3023"/>
      <c r="BB136" s="2816" t="str">
        <f>$F120&amp;INDEX($D129:$AG135,Tablas!E$1,1+6*(Tablas!$A$4-1))</f>
        <v/>
      </c>
      <c r="BC136" s="2816" t="str">
        <f>$F120&amp;INDEX($D129:$AG135,Tablas!F$1,1+6*(Tablas!$A$4-1))</f>
        <v/>
      </c>
      <c r="BE136" s="2822"/>
    </row>
    <row r="137" spans="1:57" x14ac:dyDescent="0.2">
      <c r="A137" s="3030"/>
      <c r="B137" s="3070">
        <f t="shared" si="12"/>
        <v>4</v>
      </c>
      <c r="C137" s="5106"/>
      <c r="D137" s="5072"/>
      <c r="E137" s="5073"/>
      <c r="F137" s="5073"/>
      <c r="G137" s="5073"/>
      <c r="H137" s="5073"/>
      <c r="I137" s="5073"/>
      <c r="J137" s="5073"/>
      <c r="K137" s="5073"/>
      <c r="L137" s="5073"/>
      <c r="M137" s="5073"/>
      <c r="N137" s="5073"/>
      <c r="O137" s="5073"/>
      <c r="P137" s="5073"/>
      <c r="Q137" s="5073"/>
      <c r="R137" s="5073"/>
      <c r="S137" s="5073"/>
      <c r="T137" s="5073"/>
      <c r="U137" s="5073"/>
      <c r="V137" s="5073"/>
      <c r="W137" s="5073"/>
      <c r="X137" s="5073"/>
      <c r="Y137" s="5073"/>
      <c r="Z137" s="5073"/>
      <c r="AA137" s="5073"/>
      <c r="AB137" s="5073"/>
      <c r="AC137" s="5073"/>
      <c r="AD137" s="5073"/>
      <c r="AE137" s="5073"/>
      <c r="AF137" s="5073"/>
      <c r="AG137" s="5074"/>
      <c r="AH137" s="2821"/>
      <c r="AI137" s="3030"/>
      <c r="AJ137" s="2816" t="s">
        <v>10243</v>
      </c>
      <c r="AM137" s="2816" t="b">
        <f>NOT(AND(AW116:AW120))</f>
        <v>0</v>
      </c>
      <c r="AR137" s="3023"/>
      <c r="AT137" s="3023"/>
      <c r="AV137" s="3023"/>
      <c r="AW137" s="3023"/>
      <c r="AX137" s="3023"/>
      <c r="AZ137" s="3023"/>
      <c r="BA137" s="3023"/>
      <c r="BB137" s="2816"/>
      <c r="BC137" s="2816"/>
    </row>
    <row r="138" spans="1:57" x14ac:dyDescent="0.2">
      <c r="A138" s="3030"/>
      <c r="B138" s="3070">
        <f t="shared" si="12"/>
        <v>4</v>
      </c>
      <c r="C138" s="5106"/>
      <c r="D138" s="5072"/>
      <c r="E138" s="5073"/>
      <c r="F138" s="5073"/>
      <c r="G138" s="5073"/>
      <c r="H138" s="5073"/>
      <c r="I138" s="5073"/>
      <c r="J138" s="5073"/>
      <c r="K138" s="5073"/>
      <c r="L138" s="5073"/>
      <c r="M138" s="5073"/>
      <c r="N138" s="5073"/>
      <c r="O138" s="5073"/>
      <c r="P138" s="5073"/>
      <c r="Q138" s="5073"/>
      <c r="R138" s="5073"/>
      <c r="S138" s="5073"/>
      <c r="T138" s="5073"/>
      <c r="U138" s="5073"/>
      <c r="V138" s="5073"/>
      <c r="W138" s="5073"/>
      <c r="X138" s="5073"/>
      <c r="Y138" s="5073"/>
      <c r="Z138" s="5073"/>
      <c r="AA138" s="5073"/>
      <c r="AB138" s="5073"/>
      <c r="AC138" s="5073"/>
      <c r="AD138" s="5073"/>
      <c r="AE138" s="5073"/>
      <c r="AF138" s="5073"/>
      <c r="AG138" s="5074"/>
      <c r="AH138" s="2821"/>
      <c r="AI138" s="3030"/>
      <c r="AJ138" s="2816" t="s">
        <v>10244</v>
      </c>
      <c r="AM138" s="2816" t="b">
        <f>AL132-AL133+AM132-AM133&lt;&gt;0</f>
        <v>0</v>
      </c>
      <c r="AR138" s="3023"/>
      <c r="AT138" s="3023"/>
      <c r="AV138" s="3023"/>
      <c r="AW138" s="3023"/>
      <c r="AX138" s="3023"/>
      <c r="AZ138" s="3023"/>
      <c r="BA138" s="3023"/>
      <c r="BB138" s="2816"/>
      <c r="BC138" s="2816"/>
      <c r="BE138" s="2822"/>
    </row>
    <row r="139" spans="1:57" x14ac:dyDescent="0.2">
      <c r="A139" s="3030"/>
      <c r="B139" s="3070">
        <f t="shared" si="12"/>
        <v>4</v>
      </c>
      <c r="C139" s="5106"/>
      <c r="D139" s="5072"/>
      <c r="E139" s="5073"/>
      <c r="F139" s="5073"/>
      <c r="G139" s="5073"/>
      <c r="H139" s="5073"/>
      <c r="I139" s="5073"/>
      <c r="J139" s="5073"/>
      <c r="K139" s="5073"/>
      <c r="L139" s="5073"/>
      <c r="M139" s="5073"/>
      <c r="N139" s="5073"/>
      <c r="O139" s="5073"/>
      <c r="P139" s="5073"/>
      <c r="Q139" s="5073"/>
      <c r="R139" s="5073"/>
      <c r="S139" s="5073"/>
      <c r="T139" s="5073"/>
      <c r="U139" s="5073"/>
      <c r="V139" s="5073"/>
      <c r="W139" s="5073"/>
      <c r="X139" s="5073"/>
      <c r="Y139" s="5073"/>
      <c r="Z139" s="5073"/>
      <c r="AA139" s="5073"/>
      <c r="AB139" s="5073"/>
      <c r="AC139" s="5073"/>
      <c r="AD139" s="5073"/>
      <c r="AE139" s="5073"/>
      <c r="AF139" s="5073"/>
      <c r="AG139" s="5074"/>
      <c r="AH139" s="2821"/>
      <c r="AI139" s="3030"/>
      <c r="AJ139" s="2816" t="s">
        <v>10247</v>
      </c>
      <c r="AM139" s="2816" t="b">
        <f>(IF(SUM(V116:V120)&gt;0,1,0)+IF(SUM(X116:X120)&gt;0,1,0)+IF(SUM(Z116:Z120)&gt;0,1,0)+IF(SUM(AB116:AB120)&gt;0,1,0)+IF(SUM(AD116:AD120,)&gt;0,1,0)+IF(SUM(AF116:AF120)&gt;0,1,0))&lt;3</f>
        <v>1</v>
      </c>
      <c r="AQ139" s="2816"/>
      <c r="AR139" s="2817"/>
      <c r="AS139" s="2817"/>
      <c r="AT139" s="3023"/>
      <c r="AV139" s="3023"/>
      <c r="AW139" s="3023"/>
      <c r="AX139" s="3023"/>
      <c r="AZ139" s="3023"/>
      <c r="BA139" s="3023"/>
      <c r="BB139" s="2816"/>
      <c r="BC139" s="2816"/>
      <c r="BE139" s="2822"/>
    </row>
    <row r="140" spans="1:57" x14ac:dyDescent="0.2">
      <c r="A140" s="3030"/>
      <c r="B140" s="3070">
        <f t="shared" si="12"/>
        <v>4</v>
      </c>
      <c r="C140" s="5106"/>
      <c r="D140" s="5072"/>
      <c r="E140" s="5073"/>
      <c r="F140" s="5073"/>
      <c r="G140" s="5073"/>
      <c r="H140" s="5073"/>
      <c r="I140" s="5073"/>
      <c r="J140" s="5073"/>
      <c r="K140" s="5073"/>
      <c r="L140" s="5073"/>
      <c r="M140" s="5073"/>
      <c r="N140" s="5073"/>
      <c r="O140" s="5073"/>
      <c r="P140" s="5073"/>
      <c r="Q140" s="5073"/>
      <c r="R140" s="5073"/>
      <c r="S140" s="5073"/>
      <c r="T140" s="5073"/>
      <c r="U140" s="5073"/>
      <c r="V140" s="5073"/>
      <c r="W140" s="5073"/>
      <c r="X140" s="5073"/>
      <c r="Y140" s="5073"/>
      <c r="Z140" s="5073"/>
      <c r="AA140" s="5073"/>
      <c r="AB140" s="5073"/>
      <c r="AC140" s="5073"/>
      <c r="AD140" s="5073"/>
      <c r="AE140" s="5073"/>
      <c r="AF140" s="5073"/>
      <c r="AG140" s="5074"/>
      <c r="AH140" s="2821"/>
      <c r="AI140" s="3030"/>
      <c r="AJ140" s="2816" t="s">
        <v>10246</v>
      </c>
      <c r="AM140" s="2816" t="b">
        <f>SUM(V123:AG123)&lt;&gt;Y122+ABS(AC122)*2/5+IF(S112="Si",3*P112,0)</f>
        <v>0</v>
      </c>
      <c r="AQ140" s="2816"/>
      <c r="AR140" s="2817"/>
      <c r="AS140" s="2817"/>
      <c r="AT140" s="3023"/>
      <c r="AV140" s="3023"/>
      <c r="AW140" s="2816"/>
      <c r="AX140" s="2816"/>
      <c r="AY140" s="2816"/>
      <c r="AZ140" s="2816"/>
      <c r="BA140" s="2816"/>
      <c r="BB140" s="2816"/>
      <c r="BC140" s="2817"/>
      <c r="BE140" s="2822"/>
    </row>
    <row r="141" spans="1:57" x14ac:dyDescent="0.2">
      <c r="A141" s="3030"/>
      <c r="B141" s="3070">
        <f t="shared" si="12"/>
        <v>4</v>
      </c>
      <c r="C141" s="5106"/>
      <c r="D141" s="5072"/>
      <c r="E141" s="5073"/>
      <c r="F141" s="5073"/>
      <c r="G141" s="5073"/>
      <c r="H141" s="5073"/>
      <c r="I141" s="5073"/>
      <c r="J141" s="5073"/>
      <c r="K141" s="5073"/>
      <c r="L141" s="5073"/>
      <c r="M141" s="5073"/>
      <c r="N141" s="5073"/>
      <c r="O141" s="5073"/>
      <c r="P141" s="5073"/>
      <c r="Q141" s="5073"/>
      <c r="R141" s="5073"/>
      <c r="S141" s="5073"/>
      <c r="T141" s="5073"/>
      <c r="U141" s="5073"/>
      <c r="V141" s="5073"/>
      <c r="W141" s="5073"/>
      <c r="X141" s="5073"/>
      <c r="Y141" s="5073"/>
      <c r="Z141" s="5073"/>
      <c r="AA141" s="5073"/>
      <c r="AB141" s="5073"/>
      <c r="AC141" s="5073"/>
      <c r="AD141" s="5073"/>
      <c r="AE141" s="5073"/>
      <c r="AF141" s="5073"/>
      <c r="AG141" s="5074"/>
      <c r="AH141" s="2821"/>
      <c r="AI141" s="3030"/>
      <c r="AQ141" s="2816"/>
      <c r="AR141" s="2817"/>
      <c r="AS141" s="2817"/>
      <c r="AT141" s="3023"/>
      <c r="AV141" s="3023"/>
      <c r="AW141" s="2816"/>
      <c r="AX141" s="3023"/>
      <c r="AZ141" s="3023"/>
      <c r="BA141" s="3023"/>
      <c r="BB141" s="3023"/>
      <c r="BC141" s="2816"/>
    </row>
    <row r="142" spans="1:57" ht="12" thickBot="1" x14ac:dyDescent="0.25">
      <c r="A142" s="3030"/>
      <c r="B142" s="3070">
        <f t="shared" si="12"/>
        <v>4</v>
      </c>
      <c r="C142" s="5107"/>
      <c r="D142" s="5075"/>
      <c r="E142" s="5076"/>
      <c r="F142" s="5076"/>
      <c r="G142" s="5076"/>
      <c r="H142" s="5076"/>
      <c r="I142" s="5076"/>
      <c r="J142" s="5076"/>
      <c r="K142" s="5076"/>
      <c r="L142" s="5076"/>
      <c r="M142" s="5076"/>
      <c r="N142" s="5076"/>
      <c r="O142" s="5076"/>
      <c r="P142" s="5076"/>
      <c r="Q142" s="5076"/>
      <c r="R142" s="5076"/>
      <c r="S142" s="5076"/>
      <c r="T142" s="5076"/>
      <c r="U142" s="5076"/>
      <c r="V142" s="5076"/>
      <c r="W142" s="5076"/>
      <c r="X142" s="5076"/>
      <c r="Y142" s="5076"/>
      <c r="Z142" s="5076"/>
      <c r="AA142" s="5076"/>
      <c r="AB142" s="5076"/>
      <c r="AC142" s="5076"/>
      <c r="AD142" s="5076"/>
      <c r="AE142" s="5076"/>
      <c r="AF142" s="5076"/>
      <c r="AG142" s="5077"/>
      <c r="AH142" s="2821"/>
      <c r="AI142" s="3030"/>
      <c r="AQ142" s="2816"/>
      <c r="AR142" s="2817"/>
      <c r="AS142" s="2817"/>
      <c r="AT142" s="3023"/>
      <c r="AV142" s="3023"/>
      <c r="AW142" s="2816"/>
      <c r="AX142" s="3023"/>
      <c r="AZ142" s="2816"/>
      <c r="BA142" s="2816"/>
      <c r="BB142" s="2816"/>
      <c r="BC142" s="2816"/>
      <c r="BE142" s="2822"/>
    </row>
    <row r="143" spans="1:57" x14ac:dyDescent="0.2">
      <c r="A143" s="3030"/>
      <c r="B143" s="3070"/>
      <c r="C143" s="5092"/>
      <c r="D143" s="5092" t="str">
        <f>IFERROR(VLOOKUP(D125,'Tablas Técnicas'!$C$9:$H$81,2,FALSE),"")</f>
        <v/>
      </c>
      <c r="E143" s="5092"/>
      <c r="F143" s="5092"/>
      <c r="G143" s="5092"/>
      <c r="H143" s="5092"/>
      <c r="I143" s="5092"/>
      <c r="J143" s="5078" t="str">
        <f>IFERROR(VLOOKUP(J125,'Tablas Técnicas'!$C$9:$H$81,2,FALSE),"")</f>
        <v/>
      </c>
      <c r="K143" s="5078"/>
      <c r="L143" s="5078"/>
      <c r="M143" s="5078"/>
      <c r="N143" s="5078"/>
      <c r="O143" s="5078"/>
      <c r="P143" s="5078" t="str">
        <f>IFERROR(VLOOKUP(P125,'Tablas Técnicas'!$C$9:$H$81,2,FALSE),"")</f>
        <v/>
      </c>
      <c r="Q143" s="5078"/>
      <c r="R143" s="5078"/>
      <c r="S143" s="5078"/>
      <c r="T143" s="5078"/>
      <c r="U143" s="5078"/>
      <c r="V143" s="5078" t="str">
        <f>IFERROR(VLOOKUP(V125,'Tablas Técnicas'!$C$9:$H$81,2,FALSE),"")</f>
        <v/>
      </c>
      <c r="W143" s="5078"/>
      <c r="X143" s="5078"/>
      <c r="Y143" s="5078"/>
      <c r="Z143" s="5078"/>
      <c r="AA143" s="5078"/>
      <c r="AB143" s="5078" t="str">
        <f>IFERROR(VLOOKUP(AB125,'Tablas Técnicas'!$C$9:$H$81,2,FALSE),"")</f>
        <v/>
      </c>
      <c r="AC143" s="5078"/>
      <c r="AD143" s="5078"/>
      <c r="AE143" s="5078"/>
      <c r="AF143" s="5078"/>
      <c r="AG143" s="5078"/>
      <c r="AH143" s="2821"/>
      <c r="AI143" s="3030"/>
      <c r="AQ143" s="2816"/>
      <c r="AR143" s="2817"/>
      <c r="AS143" s="2817"/>
      <c r="AT143" s="3023"/>
      <c r="AV143" s="3023"/>
      <c r="AW143" s="3023"/>
      <c r="AX143" s="3023"/>
      <c r="AZ143" s="3023"/>
      <c r="BA143" s="3023"/>
      <c r="BB143" s="3023"/>
      <c r="BC143" s="3023"/>
      <c r="BE143" s="2822"/>
    </row>
    <row r="144" spans="1:57" ht="12" thickBot="1" x14ac:dyDescent="0.25">
      <c r="A144" s="3030"/>
      <c r="B144" s="3070"/>
      <c r="C144" s="5092"/>
      <c r="D144" s="3052"/>
      <c r="E144" s="3024"/>
      <c r="F144" s="3024"/>
      <c r="G144" s="3024"/>
      <c r="H144" s="3024"/>
      <c r="I144" s="3024"/>
      <c r="J144" s="3024"/>
      <c r="K144" s="3024"/>
      <c r="L144" s="3024"/>
      <c r="M144" s="3024"/>
      <c r="N144" s="3024"/>
      <c r="O144" s="3024"/>
      <c r="P144" s="3024"/>
      <c r="Q144" s="3024"/>
      <c r="R144" s="3024"/>
      <c r="S144" s="3024"/>
      <c r="T144" s="3024"/>
      <c r="U144" s="3024"/>
      <c r="V144" s="3054"/>
      <c r="W144" s="3054"/>
      <c r="X144" s="3054"/>
      <c r="Y144" s="3054"/>
      <c r="Z144" s="3054"/>
      <c r="AA144" s="3054"/>
      <c r="AB144" s="3054"/>
      <c r="AC144" s="3054"/>
      <c r="AD144" s="3054"/>
      <c r="AE144" s="3054"/>
      <c r="AF144" s="3024"/>
      <c r="AG144" s="3024"/>
      <c r="AH144" s="2821"/>
      <c r="AI144" s="3030"/>
      <c r="AJ144" s="2870"/>
      <c r="AK144" s="2870"/>
      <c r="AL144" s="2870"/>
      <c r="AM144" s="2870"/>
      <c r="AN144" s="2870"/>
      <c r="AO144" s="2870"/>
      <c r="AR144" s="3023"/>
      <c r="AT144" s="3023"/>
      <c r="AV144" s="3023"/>
      <c r="AW144" s="3023"/>
      <c r="AX144" s="2867"/>
      <c r="AY144" s="2867"/>
      <c r="AZ144" s="2867"/>
      <c r="BA144" s="2867"/>
      <c r="BB144" s="2867"/>
      <c r="BC144" s="2868"/>
      <c r="BE144" s="2822"/>
    </row>
    <row r="145" spans="1:57" ht="11.25" customHeight="1" x14ac:dyDescent="0.2">
      <c r="A145" s="3030"/>
      <c r="B145" s="3070">
        <f t="shared" si="12"/>
        <v>5</v>
      </c>
      <c r="C145" s="5105" t="str">
        <f>"Técnica "&amp;B145</f>
        <v>Técnica 5</v>
      </c>
      <c r="D145" s="5181" t="s">
        <v>9559</v>
      </c>
      <c r="E145" s="5182"/>
      <c r="F145" s="5182"/>
      <c r="G145" s="5182"/>
      <c r="H145" s="5182"/>
      <c r="I145" s="5182"/>
      <c r="J145" s="5182"/>
      <c r="K145" s="5182"/>
      <c r="L145" s="5182"/>
      <c r="M145" s="5182"/>
      <c r="N145" s="5183"/>
      <c r="O145" s="5161" t="s">
        <v>1597</v>
      </c>
      <c r="P145" s="5163">
        <v>1</v>
      </c>
      <c r="Q145" s="5134" t="s">
        <v>9646</v>
      </c>
      <c r="R145" s="5165"/>
      <c r="S145" s="5167" t="s">
        <v>1654</v>
      </c>
      <c r="T145" s="5135" t="s">
        <v>1780</v>
      </c>
      <c r="U145" s="5174">
        <f>MAX(IF(P145=3,60,IF(P145=2,40,20)),MIN(IF(P145=3,200,IF(P145=2,100,50)),SUM(M154:M156))-10*Y155+AC155+IF(S145="Si",10*P145,0)+IF(COUNTIF(K149:M153,"Mantenido")&gt;0,P145*10)+IF(COUNTIF(K149:M153,"Sostenimiento Menor")&gt;0,P145*20)+IF(COUNTIF(K149:M153,"Sostenimiento Mayor")&gt;0,P145*30))</f>
        <v>20</v>
      </c>
      <c r="V145" s="5134" t="s">
        <v>9647</v>
      </c>
      <c r="W145" s="5135"/>
      <c r="X145" s="5138" t="str">
        <f>IFERROR(LEFT(AJ164&amp;AK164&amp;AL164&amp;AM164&amp;AN164&amp;AO164,LEN(AJ164&amp;AK164&amp;AL164&amp;AM164&amp;AN164&amp;AO164)-2),"")</f>
        <v/>
      </c>
      <c r="Y145" s="5138"/>
      <c r="Z145" s="5138"/>
      <c r="AA145" s="5138"/>
      <c r="AB145" s="5138"/>
      <c r="AC145" s="5138"/>
      <c r="AD145" s="5138"/>
      <c r="AE145" s="5138"/>
      <c r="AF145" s="5138"/>
      <c r="AG145" s="5139"/>
      <c r="AH145" s="2821"/>
      <c r="AI145" s="3030"/>
      <c r="AQ145" s="2816"/>
      <c r="AR145" s="2816"/>
      <c r="AS145" s="2816"/>
      <c r="AT145" s="2816"/>
      <c r="AU145" s="2816"/>
      <c r="AV145" s="3035"/>
      <c r="AW145" s="3035"/>
      <c r="AX145" s="2816"/>
      <c r="AY145" s="2816"/>
      <c r="AZ145" s="2824"/>
      <c r="BA145" s="3035"/>
      <c r="BB145" s="3035"/>
      <c r="BC145" s="3023"/>
      <c r="BE145" s="2822"/>
    </row>
    <row r="146" spans="1:57" ht="11.25" customHeight="1" x14ac:dyDescent="0.2">
      <c r="A146" s="3030"/>
      <c r="B146" s="3070">
        <f t="shared" si="12"/>
        <v>5</v>
      </c>
      <c r="C146" s="5106"/>
      <c r="D146" s="5184"/>
      <c r="E146" s="5185"/>
      <c r="F146" s="5185"/>
      <c r="G146" s="5185"/>
      <c r="H146" s="5185"/>
      <c r="I146" s="5185"/>
      <c r="J146" s="5185"/>
      <c r="K146" s="5185"/>
      <c r="L146" s="5185"/>
      <c r="M146" s="5185"/>
      <c r="N146" s="5186"/>
      <c r="O146" s="5162"/>
      <c r="P146" s="5164"/>
      <c r="Q146" s="5136"/>
      <c r="R146" s="5166"/>
      <c r="S146" s="5164"/>
      <c r="T146" s="5137"/>
      <c r="U146" s="5175"/>
      <c r="V146" s="5136"/>
      <c r="W146" s="5137"/>
      <c r="X146" s="5140"/>
      <c r="Y146" s="5140"/>
      <c r="Z146" s="5140"/>
      <c r="AA146" s="5140"/>
      <c r="AB146" s="5140"/>
      <c r="AC146" s="5140"/>
      <c r="AD146" s="5140"/>
      <c r="AE146" s="5140"/>
      <c r="AF146" s="5140"/>
      <c r="AG146" s="5141"/>
      <c r="AH146" s="2821"/>
      <c r="AI146" s="3030"/>
      <c r="AJ146" s="2947" t="s">
        <v>10240</v>
      </c>
      <c r="AQ146" s="2816"/>
      <c r="AR146" s="2816"/>
      <c r="AS146" s="2816"/>
      <c r="AT146" s="2816"/>
      <c r="AU146" s="2816"/>
      <c r="AV146" s="3035"/>
      <c r="AW146" s="3035"/>
      <c r="AX146" s="3035"/>
      <c r="AZ146" s="3035"/>
      <c r="BA146" s="5063" t="s">
        <v>10254</v>
      </c>
      <c r="BB146" s="5063"/>
      <c r="BC146" s="3023"/>
      <c r="BE146" s="2822"/>
    </row>
    <row r="147" spans="1:57" ht="12" customHeight="1" x14ac:dyDescent="0.2">
      <c r="A147" s="3030"/>
      <c r="B147" s="3070">
        <f t="shared" si="12"/>
        <v>5</v>
      </c>
      <c r="C147" s="5106"/>
      <c r="D147" s="5069" t="s">
        <v>3223</v>
      </c>
      <c r="E147" s="5070"/>
      <c r="F147" s="5070"/>
      <c r="G147" s="5070"/>
      <c r="H147" s="5070"/>
      <c r="I147" s="5070"/>
      <c r="J147" s="5070"/>
      <c r="K147" s="5070" t="str">
        <f>"Mant / SMe / Sma"</f>
        <v>Mant / SMe / Sma</v>
      </c>
      <c r="L147" s="5070"/>
      <c r="M147" s="5070"/>
      <c r="N147" s="5070" t="s">
        <v>1774</v>
      </c>
      <c r="O147" s="5145" t="s">
        <v>3221</v>
      </c>
      <c r="P147" s="5145" t="s">
        <v>9648</v>
      </c>
      <c r="Q147" s="5070" t="s">
        <v>1637</v>
      </c>
      <c r="R147" s="5070"/>
      <c r="S147" s="5070"/>
      <c r="T147" s="5070"/>
      <c r="U147" s="5070"/>
      <c r="V147" s="5108" t="s">
        <v>1646</v>
      </c>
      <c r="W147" s="5109"/>
      <c r="X147" s="5108" t="s">
        <v>1772</v>
      </c>
      <c r="Y147" s="5110"/>
      <c r="Z147" s="5109" t="s">
        <v>1651</v>
      </c>
      <c r="AA147" s="5109"/>
      <c r="AB147" s="5108" t="s">
        <v>1656</v>
      </c>
      <c r="AC147" s="5110"/>
      <c r="AD147" s="5109" t="s">
        <v>1664</v>
      </c>
      <c r="AE147" s="5109"/>
      <c r="AF147" s="5108" t="s">
        <v>1665</v>
      </c>
      <c r="AG147" s="5111"/>
      <c r="AH147" s="2821"/>
      <c r="AI147" s="3030"/>
      <c r="AL147" s="2816" t="s">
        <v>9649</v>
      </c>
      <c r="AQ147" s="2816"/>
      <c r="AR147" s="3035"/>
      <c r="AT147" s="2816" t="s">
        <v>10237</v>
      </c>
      <c r="AU147" s="2816"/>
      <c r="AV147" s="2816" t="s">
        <v>9650</v>
      </c>
      <c r="AW147" s="2816" t="s">
        <v>9651</v>
      </c>
      <c r="AX147" s="2816" t="s">
        <v>10238</v>
      </c>
      <c r="AY147" s="2816"/>
      <c r="AZ147" s="3035"/>
      <c r="BA147" s="3035" t="s">
        <v>9652</v>
      </c>
      <c r="BB147" s="2816" t="s">
        <v>9653</v>
      </c>
      <c r="BC147" s="2816" t="s">
        <v>9653</v>
      </c>
      <c r="BE147" s="2822"/>
    </row>
    <row r="148" spans="1:57" x14ac:dyDescent="0.2">
      <c r="A148" s="3030"/>
      <c r="B148" s="3070">
        <f t="shared" si="12"/>
        <v>5</v>
      </c>
      <c r="C148" s="5106"/>
      <c r="D148" s="5142"/>
      <c r="E148" s="5143"/>
      <c r="F148" s="5143"/>
      <c r="G148" s="5143"/>
      <c r="H148" s="5143"/>
      <c r="I148" s="5143"/>
      <c r="J148" s="5143"/>
      <c r="K148" s="5143"/>
      <c r="L148" s="5143"/>
      <c r="M148" s="5143"/>
      <c r="N148" s="5144"/>
      <c r="O148" s="5146"/>
      <c r="P148" s="5147"/>
      <c r="Q148" s="5144"/>
      <c r="R148" s="5144"/>
      <c r="S148" s="5144"/>
      <c r="T148" s="5144"/>
      <c r="U148" s="5144"/>
      <c r="V148" s="3045" t="s">
        <v>10248</v>
      </c>
      <c r="W148" s="3031" t="s">
        <v>3227</v>
      </c>
      <c r="X148" s="3045" t="s">
        <v>10248</v>
      </c>
      <c r="Y148" s="3031" t="s">
        <v>3227</v>
      </c>
      <c r="Z148" s="3045" t="s">
        <v>10248</v>
      </c>
      <c r="AA148" s="3031" t="s">
        <v>3227</v>
      </c>
      <c r="AB148" s="3045" t="s">
        <v>10248</v>
      </c>
      <c r="AC148" s="3031" t="s">
        <v>3227</v>
      </c>
      <c r="AD148" s="3045" t="s">
        <v>10248</v>
      </c>
      <c r="AE148" s="3031" t="s">
        <v>3227</v>
      </c>
      <c r="AF148" s="3045" t="s">
        <v>10248</v>
      </c>
      <c r="AG148" s="2825" t="s">
        <v>3227</v>
      </c>
      <c r="AH148" s="2821"/>
      <c r="AI148" s="3030"/>
      <c r="AK148" s="2816" t="s">
        <v>10261</v>
      </c>
      <c r="AL148" s="2816">
        <v>1</v>
      </c>
      <c r="AM148" s="2816">
        <v>2</v>
      </c>
      <c r="AN148" s="2816">
        <v>3</v>
      </c>
      <c r="AO148" s="2816">
        <v>4</v>
      </c>
      <c r="AP148" s="2816">
        <v>5</v>
      </c>
      <c r="AQ148" s="2816">
        <v>6</v>
      </c>
      <c r="AR148" s="2816">
        <v>7</v>
      </c>
      <c r="AS148" s="2816"/>
      <c r="AT148" s="3035"/>
      <c r="AV148" s="2816"/>
      <c r="AW148" s="3035"/>
      <c r="AX148" s="3035"/>
      <c r="AZ148" s="3035"/>
      <c r="BA148" s="3035"/>
      <c r="BB148" s="3035"/>
      <c r="BC148" s="3023"/>
    </row>
    <row r="149" spans="1:57" x14ac:dyDescent="0.2">
      <c r="A149" s="3030"/>
      <c r="B149" s="3070">
        <f t="shared" si="12"/>
        <v>5</v>
      </c>
      <c r="C149" s="5106"/>
      <c r="D149" s="5124" t="s">
        <v>9654</v>
      </c>
      <c r="E149" s="5125"/>
      <c r="F149" s="5126"/>
      <c r="G149" s="5127"/>
      <c r="H149" s="5127"/>
      <c r="I149" s="5127"/>
      <c r="J149" s="5128"/>
      <c r="K149" s="5124" t="s">
        <v>1729</v>
      </c>
      <c r="L149" s="5129"/>
      <c r="M149" s="5125"/>
      <c r="N149" s="3036">
        <f>SUMPRODUCT(INDEX('Tablas Técnicas'!$O$10:$X$639,,5),--(INDEX('Tablas Técnicas'!$O$10:$X$639,,1)=F149),--(ISNUMBER(MATCH(INDEX('Tablas Técnicas'!$O$10:$X$639,,2),$AL149:$AR149,0))))</f>
        <v>0</v>
      </c>
      <c r="O149" s="3036" t="str">
        <f>V149+X149+Z149+AB149+AD149+AF149&amp;" / "&amp;SUMPRODUCT(INDEX('Tablas Técnicas'!$O$10:$X$639,,IF(D149="Primario",3,4)),--(INDEX('Tablas Técnicas'!$O$10:$X$639,,1)=F149),--(ISNUMBER(MATCH(INDEX('Tablas Técnicas'!$O$10:$X$639,,2),$AL149:$AR149,0))))+IF(AND(K149&lt;&gt;"-",K149&lt;&gt;""),SUMPRODUCT(INDEX('Tablas Técnicas'!$O$10:$X$639,,IF(K149="Mantenido",6,IF(K149="Sostenimiento menor",7,IF(K149="Sostenimiento mayor",8,0)))),--(INDEX('Tablas Técnicas'!$O$10:$X$639,,1)=F149),--(ISNUMBER(MATCH(INDEX('Tablas Técnicas'!$O$10:$X$639,,2),$AL149:$AR149,0)))),0)+AT149</f>
        <v>0 / 0</v>
      </c>
      <c r="P149" s="3036" t="str">
        <f>W149+Y149+AA149+AC149+AE149+AG149&amp;" / "&amp;IF(K149="Mantenido",SUMPRODUCT(INDEX('Tablas Técnicas'!$O$10:$X$639,,6),--(INDEX('Tablas Técnicas'!$O$10:$X$639,,1)=F149),--(ISNUMBER(MATCH(INDEX('Tablas Técnicas'!$O$10:$X$639,,2),$AL149:$AR149,0)))),0)</f>
        <v>0 / 0</v>
      </c>
      <c r="Q149" s="5130" t="str">
        <f>IFERROR(VLOOKUP(F149,'Tablas Técnicas'!$C$9:$H$81,5,FALSE),"")</f>
        <v/>
      </c>
      <c r="R149" s="5130"/>
      <c r="S149" s="5130"/>
      <c r="T149" s="5130"/>
      <c r="U149" s="5130"/>
      <c r="V149" s="2826"/>
      <c r="W149" s="2827"/>
      <c r="X149" s="2826"/>
      <c r="Y149" s="2828"/>
      <c r="Z149" s="2829"/>
      <c r="AA149" s="2827"/>
      <c r="AB149" s="2826"/>
      <c r="AC149" s="2828"/>
      <c r="AD149" s="2829"/>
      <c r="AE149" s="2827"/>
      <c r="AF149" s="2826"/>
      <c r="AG149" s="2830"/>
      <c r="AH149" s="2821"/>
      <c r="AI149" s="3030"/>
      <c r="AJ149" s="2816">
        <v>1</v>
      </c>
      <c r="AK149" s="2816">
        <f>P145</f>
        <v>1</v>
      </c>
      <c r="AL149" s="2816" t="str">
        <f>IF(INDEX($A$1:$AI$343,ROW($D$29)+($B149-1)*(ROW($D$63)-ROW($D$29))+Tablas!A$1-1,COLUMN($D$29)+($AJ149-1)*(COLUMN($J$29)-COLUMN($D$29)))="","",INDEX($A$1:$AI$343,ROW($D$29)+($B149-1)*(ROW($D$63)-ROW($D$29))+Tablas!A$1-1,COLUMN($D$29)+($AJ149-1)*(COLUMN($J$29)-COLUMN($D$29))))</f>
        <v/>
      </c>
      <c r="AM149" s="2816" t="str">
        <f>IF(INDEX($A$1:$AI$343,ROW($D$29)+($B149-1)*(ROW($D$63)-ROW($D$29))+Tablas!B$1-1,COLUMN($D$29)+($AJ149-1)*(COLUMN($J$29)-COLUMN($D$29)))="","",INDEX($A$1:$AI$343,ROW($D$29)+($B149-1)*(ROW($D$63)-ROW($D$29))+Tablas!B$1-1,COLUMN($D$29)+($AJ149-1)*(COLUMN($J$29)-COLUMN($D$29))))</f>
        <v/>
      </c>
      <c r="AN149" s="2816" t="str">
        <f>IF(INDEX($A$1:$AI$343,ROW($D$29)+($B149-1)*(ROW($D$63)-ROW($D$29))+Tablas!C$1-1,COLUMN($D$29)+($AJ149-1)*(COLUMN($J$29)-COLUMN($D$29)))="","",INDEX($A$1:$AI$343,ROW($D$29)+($B149-1)*(ROW($D$63)-ROW($D$29))+Tablas!C$1-1,COLUMN($D$29)+($AJ149-1)*(COLUMN($J$29)-COLUMN($D$29))))</f>
        <v/>
      </c>
      <c r="AO149" s="2816" t="str">
        <f>IF(INDEX($A$1:$AI$343,ROW($D$29)+($B149-1)*(ROW($D$63)-ROW($D$29))+Tablas!D$1-1,COLUMN($D$29)+($AJ149-1)*(COLUMN($J$29)-COLUMN($D$29)))="","",INDEX($A$1:$AI$343,ROW($D$29)+($B149-1)*(ROW($D$63)-ROW($D$29))+Tablas!D$1-1,COLUMN($D$29)+($AJ149-1)*(COLUMN($J$29)-COLUMN($D$29))))</f>
        <v/>
      </c>
      <c r="AP149" s="2816" t="str">
        <f>IF(INDEX($A$1:$AI$343,ROW($D$29)+($B149-1)*(ROW($D$63)-ROW($D$29))+Tablas!E$1-1,COLUMN($D$29)+($AJ149-1)*(COLUMN($J$29)-COLUMN($D$29)))="","",INDEX($A$1:$AI$343,ROW($D$29)+($B149-1)*(ROW($D$63)-ROW($D$29))+Tablas!E$1-1,COLUMN($D$29)+($AJ149-1)*(COLUMN($J$29)-COLUMN($D$29))))</f>
        <v>Descripción</v>
      </c>
      <c r="AQ149" s="2816" t="str">
        <f>IF(INDEX($A$1:$AI$343,ROW($D$29)+($B149-1)*(ROW($D$63)-ROW($D$29))+Tablas!F$1-1,COLUMN($D$29)+($AJ149-1)*(COLUMN($J$29)-COLUMN($D$29)))="","",INDEX($A$1:$AI$343,ROW($D$29)+($B149-1)*(ROW($D$63)-ROW($D$29))+Tablas!F$1-1,COLUMN($D$29)+($AJ149-1)*(COLUMN($J$29)-COLUMN($D$29))))</f>
        <v/>
      </c>
      <c r="AR149" s="2816" t="str">
        <f>IF(INDEX($A$1:$AI$343,ROW($D$29)+($B149-1)*(ROW($D$63)-ROW($D$29))+Tablas!G$1-1,COLUMN($D$29)+($AJ149-1)*(COLUMN($J$29)-COLUMN($D$29)))="","",INDEX($A$1:$AI$343,ROW($D$29)+($B149-1)*(ROW($D$63)-ROW($D$29))+Tablas!G$1-1,COLUMN($D$29)+($AJ149-1)*(COLUMN($J$29)-COLUMN($D$29))))</f>
        <v/>
      </c>
      <c r="AS149" s="2816"/>
      <c r="AT149" s="3035">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V149" s="2816" t="str">
        <f>IFERROR(VLOOKUP(F149,'Tablas Técnicas'!$C$9:$H$81,6,FALSE),"")</f>
        <v/>
      </c>
      <c r="AW149" s="3035" t="b">
        <f>OR(AV149="",ISNUMBER(SEARCH($O154,AV149)),ISNUMBER(SEARCH($Q154,AV149)),ISNUMBER(SEARCH($O155,AV149)),ISNUMBER(SEARCH($Q155,AV149)),ISNUMBER(SEARCH($O156,AV149)),ISNUMBER(SEARCH($Q156,AV149)),)</f>
        <v>1</v>
      </c>
      <c r="AX149" s="3035" t="b">
        <f>AND(P145&gt;1,OR(MAX(I162:I168)=1,MAX(I162:I168)=2))</f>
        <v>0</v>
      </c>
      <c r="AZ149" s="3035"/>
      <c r="BA149" s="2816" t="str">
        <f>IF(F149="","",F149&amp;" ("&amp;IF(AL149="","",AL149&amp;", ")&amp;IF(AM149="","",AM149&amp;", ")&amp;IF(AN149="","",AN149&amp;", ")&amp;IF(AO149="","",AO149&amp;", ")&amp;IF(AP149="","",AP149&amp;", ")&amp;IF(AQ149="","",AQ149&amp;", ")&amp;IF(AR149="","",AR149&amp;", "))</f>
        <v/>
      </c>
      <c r="BB149" s="3035" t="str">
        <f t="shared" ref="BB149:BB151" si="15">IFERROR(LEFT(BA149,LEN(BA149)-2)&amp;"), ","")</f>
        <v/>
      </c>
      <c r="BC149" s="3023" t="str">
        <f t="shared" ref="BC149:BC151" si="16">IFERROR(LEFT(BB149,LEN(BB149)-2)&amp;"), ","")</f>
        <v/>
      </c>
      <c r="BE149" s="2822"/>
    </row>
    <row r="150" spans="1:57" x14ac:dyDescent="0.2">
      <c r="A150" s="3030"/>
      <c r="B150" s="3070">
        <f t="shared" si="12"/>
        <v>5</v>
      </c>
      <c r="C150" s="5106"/>
      <c r="D150" s="5090" t="s">
        <v>790</v>
      </c>
      <c r="E150" s="5091"/>
      <c r="F150" s="5112"/>
      <c r="G150" s="5113"/>
      <c r="H150" s="5113"/>
      <c r="I150" s="5113"/>
      <c r="J150" s="5114"/>
      <c r="K150" s="5115" t="s">
        <v>1729</v>
      </c>
      <c r="L150" s="5116"/>
      <c r="M150" s="5117"/>
      <c r="N150" s="3039">
        <f>SUMPRODUCT(INDEX('Tablas Técnicas'!$O$10:$X$639,,5),--(INDEX('Tablas Técnicas'!$O$10:$X$639,,1)=F150),--(ISNUMBER(MATCH(INDEX('Tablas Técnicas'!$O$10:$X$639,,2),$AL150:$AR150,0))))</f>
        <v>0</v>
      </c>
      <c r="O150" s="3039" t="str">
        <f>V150+X150+Z150+AB150+AD150+AF150&amp;" / "&amp;SUMPRODUCT(INDEX('Tablas Técnicas'!$O$10:$X$639,,IF(D150="Primario",3,4)),--(INDEX('Tablas Técnicas'!$O$10:$X$639,,1)=F150),--(ISNUMBER(MATCH(INDEX('Tablas Técnicas'!$O$10:$X$639,,2),$AL150:$AR150,0))))+IF(AND(K150&lt;&gt;"-",K150&lt;&gt;""),SUMPRODUCT(INDEX('Tablas Técnicas'!$O$10:$X$639,,IF(K150="Mantenido",6,IF(K150="Sostenimiento menor",7,IF(K150="Sostenimiento mayor",8,0)))),--(INDEX('Tablas Técnicas'!$O$10:$X$639,,1)=F150),--(ISNUMBER(MATCH(INDEX('Tablas Técnicas'!$O$10:$X$639,,2),$AL150:$AR150,0)))),0)+AT150</f>
        <v>0 / 0</v>
      </c>
      <c r="P150" s="3039" t="str">
        <f>W150+Y150+AA150+AC150+AE150+AG150&amp;" / "&amp;IF(K150="Mantenido",SUMPRODUCT(INDEX('Tablas Técnicas'!$O$10:$X$639,,6),--(INDEX('Tablas Técnicas'!$O$10:$X$639,,1)=F150),--(ISNUMBER(MATCH(INDEX('Tablas Técnicas'!$O$10:$X$639,,2),$AL150:$AR150,0)))),0)</f>
        <v>0 / 0</v>
      </c>
      <c r="Q150" s="5092" t="str">
        <f>IFERROR(VLOOKUP(F150,'Tablas Técnicas'!$C$9:$H$81,5,FALSE),"")</f>
        <v/>
      </c>
      <c r="R150" s="5092"/>
      <c r="S150" s="5092"/>
      <c r="T150" s="5092"/>
      <c r="U150" s="5092"/>
      <c r="V150" s="3034"/>
      <c r="W150" s="2831"/>
      <c r="X150" s="3034"/>
      <c r="Y150" s="3033"/>
      <c r="Z150" s="3028"/>
      <c r="AA150" s="2831"/>
      <c r="AB150" s="3034"/>
      <c r="AC150" s="3033"/>
      <c r="AD150" s="3028"/>
      <c r="AE150" s="2831"/>
      <c r="AF150" s="3034"/>
      <c r="AG150" s="2832"/>
      <c r="AH150" s="2821"/>
      <c r="AI150" s="3030"/>
      <c r="AJ150" s="2816">
        <v>2</v>
      </c>
      <c r="AK150" s="2816">
        <f>P145</f>
        <v>1</v>
      </c>
      <c r="AL150" s="2816" t="str">
        <f>IF(INDEX($A$1:$AI$343,ROW($D$29)+($B150-1)*(ROW($D$63)-ROW($D$29))+Tablas!A$1-1,COLUMN($D$29)+($AJ150-1)*(COLUMN($J$29)-COLUMN($D$29)))="","",INDEX($A$1:$AI$343,ROW($D$29)+($B150-1)*(ROW($D$63)-ROW($D$29))+Tablas!A$1-1,COLUMN($D$29)+($AJ150-1)*(COLUMN($J$29)-COLUMN($D$29))))</f>
        <v/>
      </c>
      <c r="AM150" s="2816" t="str">
        <f>IF(INDEX($A$1:$AI$343,ROW($D$29)+($B150-1)*(ROW($D$63)-ROW($D$29))+Tablas!B$1-1,COLUMN($D$29)+($AJ150-1)*(COLUMN($J$29)-COLUMN($D$29)))="","",INDEX($A$1:$AI$343,ROW($D$29)+($B150-1)*(ROW($D$63)-ROW($D$29))+Tablas!B$1-1,COLUMN($D$29)+($AJ150-1)*(COLUMN($J$29)-COLUMN($D$29))))</f>
        <v/>
      </c>
      <c r="AN150" s="2816" t="str">
        <f>IF(INDEX($A$1:$AI$343,ROW($D$29)+($B150-1)*(ROW($D$63)-ROW($D$29))+Tablas!C$1-1,COLUMN($D$29)+($AJ150-1)*(COLUMN($J$29)-COLUMN($D$29)))="","",INDEX($A$1:$AI$343,ROW($D$29)+($B150-1)*(ROW($D$63)-ROW($D$29))+Tablas!C$1-1,COLUMN($D$29)+($AJ150-1)*(COLUMN($J$29)-COLUMN($D$29))))</f>
        <v/>
      </c>
      <c r="AO150" s="2816" t="str">
        <f>IF(INDEX($A$1:$AI$343,ROW($D$29)+($B150-1)*(ROW($D$63)-ROW($D$29))+Tablas!D$1-1,COLUMN($D$29)+($AJ150-1)*(COLUMN($J$29)-COLUMN($D$29)))="","",INDEX($A$1:$AI$343,ROW($D$29)+($B150-1)*(ROW($D$63)-ROW($D$29))+Tablas!D$1-1,COLUMN($D$29)+($AJ150-1)*(COLUMN($J$29)-COLUMN($D$29))))</f>
        <v/>
      </c>
      <c r="AP150" s="2816" t="str">
        <f>IF(INDEX($A$1:$AI$343,ROW($D$29)+($B150-1)*(ROW($D$63)-ROW($D$29))+Tablas!E$1-1,COLUMN($D$29)+($AJ150-1)*(COLUMN($J$29)-COLUMN($D$29)))="","",INDEX($A$1:$AI$343,ROW($D$29)+($B150-1)*(ROW($D$63)-ROW($D$29))+Tablas!E$1-1,COLUMN($D$29)+($AJ150-1)*(COLUMN($J$29)-COLUMN($D$29))))</f>
        <v/>
      </c>
      <c r="AQ150" s="2816" t="str">
        <f>IF(INDEX($A$1:$AI$343,ROW($D$29)+($B150-1)*(ROW($D$63)-ROW($D$29))+Tablas!F$1-1,COLUMN($D$29)+($AJ150-1)*(COLUMN($J$29)-COLUMN($D$29)))="","",INDEX($A$1:$AI$343,ROW($D$29)+($B150-1)*(ROW($D$63)-ROW($D$29))+Tablas!F$1-1,COLUMN($D$29)+($AJ150-1)*(COLUMN($J$29)-COLUMN($D$29))))</f>
        <v/>
      </c>
      <c r="AR150" s="2816" t="str">
        <f>IF(INDEX($A$1:$AI$343,ROW($D$29)+($B150-1)*(ROW($D$63)-ROW($D$29))+Tablas!G$1-1,COLUMN($D$29)+($AJ150-1)*(COLUMN($J$29)-COLUMN($D$29)))="","",INDEX($A$1:$AI$343,ROW($D$29)+($B150-1)*(ROW($D$63)-ROW($D$29))+Tablas!G$1-1,COLUMN($D$29)+($AJ150-1)*(COLUMN($J$29)-COLUMN($D$29))))</f>
        <v/>
      </c>
      <c r="AS150" s="2816"/>
      <c r="AT150" s="3035">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V150" s="2816" t="str">
        <f>IFERROR(VLOOKUP(F150,'Tablas Técnicas'!$C$9:$H$81,6,FALSE),"")</f>
        <v/>
      </c>
      <c r="AW150" s="3035" t="b">
        <f>OR(AX134="",OR(ISNUMBER(SEARCH($O154,AV150)),ISNUMBER(SEARCH($Q154,AV150)),ISNUMBER(SEARCH($O155,AV150)),ISNUMBER(SEARCH($Q155,AV150)),ISNUMBER(SEARCH($O156,AV150)),ISNUMBER(SEARCH($Q156,AV150)),))</f>
        <v>1</v>
      </c>
      <c r="AX150" s="3035" t="b">
        <f>AND(P145&gt;1,OR(MAX(O162:O168)=1,MAX(O162:O168)=2))</f>
        <v>0</v>
      </c>
      <c r="AZ150" s="3035"/>
      <c r="BA150" s="2816" t="str">
        <f>IF(F150="","",F150&amp;" ("&amp;IF(AL150="","",AL150&amp;", ")&amp;IF(AM150="","",AM150&amp;", ")&amp;IF(AN150="","",AN150&amp;", ")&amp;IF(AO150="","",AO150&amp;", ")&amp;IF(AP150="","",AP150&amp;", ")&amp;IF(AQ150="","",AQ150&amp;", ")&amp;IF(AR150="","",AR150&amp;", "))</f>
        <v/>
      </c>
      <c r="BB150" s="3035" t="str">
        <f t="shared" si="15"/>
        <v/>
      </c>
      <c r="BC150" s="3023" t="str">
        <f t="shared" si="16"/>
        <v/>
      </c>
      <c r="BE150" s="2822"/>
    </row>
    <row r="151" spans="1:57" x14ac:dyDescent="0.2">
      <c r="A151" s="3030"/>
      <c r="B151" s="3070">
        <f t="shared" si="12"/>
        <v>5</v>
      </c>
      <c r="C151" s="5106"/>
      <c r="D151" s="5131" t="s">
        <v>790</v>
      </c>
      <c r="E151" s="5132"/>
      <c r="F151" s="5118"/>
      <c r="G151" s="5119"/>
      <c r="H151" s="5119"/>
      <c r="I151" s="5119"/>
      <c r="J151" s="5120"/>
      <c r="K151" s="5121" t="s">
        <v>1729</v>
      </c>
      <c r="L151" s="5122"/>
      <c r="M151" s="5123"/>
      <c r="N151" s="3040">
        <f>SUMPRODUCT(INDEX('Tablas Técnicas'!$O$10:$X$639,,5),--(INDEX('Tablas Técnicas'!$O$10:$X$639,,1)=F151),--(ISNUMBER(MATCH(INDEX('Tablas Técnicas'!$O$10:$X$639,,2),$AL151:$AR151,0))))</f>
        <v>0</v>
      </c>
      <c r="O151" s="3040" t="str">
        <f>V151+X151+Z151+AB151+AD151+AF151&amp;" / "&amp;SUMPRODUCT(INDEX('Tablas Técnicas'!$O$10:$X$639,,IF(D151="Primario",3,4)),--(INDEX('Tablas Técnicas'!$O$10:$X$639,,1)=F151),--(ISNUMBER(MATCH(INDEX('Tablas Técnicas'!$O$10:$X$639,,2),$AL151:$AR151,0))))+IF(AND(K151&lt;&gt;"-",K151&lt;&gt;""),SUMPRODUCT(INDEX('Tablas Técnicas'!$O$10:$X$639,,IF(K151="Mantenido",6,IF(K151="Sostenimiento menor",7,IF(K151="Sostenimiento mayor",8,0)))),--(INDEX('Tablas Técnicas'!$O$10:$X$639,,1)=F151),--(ISNUMBER(MATCH(INDEX('Tablas Técnicas'!$O$10:$X$639,,2),$AL151:$AR151,0)))),0)+AT151</f>
        <v>0 / 0</v>
      </c>
      <c r="P151" s="3040" t="str">
        <f>W151+Y151+AA151+AC151+AE151+AG151&amp;" / "&amp;IF(K151="Mantenido",SUMPRODUCT(INDEX('Tablas Técnicas'!$O$10:$X$639,,6),--(INDEX('Tablas Técnicas'!$O$10:$X$639,,1)=F151),--(ISNUMBER(MATCH(INDEX('Tablas Técnicas'!$O$10:$X$639,,2),$AL151:$AR151,0)))),0)</f>
        <v>0 / 0</v>
      </c>
      <c r="Q151" s="5133" t="str">
        <f>IFERROR(VLOOKUP(F151,'Tablas Técnicas'!$C$9:$H$81,5,FALSE),"")</f>
        <v/>
      </c>
      <c r="R151" s="5133"/>
      <c r="S151" s="5133"/>
      <c r="T151" s="5133"/>
      <c r="U151" s="5133"/>
      <c r="V151" s="2833"/>
      <c r="W151" s="2834"/>
      <c r="X151" s="3038"/>
      <c r="Y151" s="3037"/>
      <c r="Z151" s="3029"/>
      <c r="AA151" s="2834"/>
      <c r="AB151" s="3038"/>
      <c r="AC151" s="3037"/>
      <c r="AD151" s="3029"/>
      <c r="AE151" s="2834"/>
      <c r="AF151" s="3038"/>
      <c r="AG151" s="2835"/>
      <c r="AH151" s="2821"/>
      <c r="AI151" s="3030"/>
      <c r="AJ151" s="2816">
        <v>3</v>
      </c>
      <c r="AK151" s="2816">
        <f>P145</f>
        <v>1</v>
      </c>
      <c r="AL151" s="2816" t="str">
        <f>IF(INDEX($A$1:$AI$343,ROW($D$29)+($B151-1)*(ROW($D$63)-ROW($D$29))+Tablas!A$1-1,COLUMN($D$29)+($AJ151-1)*(COLUMN($J$29)-COLUMN($D$29)))="","",INDEX($A$1:$AI$343,ROW($D$29)+($B151-1)*(ROW($D$63)-ROW($D$29))+Tablas!A$1-1,COLUMN($D$29)+($AJ151-1)*(COLUMN($J$29)-COLUMN($D$29))))</f>
        <v/>
      </c>
      <c r="AM151" s="2816" t="str">
        <f>IF(INDEX($A$1:$AI$343,ROW($D$29)+($B151-1)*(ROW($D$63)-ROW($D$29))+Tablas!B$1-1,COLUMN($D$29)+($AJ151-1)*(COLUMN($J$29)-COLUMN($D$29)))="","",INDEX($A$1:$AI$343,ROW($D$29)+($B151-1)*(ROW($D$63)-ROW($D$29))+Tablas!B$1-1,COLUMN($D$29)+($AJ151-1)*(COLUMN($J$29)-COLUMN($D$29))))</f>
        <v/>
      </c>
      <c r="AN151" s="2816" t="str">
        <f>IF(INDEX($A$1:$AI$343,ROW($D$29)+($B151-1)*(ROW($D$63)-ROW($D$29))+Tablas!C$1-1,COLUMN($D$29)+($AJ151-1)*(COLUMN($J$29)-COLUMN($D$29)))="","",INDEX($A$1:$AI$343,ROW($D$29)+($B151-1)*(ROW($D$63)-ROW($D$29))+Tablas!C$1-1,COLUMN($D$29)+($AJ151-1)*(COLUMN($J$29)-COLUMN($D$29))))</f>
        <v/>
      </c>
      <c r="AO151" s="2816" t="str">
        <f>IF(INDEX($A$1:$AI$343,ROW($D$29)+($B151-1)*(ROW($D$63)-ROW($D$29))+Tablas!D$1-1,COLUMN($D$29)+($AJ151-1)*(COLUMN($J$29)-COLUMN($D$29)))="","",INDEX($A$1:$AI$343,ROW($D$29)+($B151-1)*(ROW($D$63)-ROW($D$29))+Tablas!D$1-1,COLUMN($D$29)+($AJ151-1)*(COLUMN($J$29)-COLUMN($D$29))))</f>
        <v/>
      </c>
      <c r="AP151" s="2816" t="str">
        <f>IF(INDEX($A$1:$AI$343,ROW($D$29)+($B151-1)*(ROW($D$63)-ROW($D$29))+Tablas!E$1-1,COLUMN($D$29)+($AJ151-1)*(COLUMN($J$29)-COLUMN($D$29)))="","",INDEX($A$1:$AI$343,ROW($D$29)+($B151-1)*(ROW($D$63)-ROW($D$29))+Tablas!E$1-1,COLUMN($D$29)+($AJ151-1)*(COLUMN($J$29)-COLUMN($D$29))))</f>
        <v/>
      </c>
      <c r="AQ151" s="2816" t="str">
        <f>IF(INDEX($A$1:$AI$343,ROW($D$29)+($B151-1)*(ROW($D$63)-ROW($D$29))+Tablas!F$1-1,COLUMN($D$29)+($AJ151-1)*(COLUMN($J$29)-COLUMN($D$29)))="","",INDEX($A$1:$AI$343,ROW($D$29)+($B151-1)*(ROW($D$63)-ROW($D$29))+Tablas!F$1-1,COLUMN($D$29)+($AJ151-1)*(COLUMN($J$29)-COLUMN($D$29))))</f>
        <v/>
      </c>
      <c r="AR151" s="2816" t="str">
        <f>IF(INDEX($A$1:$AI$343,ROW($D$29)+($B151-1)*(ROW($D$63)-ROW($D$29))+Tablas!G$1-1,COLUMN($D$29)+($AJ151-1)*(COLUMN($J$29)-COLUMN($D$29)))="","",INDEX($A$1:$AI$343,ROW($D$29)+($B151-1)*(ROW($D$63)-ROW($D$29))+Tablas!G$1-1,COLUMN($D$29)+($AJ151-1)*(COLUMN($J$29)-COLUMN($D$29))))</f>
        <v/>
      </c>
      <c r="AS151" s="2816"/>
      <c r="AT151" s="3035">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V151" s="2816" t="str">
        <f>IFERROR(VLOOKUP(F151,'Tablas Técnicas'!$C$9:$H$81,6,FALSE),"")</f>
        <v/>
      </c>
      <c r="AW151" s="3035" t="b">
        <f>OR(AV151="",OR(ISNUMBER(SEARCH($O154,AV151)),ISNUMBER(SEARCH($Q154,AV151)),ISNUMBER(SEARCH($O155,AV151)),ISNUMBER(SEARCH($Q155,AV151)),ISNUMBER(SEARCH($O156,AV151)),ISNUMBER(SEARCH($Q156,AV151)),))</f>
        <v>1</v>
      </c>
      <c r="AX151" s="3035" t="b">
        <f>AND(P145&gt;1,OR(MAX(U162:U168)=1,MAX(U162:U168)=2))</f>
        <v>0</v>
      </c>
      <c r="AZ151" s="3035"/>
      <c r="BA151" s="2816" t="str">
        <f>IF(F151="","",F151&amp;" ("&amp;IF(AL151="","",AL151&amp;", ")&amp;IF(AM151="","",AM151&amp;", ")&amp;IF(AN151="","",AN151&amp;", ")&amp;IF(AO151="","",AO151&amp;", ")&amp;IF(AP151="","",AP151&amp;", ")&amp;IF(AQ151="","",AQ151&amp;", ")&amp;IF(AR151="","",AR151&amp;", "))</f>
        <v/>
      </c>
      <c r="BB151" s="3035" t="str">
        <f t="shared" si="15"/>
        <v/>
      </c>
      <c r="BC151" s="3023" t="str">
        <f t="shared" si="16"/>
        <v/>
      </c>
      <c r="BE151" s="2822"/>
    </row>
    <row r="152" spans="1:57" x14ac:dyDescent="0.2">
      <c r="A152" s="3030"/>
      <c r="B152" s="3070">
        <f t="shared" si="12"/>
        <v>5</v>
      </c>
      <c r="C152" s="5106"/>
      <c r="D152" s="5090" t="s">
        <v>790</v>
      </c>
      <c r="E152" s="5091"/>
      <c r="F152" s="5112"/>
      <c r="G152" s="5113"/>
      <c r="H152" s="5113"/>
      <c r="I152" s="5113"/>
      <c r="J152" s="5114"/>
      <c r="K152" s="5115" t="s">
        <v>1729</v>
      </c>
      <c r="L152" s="5116"/>
      <c r="M152" s="5117"/>
      <c r="N152" s="3039">
        <f>SUMPRODUCT(INDEX('Tablas Técnicas'!$O$10:$X$639,,5),--(INDEX('Tablas Técnicas'!$O$10:$X$639,,1)=F152),--(ISNUMBER(MATCH(INDEX('Tablas Técnicas'!$O$10:$X$639,,2),$AL152:$AR152,0))))</f>
        <v>0</v>
      </c>
      <c r="O152" s="3039" t="str">
        <f>V152+X152+Z152+AB152+AD152+AF152&amp;" / "&amp;SUMPRODUCT(INDEX('Tablas Técnicas'!$O$10:$X$639,,IF(D152="Primario",3,4)),--(INDEX('Tablas Técnicas'!$O$10:$X$639,,1)=F152),--(ISNUMBER(MATCH(INDEX('Tablas Técnicas'!$O$10:$X$639,,2),$AL152:$AR152,0))))+IF(AND(K152&lt;&gt;"-",K152&lt;&gt;""),SUMPRODUCT(INDEX('Tablas Técnicas'!$O$10:$X$639,,IF(K152="Mantenido",6,IF(K152="Sostenimiento menor",7,IF(K152="Sostenimiento mayor",8,0)))),--(INDEX('Tablas Técnicas'!$O$10:$X$639,,1)=F152),--(ISNUMBER(MATCH(INDEX('Tablas Técnicas'!$O$10:$X$639,,2),$AL152:$AR152,0)))),0)+AT152</f>
        <v>0 / 0</v>
      </c>
      <c r="P152" s="3039" t="str">
        <f>W152+Y152+AA152+AC152+AE152+AG152&amp;" / "&amp;IF(K152="Mantenido",SUMPRODUCT(INDEX('Tablas Técnicas'!$O$10:$X$639,,6),--(INDEX('Tablas Técnicas'!$O$10:$X$639,,1)=F152),--(ISNUMBER(MATCH(INDEX('Tablas Técnicas'!$O$10:$X$639,,2),$AL152:$AR152,0)))),0)</f>
        <v>0 / 0</v>
      </c>
      <c r="Q152" s="5092" t="str">
        <f>IFERROR(VLOOKUP(F152,'Tablas Técnicas'!$C$9:$H$81,5,FALSE),"")</f>
        <v/>
      </c>
      <c r="R152" s="5092"/>
      <c r="S152" s="5092"/>
      <c r="T152" s="5092"/>
      <c r="U152" s="5092"/>
      <c r="V152" s="3034"/>
      <c r="W152" s="2831"/>
      <c r="X152" s="3034"/>
      <c r="Y152" s="3033"/>
      <c r="Z152" s="3028"/>
      <c r="AA152" s="2831"/>
      <c r="AB152" s="3034"/>
      <c r="AC152" s="3033"/>
      <c r="AD152" s="3028"/>
      <c r="AE152" s="2831"/>
      <c r="AF152" s="3034"/>
      <c r="AG152" s="2832"/>
      <c r="AH152" s="2821"/>
      <c r="AI152" s="3030"/>
      <c r="AJ152" s="2816">
        <v>4</v>
      </c>
      <c r="AK152" s="2816">
        <f>P145</f>
        <v>1</v>
      </c>
      <c r="AL152" s="2816" t="str">
        <f>IF(INDEX($A$1:$AI$343,ROW($D$29)+($B152-1)*(ROW($D$63)-ROW($D$29))+Tablas!A$1-1,COLUMN($D$29)+($AJ152-1)*(COLUMN($J$29)-COLUMN($D$29)))="","",INDEX($A$1:$AI$343,ROW($D$29)+($B152-1)*(ROW($D$63)-ROW($D$29))+Tablas!A$1-1,COLUMN($D$29)+($AJ152-1)*(COLUMN($J$29)-COLUMN($D$29))))</f>
        <v/>
      </c>
      <c r="AM152" s="2816" t="str">
        <f>IF(INDEX($A$1:$AI$343,ROW($D$29)+($B152-1)*(ROW($D$63)-ROW($D$29))+Tablas!B$1-1,COLUMN($D$29)+($AJ152-1)*(COLUMN($J$29)-COLUMN($D$29)))="","",INDEX($A$1:$AI$343,ROW($D$29)+($B152-1)*(ROW($D$63)-ROW($D$29))+Tablas!B$1-1,COLUMN($D$29)+($AJ152-1)*(COLUMN($J$29)-COLUMN($D$29))))</f>
        <v/>
      </c>
      <c r="AN152" s="2816" t="str">
        <f>IF(INDEX($A$1:$AI$343,ROW($D$29)+($B152-1)*(ROW($D$63)-ROW($D$29))+Tablas!C$1-1,COLUMN($D$29)+($AJ152-1)*(COLUMN($J$29)-COLUMN($D$29)))="","",INDEX($A$1:$AI$343,ROW($D$29)+($B152-1)*(ROW($D$63)-ROW($D$29))+Tablas!C$1-1,COLUMN($D$29)+($AJ152-1)*(COLUMN($J$29)-COLUMN($D$29))))</f>
        <v/>
      </c>
      <c r="AO152" s="2816" t="str">
        <f>IF(INDEX($A$1:$AI$343,ROW($D$29)+($B152-1)*(ROW($D$63)-ROW($D$29))+Tablas!D$1-1,COLUMN($D$29)+($AJ152-1)*(COLUMN($J$29)-COLUMN($D$29)))="","",INDEX($A$1:$AI$343,ROW($D$29)+($B152-1)*(ROW($D$63)-ROW($D$29))+Tablas!D$1-1,COLUMN($D$29)+($AJ152-1)*(COLUMN($J$29)-COLUMN($D$29))))</f>
        <v/>
      </c>
      <c r="AP152" s="2816" t="str">
        <f>IF(INDEX($A$1:$AI$343,ROW($D$29)+($B152-1)*(ROW($D$63)-ROW($D$29))+Tablas!E$1-1,COLUMN($D$29)+($AJ152-1)*(COLUMN($J$29)-COLUMN($D$29)))="","",INDEX($A$1:$AI$343,ROW($D$29)+($B152-1)*(ROW($D$63)-ROW($D$29))+Tablas!E$1-1,COLUMN($D$29)+($AJ152-1)*(COLUMN($J$29)-COLUMN($D$29))))</f>
        <v/>
      </c>
      <c r="AQ152" s="2816" t="str">
        <f>IF(INDEX($A$1:$AI$343,ROW($D$29)+($B152-1)*(ROW($D$63)-ROW($D$29))+Tablas!F$1-1,COLUMN($D$29)+($AJ152-1)*(COLUMN($J$29)-COLUMN($D$29)))="","",INDEX($A$1:$AI$343,ROW($D$29)+($B152-1)*(ROW($D$63)-ROW($D$29))+Tablas!F$1-1,COLUMN($D$29)+($AJ152-1)*(COLUMN($J$29)-COLUMN($D$29))))</f>
        <v/>
      </c>
      <c r="AR152" s="2816" t="str">
        <f>IF(INDEX($A$1:$AI$343,ROW($D$29)+($B152-1)*(ROW($D$63)-ROW($D$29))+Tablas!G$1-1,COLUMN($D$29)+($AJ152-1)*(COLUMN($J$29)-COLUMN($D$29)))="","",INDEX($A$1:$AI$343,ROW($D$29)+($B152-1)*(ROW($D$63)-ROW($D$29))+Tablas!G$1-1,COLUMN($D$29)+($AJ152-1)*(COLUMN($J$29)-COLUMN($D$29))))</f>
        <v/>
      </c>
      <c r="AS152" s="2816"/>
      <c r="AT152" s="3035">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2816" t="str">
        <f>IFERROR(VLOOKUP(F152,'Tablas Técnicas'!$C$9:$H$81,6,FALSE),"")</f>
        <v/>
      </c>
      <c r="AW152" s="3035" t="b">
        <f>OR(AV152="",OR(ISNUMBER(SEARCH($O154,AV152)),ISNUMBER(SEARCH($Q154,AV152)),ISNUMBER(SEARCH($O155,AV152)),ISNUMBER(SEARCH($Q155,AV152)),ISNUMBER(SEARCH($O156,AV152)),ISNUMBER(SEARCH($Q156,AV152)),))</f>
        <v>1</v>
      </c>
      <c r="AX152" s="3035" t="b">
        <f>AND(P145&gt;1,OR(MAX(AA162:AA168)=1,MAX(AA162:AA168)=2))</f>
        <v>0</v>
      </c>
      <c r="AZ152" s="3035"/>
      <c r="BA152" s="2816" t="str">
        <f>IF(F152="","",F152&amp;" ("&amp;IF(AL152="","",AL152&amp;", ")&amp;IF(AM152="","",AM152&amp;", ")&amp;IF(AN152="","",AN152&amp;", ")&amp;IF(AO152="","",AO152&amp;", ")&amp;IF(AP152="","",AP152&amp;", ")&amp;IF(AQ152="","",AQ152&amp;", ")&amp;IF(AR152="","",AR152&amp;", "))</f>
        <v/>
      </c>
      <c r="BB152" s="3035" t="str">
        <f>IFERROR(LEFT(BA152,LEN(BA152)-2)&amp;"), ","")</f>
        <v/>
      </c>
      <c r="BC152" s="3023" t="str">
        <f>IFERROR(LEFT(BB152,LEN(BB152)-2)&amp;"), ","")</f>
        <v/>
      </c>
    </row>
    <row r="153" spans="1:57" x14ac:dyDescent="0.2">
      <c r="A153" s="3030"/>
      <c r="B153" s="3070">
        <f t="shared" si="12"/>
        <v>5</v>
      </c>
      <c r="C153" s="5106"/>
      <c r="D153" s="5093" t="s">
        <v>790</v>
      </c>
      <c r="E153" s="5094"/>
      <c r="F153" s="5084"/>
      <c r="G153" s="5085"/>
      <c r="H153" s="5085"/>
      <c r="I153" s="5085"/>
      <c r="J153" s="5086"/>
      <c r="K153" s="5087" t="s">
        <v>1729</v>
      </c>
      <c r="L153" s="5088"/>
      <c r="M153" s="5089"/>
      <c r="N153" s="3032">
        <f>SUMPRODUCT(INDEX('Tablas Técnicas'!$O$10:$X$639,,5),--(INDEX('Tablas Técnicas'!$O$10:$X$639,,1)=F153),--(ISNUMBER(MATCH(INDEX('Tablas Técnicas'!$O$10:$X$639,,2),$AL153:$AR153,0))))</f>
        <v>0</v>
      </c>
      <c r="O153" s="3032" t="str">
        <f>V153+X153+Z153+AB153+AD153+AF153&amp;" / "&amp;SUMPRODUCT(INDEX('Tablas Técnicas'!$O$10:$X$639,,IF(D153="Primario",3,4)),--(INDEX('Tablas Técnicas'!$O$10:$X$639,,1)=F153),--(ISNUMBER(MATCH(INDEX('Tablas Técnicas'!$O$10:$X$639,,2),$AL153:$AR153,0))))+IF(AND(K153&lt;&gt;"-",K153&lt;&gt;""),SUMPRODUCT(INDEX('Tablas Técnicas'!$O$10:$X$639,,IF(K153="Mantenido",6,IF(K153="Sostenimiento menor",7,IF(K153="Sostenimiento mayor",8,0)))),--(INDEX('Tablas Técnicas'!$O$10:$X$639,,1)=F153),--(ISNUMBER(MATCH(INDEX('Tablas Técnicas'!$O$10:$X$639,,2),$AL153:$AR153,0)))),0)+AT153</f>
        <v>0 / 0</v>
      </c>
      <c r="P153" s="3032" t="str">
        <f>W153+Y153+AA153+AC153+AE153+AG153&amp;" / "&amp;IF(K153="Mantenido",SUMPRODUCT(INDEX('Tablas Técnicas'!$O$10:$X$639,,6),--(INDEX('Tablas Técnicas'!$O$10:$X$639,,1)=F153),--(ISNUMBER(MATCH(INDEX('Tablas Técnicas'!$O$10:$X$639,,2),$AL153:$AR153,0)))),0)</f>
        <v>0 / 0</v>
      </c>
      <c r="Q153" s="5095" t="str">
        <f>IFERROR(VLOOKUP(F153,'Tablas Técnicas'!$C$9:$H$81,5,FALSE),"")</f>
        <v/>
      </c>
      <c r="R153" s="5095"/>
      <c r="S153" s="5095"/>
      <c r="T153" s="5095"/>
      <c r="U153" s="5095"/>
      <c r="V153" s="2836"/>
      <c r="W153" s="2837"/>
      <c r="X153" s="2836"/>
      <c r="Y153" s="2838"/>
      <c r="Z153" s="2839"/>
      <c r="AA153" s="2837"/>
      <c r="AB153" s="2836"/>
      <c r="AC153" s="2838"/>
      <c r="AD153" s="2839"/>
      <c r="AE153" s="2837"/>
      <c r="AF153" s="2836"/>
      <c r="AG153" s="2840"/>
      <c r="AH153" s="2821"/>
      <c r="AI153" s="3030"/>
      <c r="AJ153" s="2816">
        <v>5</v>
      </c>
      <c r="AK153" s="2816">
        <f>P145</f>
        <v>1</v>
      </c>
      <c r="AL153" s="2816" t="str">
        <f>IF(INDEX($A$1:$AI$343,ROW($D$29)+($B153-1)*(ROW($D$63)-ROW($D$29))+Tablas!A$1-1,COLUMN($D$29)+($AJ153-1)*(COLUMN($J$29)-COLUMN($D$29)))="","",INDEX($A$1:$AI$343,ROW($D$29)+($B153-1)*(ROW($D$63)-ROW($D$29))+Tablas!A$1-1,COLUMN($D$29)+($AJ153-1)*(COLUMN($J$29)-COLUMN($D$29))))</f>
        <v/>
      </c>
      <c r="AM153" s="2816" t="str">
        <f>IF(INDEX($A$1:$AI$343,ROW($D$29)+($B153-1)*(ROW($D$63)-ROW($D$29))+Tablas!B$1-1,COLUMN($D$29)+($AJ153-1)*(COLUMN($J$29)-COLUMN($D$29)))="","",INDEX($A$1:$AI$343,ROW($D$29)+($B153-1)*(ROW($D$63)-ROW($D$29))+Tablas!B$1-1,COLUMN($D$29)+($AJ153-1)*(COLUMN($J$29)-COLUMN($D$29))))</f>
        <v/>
      </c>
      <c r="AN153" s="2816" t="str">
        <f>IF(INDEX($A$1:$AI$343,ROW($D$29)+($B153-1)*(ROW($D$63)-ROW($D$29))+Tablas!C$1-1,COLUMN($D$29)+($AJ153-1)*(COLUMN($J$29)-COLUMN($D$29)))="","",INDEX($A$1:$AI$343,ROW($D$29)+($B153-1)*(ROW($D$63)-ROW($D$29))+Tablas!C$1-1,COLUMN($D$29)+($AJ153-1)*(COLUMN($J$29)-COLUMN($D$29))))</f>
        <v/>
      </c>
      <c r="AO153" s="2816" t="str">
        <f>IF(INDEX($A$1:$AI$343,ROW($D$29)+($B153-1)*(ROW($D$63)-ROW($D$29))+Tablas!D$1-1,COLUMN($D$29)+($AJ153-1)*(COLUMN($J$29)-COLUMN($D$29)))="","",INDEX($A$1:$AI$343,ROW($D$29)+($B153-1)*(ROW($D$63)-ROW($D$29))+Tablas!D$1-1,COLUMN($D$29)+($AJ153-1)*(COLUMN($J$29)-COLUMN($D$29))))</f>
        <v/>
      </c>
      <c r="AP153" s="2816" t="str">
        <f>IF(INDEX($A$1:$AI$343,ROW($D$29)+($B153-1)*(ROW($D$63)-ROW($D$29))+Tablas!E$1-1,COLUMN($D$29)+($AJ153-1)*(COLUMN($J$29)-COLUMN($D$29)))="","",INDEX($A$1:$AI$343,ROW($D$29)+($B153-1)*(ROW($D$63)-ROW($D$29))+Tablas!E$1-1,COLUMN($D$29)+($AJ153-1)*(COLUMN($J$29)-COLUMN($D$29))))</f>
        <v/>
      </c>
      <c r="AQ153" s="2816" t="str">
        <f>IF(INDEX($A$1:$AI$343,ROW($D$29)+($B153-1)*(ROW($D$63)-ROW($D$29))+Tablas!F$1-1,COLUMN($D$29)+($AJ153-1)*(COLUMN($J$29)-COLUMN($D$29)))="","",INDEX($A$1:$AI$343,ROW($D$29)+($B153-1)*(ROW($D$63)-ROW($D$29))+Tablas!F$1-1,COLUMN($D$29)+($AJ153-1)*(COLUMN($J$29)-COLUMN($D$29))))</f>
        <v/>
      </c>
      <c r="AR153" s="2816" t="str">
        <f>IF(INDEX($A$1:$AI$343,ROW($D$29)+($B153-1)*(ROW($D$63)-ROW($D$29))+Tablas!G$1-1,COLUMN($D$29)+($AJ153-1)*(COLUMN($J$29)-COLUMN($D$29)))="","",INDEX($A$1:$AI$343,ROW($D$29)+($B153-1)*(ROW($D$63)-ROW($D$29))+Tablas!G$1-1,COLUMN($D$29)+($AJ153-1)*(COLUMN($J$29)-COLUMN($D$29))))</f>
        <v/>
      </c>
      <c r="AS153" s="2816"/>
      <c r="AT153" s="3035">
        <f>IF(AND(ISNUMBER(FIND(V$14&amp;"+",$Q153)),V153&gt;0),MID($Q153,FIND(V$14&amp;"+",$Q153)+4,1),0)+IF(AND(ISNUMBER(FIND(X$14&amp;"+",$Q153)),X153&gt;0),MID($Q153,FIND(X$14&amp;"+",$Q153)+4,1),0)+IF(AND(ISNUMBER(FIND(Z$14&amp;"+",$Q153)),Z153&gt;0),MID($Q153,FIND(Z$14&amp;"+",$Q153)+4,1),0)+IF(AND(ISNUMBER(FIND(AB$14&amp;"+",$Q153)),AB153&gt;0),MID($Q153,FIND(AB$14&amp;"+",$Q153)+4,1),0)+IF(AND(ISNUMBER(FIND(AD$14&amp;"+",$Q153)),AD153&gt;0),MID($Q153,FIND(AD$14&amp;"+",$Q153)+4,1),0)+IF(AND(ISNUMBER(FIND(AF$14&amp;"+",$Q153)),AF153&gt;0),MID($Q153,FIND(AF$14&amp;"+",$Q153)+4,1),0)</f>
        <v>0</v>
      </c>
      <c r="AV153" s="2816" t="str">
        <f>IFERROR(VLOOKUP(F153,'Tablas Técnicas'!$C$9:$H$81,6,FALSE),"")</f>
        <v/>
      </c>
      <c r="AW153" s="3035" t="b">
        <f>OR(AV153="",OR(ISNUMBER(SEARCH($O154,AV153)),ISNUMBER(SEARCH($Q154,AV153)),ISNUMBER(SEARCH($O155,AV153)),ISNUMBER(SEARCH($Q155,AV153)),ISNUMBER(SEARCH($O156,AV153)),ISNUMBER(SEARCH($Q156,AV153)),))</f>
        <v>1</v>
      </c>
      <c r="AX153" s="3035" t="b">
        <f>AND(P145&gt;1,OR(MAX(AG162:AG168)=1,MAX(AG162:AG168)=2))</f>
        <v>0</v>
      </c>
      <c r="AZ153" s="3035"/>
      <c r="BA153" s="2816" t="str">
        <f>IF(F153="","",F153&amp;" ("&amp;IF(AL153="","",AL153&amp;", ")&amp;IF(AM153="","",AM153&amp;", ")&amp;IF(AN153="","",AN153&amp;", ")&amp;IF(AO153="","",AO153&amp;", ")&amp;IF(AP153="","",AP153&amp;", ")&amp;IF(AQ153="","",AQ153&amp;", ")&amp;IF(AR153="","",AR153&amp;", "))</f>
        <v/>
      </c>
      <c r="BB153" s="3035" t="str">
        <f t="shared" ref="BB153" si="17">IFERROR(LEFT(BA153,LEN(BA153)-2)&amp;"), ","")</f>
        <v/>
      </c>
      <c r="BC153" s="3023" t="str">
        <f t="shared" ref="BC153" si="18">IFERROR(LEFT(BB153,LEN(BB153)-2)&amp;"), ","")</f>
        <v/>
      </c>
    </row>
    <row r="154" spans="1:57" x14ac:dyDescent="0.2">
      <c r="A154" s="3030"/>
      <c r="B154" s="3070">
        <f t="shared" si="12"/>
        <v>5</v>
      </c>
      <c r="C154" s="5106"/>
      <c r="D154" s="5096" t="s">
        <v>3218</v>
      </c>
      <c r="E154" s="5097"/>
      <c r="F154" s="5102"/>
      <c r="G154" s="5103"/>
      <c r="H154" s="5103"/>
      <c r="I154" s="5103"/>
      <c r="J154" s="5104"/>
      <c r="K154" s="5128"/>
      <c r="L154" s="5176"/>
      <c r="M154" s="5177"/>
      <c r="N154" s="2841" t="str">
        <f>IF(F154="","",SUMPRODUCT(--(INDEX('Tablas Técnicas'!$C$114:$F$200,,1)=F154),--(INDEX('Tablas Técnicas'!$C$114:$F$200,,2)=K154),INDEX('Tablas Técnicas'!$C$114:$F$200,,3)))</f>
        <v/>
      </c>
      <c r="O154" s="5178"/>
      <c r="P154" s="5179"/>
      <c r="Q154" s="5180"/>
      <c r="R154" s="5179"/>
      <c r="S154" s="3036" t="str">
        <f>IF(K154="","","Nivel: "&amp;MAX(1,SUMPRODUCT(--(INDEX('Tablas Técnicas'!$C$114:$F$200,,1)=F154),--(INDEX('Tablas Técnicas'!$C$114:$F$200,,2)=K154),INDEX('Tablas Técnicas'!$C$114:$F$200,,4))))</f>
        <v/>
      </c>
      <c r="T154" s="2842"/>
      <c r="U154" s="2843" t="str">
        <f>IFERROR("("&amp;VLOOKUP(F154,'Tablas Técnicas'!$C$86:$E$108,3,FALSE)&amp;")","")</f>
        <v/>
      </c>
      <c r="V154" s="5195" t="s">
        <v>10245</v>
      </c>
      <c r="W154" s="5196"/>
      <c r="X154" s="5196"/>
      <c r="Y154" s="5196"/>
      <c r="Z154" s="5196"/>
      <c r="AA154" s="5196"/>
      <c r="AB154" s="5196"/>
      <c r="AC154" s="5196"/>
      <c r="AD154" s="5196"/>
      <c r="AE154" s="5196"/>
      <c r="AF154" s="5196"/>
      <c r="AG154" s="5197"/>
      <c r="AH154" s="2821"/>
      <c r="AI154" s="3030"/>
      <c r="AJ154" s="2816">
        <v>1</v>
      </c>
      <c r="AK154" s="2816">
        <f>P145</f>
        <v>1</v>
      </c>
      <c r="AL154" s="2816" t="e">
        <f>VLOOKUP(F154,'Tablas Técnicas'!$C$86:$E$108,2,FALSE)</f>
        <v>#N/A</v>
      </c>
      <c r="AN154" s="2817"/>
      <c r="AR154" s="2816"/>
      <c r="AS154" s="2816"/>
      <c r="AT154" s="2816"/>
      <c r="AU154" s="2816"/>
      <c r="AV154" s="3035"/>
      <c r="AW154" s="3035" t="b">
        <f>F154="Atadura Elemental"</f>
        <v>0</v>
      </c>
      <c r="AX154" s="3035"/>
      <c r="AZ154" s="3035"/>
      <c r="BA154" s="3035"/>
      <c r="BB154" s="2816" t="str">
        <f>IF(F154="","",F154&amp;IF(K154="",""," ("&amp;IF(F154="Atadura Elemental",O154&amp;IF(Q154="","",", "&amp;Q154),K154)&amp;")")&amp;", ")</f>
        <v/>
      </c>
      <c r="BC154" s="2816" t="str">
        <f>IF(F154="","",F154&amp;IF(K154="",""," ("&amp;IF(F154="Atadura Elemental",O154&amp;IF(Q154="","",", "&amp;Q154),K154)&amp;")")&amp;", ")</f>
        <v/>
      </c>
    </row>
    <row r="155" spans="1:57" ht="11.25" customHeight="1" x14ac:dyDescent="0.2">
      <c r="A155" s="3030"/>
      <c r="B155" s="3070">
        <f t="shared" si="12"/>
        <v>5</v>
      </c>
      <c r="C155" s="5106"/>
      <c r="D155" s="5098"/>
      <c r="E155" s="5099"/>
      <c r="F155" s="5171"/>
      <c r="G155" s="5172"/>
      <c r="H155" s="5172"/>
      <c r="I155" s="5172"/>
      <c r="J155" s="5173"/>
      <c r="K155" s="5114"/>
      <c r="L155" s="5156"/>
      <c r="M155" s="5157"/>
      <c r="N155" s="2844" t="str">
        <f>IF(F155="","",SUMPRODUCT(--(INDEX('Tablas Técnicas'!$C$114:$F$200,,1)=F155),--(INDEX('Tablas Técnicas'!$C$114:$F$200,,2)=K155),INDEX('Tablas Técnicas'!$C$114:$F$200,,3)))</f>
        <v/>
      </c>
      <c r="O155" s="5158"/>
      <c r="P155" s="5159"/>
      <c r="Q155" s="5160"/>
      <c r="R155" s="5159"/>
      <c r="S155" s="3039" t="str">
        <f>IF(K155="","","Nivel: "&amp;MAX(1,SUMPRODUCT(--(INDEX('Tablas Técnicas'!$C$114:$F$200,,1)=F155),--(INDEX('Tablas Técnicas'!$C$114:$F$200,,2)=K155),INDEX('Tablas Técnicas'!$C$114:$F$200,,4))))</f>
        <v/>
      </c>
      <c r="T155" s="3015"/>
      <c r="U155" s="3016" t="str">
        <f>IFERROR("("&amp;VLOOKUP(F155,'Tablas Técnicas'!$C$86:$E$108,3,FALSE)&amp;")","")</f>
        <v/>
      </c>
      <c r="V155" s="5198" t="s">
        <v>9659</v>
      </c>
      <c r="W155" s="5199"/>
      <c r="X155" s="5200"/>
      <c r="Y155" s="3025">
        <v>0</v>
      </c>
      <c r="Z155" s="5201" t="s">
        <v>9660</v>
      </c>
      <c r="AA155" s="5202"/>
      <c r="AB155" s="5203"/>
      <c r="AC155" s="3025">
        <v>0</v>
      </c>
      <c r="AD155" s="5204" t="str">
        <f>"Ki repartido / total: "&amp;AL166&amp;IF(AM165=0,""," ("&amp;AM165&amp;")")&amp;" / "&amp;AL165&amp;IF(AM166=0,""," ("&amp;AM166&amp;")")</f>
        <v>Ki repartido / total: 0 / 0</v>
      </c>
      <c r="AE155" s="5205"/>
      <c r="AF155" s="5205"/>
      <c r="AG155" s="5206"/>
      <c r="AH155" s="2821"/>
      <c r="AI155" s="3030"/>
      <c r="AJ155" s="2816">
        <v>2</v>
      </c>
      <c r="AK155" s="2816">
        <f>P145</f>
        <v>1</v>
      </c>
      <c r="AL155" s="2816" t="e">
        <f>VLOOKUP(F155,'Tablas Técnicas'!$C$86:$E$108,2,FALSE)</f>
        <v>#N/A</v>
      </c>
      <c r="AN155" s="2817"/>
      <c r="AR155" s="2816"/>
      <c r="AS155" s="2816"/>
      <c r="AT155" s="2816"/>
      <c r="AU155" s="2816"/>
      <c r="AV155" s="3035"/>
      <c r="AW155" s="3035" t="b">
        <f>F155="Atadura Elemental"</f>
        <v>0</v>
      </c>
      <c r="AX155" s="3035"/>
      <c r="AZ155" s="3035"/>
      <c r="BA155" s="3035"/>
      <c r="BB155" s="2816" t="str">
        <f>IF(F155="","",F155&amp;IF(K155="",""," ("&amp;IF(F155="Atadura Elemental",O155&amp;IF(Q155="","",", "&amp;Q155),K155)&amp;")")&amp;", ")</f>
        <v/>
      </c>
      <c r="BC155" s="2816" t="str">
        <f>IF(F155="","",F155&amp;IF(K155="",""," ("&amp;IF(F155="Atadura Elemental",O155&amp;IF(Q155="","",", "&amp;Q155),K155)&amp;")")&amp;", ")</f>
        <v/>
      </c>
    </row>
    <row r="156" spans="1:57" x14ac:dyDescent="0.2">
      <c r="A156" s="3030"/>
      <c r="B156" s="3070">
        <f t="shared" si="12"/>
        <v>5</v>
      </c>
      <c r="C156" s="5106"/>
      <c r="D156" s="5100"/>
      <c r="E156" s="5101"/>
      <c r="F156" s="5168"/>
      <c r="G156" s="5169"/>
      <c r="H156" s="5169"/>
      <c r="I156" s="5169"/>
      <c r="J156" s="5170"/>
      <c r="K156" s="5148"/>
      <c r="L156" s="5149"/>
      <c r="M156" s="5150"/>
      <c r="N156" s="2845" t="str">
        <f>IF(F156="","",SUMPRODUCT(--(INDEX('Tablas Técnicas'!$C$114:$F$200,,1)=F156),--(INDEX('Tablas Técnicas'!$C$114:$F$200,,2)=K156),INDEX('Tablas Técnicas'!$C$114:$F$200,,3)))</f>
        <v/>
      </c>
      <c r="O156" s="5151"/>
      <c r="P156" s="5152"/>
      <c r="Q156" s="5153"/>
      <c r="R156" s="5152"/>
      <c r="S156" s="3032" t="str">
        <f>IF(K156="","","Nivel: "&amp;MAX(1,SUMPRODUCT(--(INDEX('Tablas Técnicas'!$C$114:$F$200,,1)=F156),--(INDEX('Tablas Técnicas'!$C$114:$F$200,,2)=K156),INDEX('Tablas Técnicas'!$C$114:$F$200,,4))))</f>
        <v/>
      </c>
      <c r="T156" s="2846"/>
      <c r="U156" s="3017" t="str">
        <f>IFERROR("("&amp;VLOOKUP(F156,'Tablas Técnicas'!$C$86:$E$108,3,FALSE)&amp;")","")</f>
        <v/>
      </c>
      <c r="V156" s="5154"/>
      <c r="W156" s="5154"/>
      <c r="X156" s="5154"/>
      <c r="Y156" s="5154"/>
      <c r="Z156" s="5154"/>
      <c r="AA156" s="5154"/>
      <c r="AB156" s="5154"/>
      <c r="AC156" s="5154"/>
      <c r="AD156" s="5154"/>
      <c r="AE156" s="5154"/>
      <c r="AF156" s="5154"/>
      <c r="AG156" s="5155"/>
      <c r="AH156" s="2821"/>
      <c r="AI156" s="3030"/>
      <c r="AJ156" s="2816">
        <v>3</v>
      </c>
      <c r="AK156" s="2816">
        <f>P145</f>
        <v>1</v>
      </c>
      <c r="AL156" s="2816" t="e">
        <f>VLOOKUP(F156,'Tablas Técnicas'!$C$86:$E$108,2,FALSE)</f>
        <v>#N/A</v>
      </c>
      <c r="AN156" s="2817"/>
      <c r="AR156" s="3035"/>
      <c r="AT156" s="3035"/>
      <c r="AV156" s="3035"/>
      <c r="AW156" s="3035" t="b">
        <f>F156="Atadura Elemental"</f>
        <v>0</v>
      </c>
      <c r="AX156" s="3035"/>
      <c r="AZ156" s="3035"/>
      <c r="BA156" s="3035"/>
      <c r="BB156" s="2816" t="str">
        <f>IF(F156="","",F156&amp;IF(K156="",""," ("&amp;IF(F156="Atadura Elemental",O156&amp;IF(Q156="","",", "&amp;Q156),K156)&amp;")")&amp;", ")</f>
        <v/>
      </c>
      <c r="BC156" s="2816" t="str">
        <f>IF(F156="","",F156&amp;IF(K156="",""," ("&amp;IF(F156="Atadura Elemental",O156&amp;IF(Q156="","",", "&amp;Q156),K156)&amp;")")&amp;", ")</f>
        <v/>
      </c>
    </row>
    <row r="157" spans="1:57" x14ac:dyDescent="0.2">
      <c r="A157" s="3030"/>
      <c r="B157" s="3070">
        <f t="shared" si="12"/>
        <v>5</v>
      </c>
      <c r="C157" s="5106"/>
      <c r="D157" s="5069" t="s">
        <v>10241</v>
      </c>
      <c r="E157" s="5070"/>
      <c r="F157" s="5070"/>
      <c r="G157" s="5070"/>
      <c r="H157" s="5070"/>
      <c r="I157" s="5070"/>
      <c r="J157" s="5070"/>
      <c r="K157" s="5070"/>
      <c r="L157" s="5070"/>
      <c r="M157" s="5070"/>
      <c r="N157" s="5070"/>
      <c r="O157" s="5070"/>
      <c r="P157" s="5070"/>
      <c r="Q157" s="5070"/>
      <c r="R157" s="5070"/>
      <c r="S157" s="5070"/>
      <c r="T157" s="5070"/>
      <c r="U157" s="5070"/>
      <c r="V157" s="5070"/>
      <c r="W157" s="5070"/>
      <c r="X157" s="5070"/>
      <c r="Y157" s="5070"/>
      <c r="Z157" s="5070"/>
      <c r="AA157" s="5070"/>
      <c r="AB157" s="5070"/>
      <c r="AC157" s="5070"/>
      <c r="AD157" s="5070"/>
      <c r="AE157" s="5070"/>
      <c r="AF157" s="5070"/>
      <c r="AG157" s="5071"/>
      <c r="AH157" s="2821"/>
      <c r="AI157" s="3030"/>
      <c r="AN157" s="2817" t="s">
        <v>9661</v>
      </c>
      <c r="AO157" s="2816" t="e">
        <f>LEFT(BB149&amp;BB150&amp;BB151&amp;BB152&amp;BB153,LEN(BB149&amp;BB150&amp;BB151&amp;BB152&amp;BB153)-2)</f>
        <v>#VALUE!</v>
      </c>
      <c r="AR157" s="3035"/>
      <c r="AT157" s="2817"/>
      <c r="AU157" s="2817"/>
      <c r="AV157" s="3035"/>
      <c r="AW157" s="3035"/>
      <c r="AX157" s="3035"/>
      <c r="AZ157" s="3035"/>
      <c r="BA157" s="3035"/>
      <c r="BB157" s="3035"/>
      <c r="BC157" s="3023"/>
    </row>
    <row r="158" spans="1:57" x14ac:dyDescent="0.2">
      <c r="A158" s="3030"/>
      <c r="B158" s="3070">
        <f t="shared" si="12"/>
        <v>5</v>
      </c>
      <c r="C158" s="5106"/>
      <c r="D158" s="5066" t="str">
        <f>IF(F149="","",F149)</f>
        <v/>
      </c>
      <c r="E158" s="5067"/>
      <c r="F158" s="5067"/>
      <c r="G158" s="5067"/>
      <c r="H158" s="5067"/>
      <c r="I158" s="5068"/>
      <c r="J158" s="5066" t="str">
        <f>IF(F150="","",F150)</f>
        <v/>
      </c>
      <c r="K158" s="5067"/>
      <c r="L158" s="5067"/>
      <c r="M158" s="5067"/>
      <c r="N158" s="5067"/>
      <c r="O158" s="5068"/>
      <c r="P158" s="5067" t="str">
        <f>IF(F151="","",F151)</f>
        <v/>
      </c>
      <c r="Q158" s="5067"/>
      <c r="R158" s="5067"/>
      <c r="S158" s="5067"/>
      <c r="T158" s="5067"/>
      <c r="U158" s="5068"/>
      <c r="V158" s="5066" t="str">
        <f>IF(F152="","",F152)</f>
        <v/>
      </c>
      <c r="W158" s="5067"/>
      <c r="X158" s="5067"/>
      <c r="Y158" s="5067"/>
      <c r="Z158" s="5067"/>
      <c r="AA158" s="5068"/>
      <c r="AB158" s="5067" t="str">
        <f>IF(F153="","",F153)</f>
        <v/>
      </c>
      <c r="AC158" s="5067"/>
      <c r="AD158" s="5067"/>
      <c r="AE158" s="5067"/>
      <c r="AF158" s="5067"/>
      <c r="AG158" s="5083"/>
      <c r="AH158" s="2821"/>
      <c r="AI158" s="3030"/>
      <c r="AN158" s="2817" t="s">
        <v>9662</v>
      </c>
      <c r="AO158" s="2816" t="e">
        <f>LEFT(BB154&amp;BB155&amp;BB156,LEN(BB154&amp;BB155&amp;BB156)-2)</f>
        <v>#VALUE!</v>
      </c>
      <c r="AR158" s="3035"/>
      <c r="AT158" s="2817"/>
      <c r="AU158" s="2817"/>
      <c r="AV158" s="3035"/>
      <c r="AW158" s="3035"/>
      <c r="AX158" s="3035"/>
      <c r="AZ158" s="3035"/>
      <c r="BA158" s="3035"/>
      <c r="BB158" s="3035"/>
      <c r="BC158" s="3023"/>
    </row>
    <row r="159" spans="1:57" x14ac:dyDescent="0.2">
      <c r="A159" s="3030"/>
      <c r="B159" s="3070">
        <f t="shared" si="12"/>
        <v>5</v>
      </c>
      <c r="C159" s="5106"/>
      <c r="D159" s="3046" t="s">
        <v>2121</v>
      </c>
      <c r="E159" s="3040" t="str">
        <f>IFERROR(VLOOKUP(D158,'Tablas Técnicas'!$C$9:$H$81,3,FALSE),"")</f>
        <v/>
      </c>
      <c r="F159" s="3019"/>
      <c r="G159" s="3018"/>
      <c r="H159" s="3018" t="s">
        <v>1636</v>
      </c>
      <c r="I159" s="3040" t="str">
        <f>IFERROR(VLOOKUP(D158,'Tablas Técnicas'!$C$9:$H$81,4,FALSE),"")</f>
        <v/>
      </c>
      <c r="J159" s="3046" t="s">
        <v>2121</v>
      </c>
      <c r="K159" s="3040" t="str">
        <f>IFERROR(VLOOKUP(J158,'Tablas Técnicas'!$C$9:$H$81,3,FALSE),"")</f>
        <v/>
      </c>
      <c r="L159" s="3019"/>
      <c r="M159" s="3018"/>
      <c r="N159" s="3018" t="s">
        <v>1636</v>
      </c>
      <c r="O159" s="2847" t="str">
        <f>IFERROR(VLOOKUP(J158,'Tablas Técnicas'!$C$9:$H$81,4,FALSE),"")</f>
        <v/>
      </c>
      <c r="P159" s="3018" t="s">
        <v>2121</v>
      </c>
      <c r="Q159" s="3040" t="str">
        <f>IFERROR(VLOOKUP(P158,'Tablas Técnicas'!$C$9:$H$81,3,FALSE),"")</f>
        <v/>
      </c>
      <c r="R159" s="3019"/>
      <c r="S159" s="3018"/>
      <c r="T159" s="3018" t="s">
        <v>1636</v>
      </c>
      <c r="U159" s="3040" t="str">
        <f>IFERROR(VLOOKUP(P158,'Tablas Técnicas'!$C$9:$H$81,4,FALSE),"")</f>
        <v/>
      </c>
      <c r="V159" s="3046" t="s">
        <v>2121</v>
      </c>
      <c r="W159" s="3040" t="str">
        <f>IFERROR(VLOOKUP(V158,'Tablas Técnicas'!$C$9:$H$81,3,FALSE),"")</f>
        <v/>
      </c>
      <c r="X159" s="3019"/>
      <c r="Y159" s="3018"/>
      <c r="Z159" s="3018" t="s">
        <v>1636</v>
      </c>
      <c r="AA159" s="2847" t="str">
        <f>IFERROR(VLOOKUP(V158,'Tablas Técnicas'!$C$9:$H$81,4,FALSE),"")</f>
        <v/>
      </c>
      <c r="AB159" s="3018" t="s">
        <v>2121</v>
      </c>
      <c r="AC159" s="3040" t="str">
        <f>IFERROR(VLOOKUP(AB158,'Tablas Técnicas'!$C$9:$H$81,3,FALSE),"")</f>
        <v/>
      </c>
      <c r="AD159" s="3019"/>
      <c r="AE159" s="3018"/>
      <c r="AF159" s="3018" t="s">
        <v>1636</v>
      </c>
      <c r="AG159" s="2848" t="str">
        <f>IFERROR(VLOOKUP(AB158,'Tablas Técnicas'!$C$9:$H$81,4,FALSE),"")</f>
        <v/>
      </c>
      <c r="AH159" s="2821"/>
      <c r="AI159" s="3030"/>
      <c r="AN159" s="2817"/>
      <c r="AR159" s="3035"/>
      <c r="AT159" s="3035"/>
      <c r="AV159" s="3035"/>
      <c r="AW159" s="3035"/>
      <c r="AX159" s="3035"/>
      <c r="AZ159" s="3035"/>
      <c r="BA159" s="3035"/>
      <c r="BB159" s="3035"/>
      <c r="BC159" s="3023"/>
    </row>
    <row r="160" spans="1:57" x14ac:dyDescent="0.2">
      <c r="A160" s="3030"/>
      <c r="B160" s="3070">
        <f t="shared" si="12"/>
        <v>5</v>
      </c>
      <c r="C160" s="5106"/>
      <c r="D160" s="3047" t="s">
        <v>9663</v>
      </c>
      <c r="E160" s="3018"/>
      <c r="F160" s="3019"/>
      <c r="G160" s="3020"/>
      <c r="H160" s="3020"/>
      <c r="I160" s="3017" t="str">
        <f>AV149</f>
        <v/>
      </c>
      <c r="J160" s="2849" t="s">
        <v>9663</v>
      </c>
      <c r="K160" s="2850"/>
      <c r="L160" s="2851"/>
      <c r="M160" s="2852"/>
      <c r="N160" s="2852"/>
      <c r="O160" s="2853" t="str">
        <f>IFERROR(VLOOKUP(J158,'Tablas Técnicas'!$C$9:$H$81,6,FALSE),"")</f>
        <v/>
      </c>
      <c r="P160" s="2854" t="s">
        <v>9663</v>
      </c>
      <c r="Q160" s="2850"/>
      <c r="R160" s="2851"/>
      <c r="S160" s="2852"/>
      <c r="T160" s="2852"/>
      <c r="U160" s="2855" t="str">
        <f>IFERROR(VLOOKUP(P158,'Tablas Técnicas'!$C$9:$H$81,6,FALSE),"")</f>
        <v/>
      </c>
      <c r="V160" s="2849" t="s">
        <v>9663</v>
      </c>
      <c r="W160" s="2850"/>
      <c r="X160" s="2851"/>
      <c r="Y160" s="2852"/>
      <c r="Z160" s="2852"/>
      <c r="AA160" s="2853" t="str">
        <f>IFERROR(VLOOKUP(V158,'Tablas Técnicas'!$C$9:$H$81,6,FALSE),"")</f>
        <v/>
      </c>
      <c r="AB160" s="2854" t="s">
        <v>9663</v>
      </c>
      <c r="AC160" s="2850"/>
      <c r="AD160" s="2851"/>
      <c r="AE160" s="2852"/>
      <c r="AF160" s="2852"/>
      <c r="AG160" s="2856" t="str">
        <f>IFERROR(VLOOKUP(AB158,'Tablas Técnicas'!$C$9:$H$81,6,FALSE),"")</f>
        <v/>
      </c>
      <c r="AH160" s="2821"/>
      <c r="AI160" s="3030"/>
      <c r="AJ160" s="2816" t="s">
        <v>9664</v>
      </c>
      <c r="AR160" s="3035"/>
      <c r="AT160" s="3035"/>
      <c r="AV160" s="3035"/>
      <c r="AW160" s="3035"/>
      <c r="AX160" s="3035"/>
      <c r="AZ160" s="3035"/>
      <c r="BA160" s="3035"/>
      <c r="BB160" s="2816"/>
      <c r="BC160" s="2816"/>
    </row>
    <row r="161" spans="1:55" x14ac:dyDescent="0.2">
      <c r="A161" s="3030"/>
      <c r="B161" s="3070">
        <f t="shared" si="12"/>
        <v>5</v>
      </c>
      <c r="C161" s="5106"/>
      <c r="D161" s="5066" t="s">
        <v>3226</v>
      </c>
      <c r="E161" s="5067"/>
      <c r="F161" s="5067"/>
      <c r="G161" s="5067"/>
      <c r="H161" s="5068"/>
      <c r="I161" s="2857" t="s">
        <v>1676</v>
      </c>
      <c r="J161" s="5066" t="s">
        <v>3226</v>
      </c>
      <c r="K161" s="5067"/>
      <c r="L161" s="5067"/>
      <c r="M161" s="5067"/>
      <c r="N161" s="5068"/>
      <c r="O161" s="2858" t="s">
        <v>1676</v>
      </c>
      <c r="P161" s="5066" t="s">
        <v>3226</v>
      </c>
      <c r="Q161" s="5067"/>
      <c r="R161" s="5067"/>
      <c r="S161" s="5067"/>
      <c r="T161" s="5068"/>
      <c r="U161" s="2858" t="s">
        <v>1676</v>
      </c>
      <c r="V161" s="5066" t="s">
        <v>3226</v>
      </c>
      <c r="W161" s="5067"/>
      <c r="X161" s="5067"/>
      <c r="Y161" s="5067"/>
      <c r="Z161" s="5068"/>
      <c r="AA161" s="2858" t="s">
        <v>1676</v>
      </c>
      <c r="AB161" s="5066" t="s">
        <v>3226</v>
      </c>
      <c r="AC161" s="5067"/>
      <c r="AD161" s="5067"/>
      <c r="AE161" s="5067"/>
      <c r="AF161" s="5068"/>
      <c r="AG161" s="2859" t="s">
        <v>1676</v>
      </c>
      <c r="AH161" s="2821"/>
      <c r="AI161" s="3030"/>
      <c r="AJ161" s="2816" t="s">
        <v>9665</v>
      </c>
      <c r="AQ161" s="2816"/>
      <c r="AR161" s="2816"/>
      <c r="AS161" s="2816"/>
      <c r="AT161" s="2816"/>
      <c r="AU161" s="2816"/>
      <c r="AV161" s="2816"/>
      <c r="AW161" s="2816"/>
      <c r="AX161" s="2816"/>
      <c r="AY161" s="2816"/>
      <c r="AZ161" s="3035"/>
      <c r="BA161" s="3035"/>
      <c r="BB161" s="3035"/>
      <c r="BC161" s="3023"/>
    </row>
    <row r="162" spans="1:55" x14ac:dyDescent="0.2">
      <c r="A162" s="3030"/>
      <c r="B162" s="3070">
        <f t="shared" si="12"/>
        <v>5</v>
      </c>
      <c r="C162" s="5106"/>
      <c r="D162" s="5081"/>
      <c r="E162" s="5082"/>
      <c r="F162" s="5082"/>
      <c r="G162" s="5082"/>
      <c r="H162" s="5082"/>
      <c r="I162" s="2860" t="str">
        <f>IF(OR(D158="",D162=""),"",MAX(1,SUMPRODUCT(--(INDEX('Tablas Técnicas'!$O$10:$X$639,,1)=D158),--(INDEX('Tablas Técnicas'!$O$10:$X$639,,2)=D162),INDEX('Tablas Técnicas'!$O$10:$X$639,,9))))</f>
        <v/>
      </c>
      <c r="J162" s="5082"/>
      <c r="K162" s="5082"/>
      <c r="L162" s="5082"/>
      <c r="M162" s="5082"/>
      <c r="N162" s="5082"/>
      <c r="O162" s="2860" t="str">
        <f>IF(OR(J158="",J162=""),"",MAX(1,SUMPRODUCT(--(INDEX('Tablas Técnicas'!$O$10:$X$639,,1)=J158),--(INDEX('Tablas Técnicas'!$O$10:$X$639,,2)=J162),INDEX('Tablas Técnicas'!$O$10:$X$639,,9))))</f>
        <v/>
      </c>
      <c r="P162" s="5081"/>
      <c r="Q162" s="5082"/>
      <c r="R162" s="5082"/>
      <c r="S162" s="5082"/>
      <c r="T162" s="5082"/>
      <c r="U162" s="2860" t="str">
        <f>IF(OR(P158="",P162=""),"",MAX(1,SUMPRODUCT(--(INDEX('Tablas Técnicas'!$O$10:$X$639,,1)=P158),--(INDEX('Tablas Técnicas'!$O$10:$X$639,,2)=P162),INDEX('Tablas Técnicas'!$O$10:$X$639,,9))))</f>
        <v/>
      </c>
      <c r="V162" s="5081"/>
      <c r="W162" s="5082"/>
      <c r="X162" s="5082"/>
      <c r="Y162" s="5082"/>
      <c r="Z162" s="5082"/>
      <c r="AA162" s="2860" t="str">
        <f>IF(OR(V158="",V162=""),"",MAX(1,SUMPRODUCT(--(INDEX('Tablas Técnicas'!$O$10:$X$639,,1)=V158),--(INDEX('Tablas Técnicas'!$O$10:$X$639,,2)=V162),INDEX('Tablas Técnicas'!$O$10:$X$639,,9))))</f>
        <v/>
      </c>
      <c r="AB162" s="5081"/>
      <c r="AC162" s="5082"/>
      <c r="AD162" s="5082"/>
      <c r="AE162" s="5082"/>
      <c r="AF162" s="5082"/>
      <c r="AG162" s="2861" t="str">
        <f>IF(OR(AB158="",AB162=""),"",MAX(1,SUMPRODUCT(--(INDEX('Tablas Técnicas'!$O$10:$X$639,,1)=AB158),--(INDEX('Tablas Técnicas'!$O$10:$X$639,,2)=AB162),INDEX('Tablas Técnicas'!$O$10:$X$639,,9))))</f>
        <v/>
      </c>
      <c r="AH162" s="2821">
        <f>P145</f>
        <v>1</v>
      </c>
      <c r="AI162" s="3030"/>
      <c r="AJ162" s="2816" t="s">
        <v>9667</v>
      </c>
      <c r="AK162" s="3035"/>
      <c r="AL162" s="3035"/>
      <c r="AM162" s="3035"/>
      <c r="AN162" s="3035"/>
      <c r="AO162" s="3035"/>
      <c r="AP162" s="2824"/>
      <c r="AQ162" s="2824"/>
      <c r="AR162" s="2824"/>
      <c r="AS162" s="2824"/>
      <c r="AT162" s="2824"/>
      <c r="AU162" s="2824"/>
      <c r="AV162" s="2824"/>
      <c r="AW162" s="2824"/>
      <c r="AX162" s="2824"/>
      <c r="AY162" s="2824"/>
      <c r="AZ162" s="3035"/>
      <c r="BA162" s="3035"/>
      <c r="BB162" s="3035"/>
      <c r="BC162" s="3023"/>
    </row>
    <row r="163" spans="1:55" x14ac:dyDescent="0.2">
      <c r="A163" s="3030"/>
      <c r="B163" s="3070">
        <f t="shared" si="12"/>
        <v>5</v>
      </c>
      <c r="C163" s="5106"/>
      <c r="D163" s="5064"/>
      <c r="E163" s="5065"/>
      <c r="F163" s="5065"/>
      <c r="G163" s="5065"/>
      <c r="H163" s="5065"/>
      <c r="I163" s="2862" t="str">
        <f>IF(OR(D158="",D163=""),"",MAX(1,SUMPRODUCT(--(INDEX('Tablas Técnicas'!$O$10:$X$639,,1)=D158),--(INDEX('Tablas Técnicas'!$O$10:$X$639,,2)=D163),INDEX('Tablas Técnicas'!$O$10:$X$639,,9))))</f>
        <v/>
      </c>
      <c r="J163" s="5065"/>
      <c r="K163" s="5065"/>
      <c r="L163" s="5065"/>
      <c r="M163" s="5065"/>
      <c r="N163" s="5065"/>
      <c r="O163" s="2862" t="str">
        <f>IF(OR(J158="",J163=""),"",MAX(1,SUMPRODUCT(--(INDEX('Tablas Técnicas'!$O$10:$X$639,,1)=J158),--(INDEX('Tablas Técnicas'!$O$10:$X$639,,2)=J163),INDEX('Tablas Técnicas'!$O$10:$X$639,,9))))</f>
        <v/>
      </c>
      <c r="P163" s="5064"/>
      <c r="Q163" s="5065"/>
      <c r="R163" s="5065"/>
      <c r="S163" s="5065"/>
      <c r="T163" s="5065"/>
      <c r="U163" s="2862" t="str">
        <f>IF(OR(P158="",P163=""),"",MAX(1,SUMPRODUCT(--(INDEX('Tablas Técnicas'!$O$10:$X$639,,1)=P158),--(INDEX('Tablas Técnicas'!$O$10:$X$639,,2)=P163),INDEX('Tablas Técnicas'!$O$10:$X$639,,9))))</f>
        <v/>
      </c>
      <c r="V163" s="5064"/>
      <c r="W163" s="5065"/>
      <c r="X163" s="5065"/>
      <c r="Y163" s="5065"/>
      <c r="Z163" s="5065"/>
      <c r="AA163" s="2862" t="str">
        <f>IF(OR(V158="",V163=""),"",MAX(1,SUMPRODUCT(--(INDEX('Tablas Técnicas'!$O$10:$X$639,,1)=V158),--(INDEX('Tablas Técnicas'!$O$10:$X$639,,2)=V163),INDEX('Tablas Técnicas'!$O$10:$X$639,,9))))</f>
        <v/>
      </c>
      <c r="AB163" s="5064"/>
      <c r="AC163" s="5065"/>
      <c r="AD163" s="5065"/>
      <c r="AE163" s="5065"/>
      <c r="AF163" s="5065"/>
      <c r="AG163" s="2863" t="str">
        <f>IF(OR(AB158="",AB163=""),"",MAX(1,SUMPRODUCT(--(INDEX('Tablas Técnicas'!$O$10:$X$639,,1)=AB158),--(INDEX('Tablas Técnicas'!$O$10:$X$639,,2)=AB163),INDEX('Tablas Técnicas'!$O$10:$X$639,,9))))</f>
        <v/>
      </c>
      <c r="AH163" s="2821">
        <f>P145</f>
        <v>1</v>
      </c>
      <c r="AI163" s="3030"/>
      <c r="AJ163" s="3035" t="s">
        <v>1646</v>
      </c>
      <c r="AK163" s="3035" t="s">
        <v>1772</v>
      </c>
      <c r="AL163" s="3035" t="s">
        <v>1651</v>
      </c>
      <c r="AM163" s="3035" t="s">
        <v>1656</v>
      </c>
      <c r="AN163" s="3035" t="s">
        <v>1664</v>
      </c>
      <c r="AO163" s="3035" t="s">
        <v>1665</v>
      </c>
      <c r="AQ163" s="2816"/>
      <c r="AR163" s="2816"/>
      <c r="AS163" s="2816"/>
      <c r="AT163" s="2816"/>
      <c r="AU163" s="2816"/>
      <c r="AV163" s="3035"/>
      <c r="AW163" s="2816"/>
      <c r="AX163" s="2816"/>
      <c r="AY163" s="2816"/>
      <c r="AZ163" s="2816"/>
      <c r="BA163" s="2816"/>
      <c r="BB163" s="2816"/>
      <c r="BC163" s="2816"/>
    </row>
    <row r="164" spans="1:55" x14ac:dyDescent="0.2">
      <c r="A164" s="3030"/>
      <c r="B164" s="3070">
        <f t="shared" si="12"/>
        <v>5</v>
      </c>
      <c r="C164" s="5106"/>
      <c r="D164" s="5064"/>
      <c r="E164" s="5065"/>
      <c r="F164" s="5065"/>
      <c r="G164" s="5065"/>
      <c r="H164" s="5065"/>
      <c r="I164" s="2862" t="str">
        <f>IF(OR(D158="",D164=""),"",MAX(1,SUMPRODUCT(--(INDEX('Tablas Técnicas'!$O$10:$X$639,,1)=D158),--(INDEX('Tablas Técnicas'!$O$10:$X$639,,2)=D164),INDEX('Tablas Técnicas'!$O$10:$X$639,,9))))</f>
        <v/>
      </c>
      <c r="J164" s="5065"/>
      <c r="K164" s="5065"/>
      <c r="L164" s="5065"/>
      <c r="M164" s="5065"/>
      <c r="N164" s="5065"/>
      <c r="O164" s="2862" t="str">
        <f>IF(OR(J158="",J164=""),"",MAX(1,SUMPRODUCT(--(INDEX('Tablas Técnicas'!$O$10:$X$639,,1)=J158),--(INDEX('Tablas Técnicas'!$O$10:$X$639,,2)=J164),INDEX('Tablas Técnicas'!$O$10:$X$639,,9))))</f>
        <v/>
      </c>
      <c r="P164" s="5064"/>
      <c r="Q164" s="5065"/>
      <c r="R164" s="5065"/>
      <c r="S164" s="5065"/>
      <c r="T164" s="5065"/>
      <c r="U164" s="2862" t="str">
        <f>IF(OR(P158="",P164=""),"",MAX(1,SUMPRODUCT(--(INDEX('Tablas Técnicas'!$O$10:$X$639,,1)=P158),--(INDEX('Tablas Técnicas'!$O$10:$X$639,,2)=P164),INDEX('Tablas Técnicas'!$O$10:$X$639,,9))))</f>
        <v/>
      </c>
      <c r="V164" s="5064"/>
      <c r="W164" s="5065"/>
      <c r="X164" s="5065"/>
      <c r="Y164" s="5065"/>
      <c r="Z164" s="5065"/>
      <c r="AA164" s="2862" t="str">
        <f>IF(OR(V158="",V164=""),"",MAX(1,SUMPRODUCT(--(INDEX('Tablas Técnicas'!$O$10:$X$639,,1)=V158),--(INDEX('Tablas Técnicas'!$O$10:$X$639,,2)=V164),INDEX('Tablas Técnicas'!$O$10:$X$639,,9))))</f>
        <v/>
      </c>
      <c r="AB164" s="5064"/>
      <c r="AC164" s="5065"/>
      <c r="AD164" s="5065"/>
      <c r="AE164" s="5065"/>
      <c r="AF164" s="5065"/>
      <c r="AG164" s="2863" t="str">
        <f>IF(OR(AB158="",AB164=""),"",MAX(1,SUMPRODUCT(--(INDEX('Tablas Técnicas'!$O$10:$X$639,,1)=AB158),--(INDEX('Tablas Técnicas'!$O$10:$X$639,,2)=AB164),INDEX('Tablas Técnicas'!$O$10:$X$639,,9))))</f>
        <v/>
      </c>
      <c r="AH164" s="2821">
        <f>P145</f>
        <v>1</v>
      </c>
      <c r="AI164" s="3030"/>
      <c r="AJ164" s="2816" t="str">
        <f>IF(V147="","",IF(SUM(V149:V153)=0,"",V147&amp;" "&amp;SUM(V149:V153)+V156&amp;IF(SUM(W149)=0,""," ("&amp;SUM(W149)&amp;")")&amp;", "))</f>
        <v/>
      </c>
      <c r="AK164" s="2816" t="str">
        <f>IF(X147="","",IF(SUM(X149:X153)=0,"",X147&amp;" "&amp;SUM(X149:X153)+X156&amp;IF(SUM(Y149)=0,""," ("&amp;SUM(Y149)&amp;")")&amp;", "))</f>
        <v/>
      </c>
      <c r="AL164" s="2816" t="str">
        <f>IF(Z147="","",IF(SUM(Z149:Z153)=0,"",Z147&amp;" "&amp;SUM(Z149:Z153)+Z156&amp;IF(SUM(AA149)=0,""," ("&amp;SUM(AA149)&amp;")")&amp;", "))</f>
        <v/>
      </c>
      <c r="AM164" s="2816" t="str">
        <f>IF(AB147="","",IF(SUM(AB149:AB153)=0,"",AB147&amp;" "&amp;SUM(AB149:AB153)+AB156&amp;IF(SUM(AC149)=0,""," ("&amp;SUM(AC149)&amp;")")&amp;", "))</f>
        <v/>
      </c>
      <c r="AN164" s="2816" t="str">
        <f>IF(AD147="","",IF(SUM(AD149:AD153)=0,"",AD147&amp;" "&amp;SUM(AD149:AD153)+AD156&amp;IF(SUM(AE149)=0,""," ("&amp;SUM(AE149)&amp;")")&amp;", "))</f>
        <v/>
      </c>
      <c r="AO164" s="2816" t="str">
        <f>IF(AF147="","",IF(SUM(AF149:AF153)=0,"",AF147&amp;" "&amp;SUM(AF149:AF153)+AF156&amp;IF(SUM(AG149)=0,""," ("&amp;SUM(AG149)&amp;")")&amp;", "))</f>
        <v/>
      </c>
      <c r="AQ164" s="2816"/>
      <c r="AR164" s="2816"/>
      <c r="AS164" s="2816"/>
      <c r="AT164" s="2816"/>
      <c r="AU164" s="2816"/>
      <c r="AV164" s="3035"/>
      <c r="AW164" s="3035"/>
      <c r="AX164" s="3035"/>
      <c r="AZ164" s="3035"/>
      <c r="BA164" s="3035"/>
      <c r="BB164" s="2816"/>
      <c r="BC164" s="2816"/>
    </row>
    <row r="165" spans="1:55" x14ac:dyDescent="0.2">
      <c r="A165" s="3030"/>
      <c r="B165" s="3070">
        <f t="shared" si="12"/>
        <v>5</v>
      </c>
      <c r="C165" s="5106"/>
      <c r="D165" s="5064"/>
      <c r="E165" s="5065"/>
      <c r="F165" s="5065"/>
      <c r="G165" s="5065"/>
      <c r="H165" s="5065"/>
      <c r="I165" s="2862" t="str">
        <f>IF(OR(D158="",D165=""),"",MAX(1,SUMPRODUCT(--(INDEX('Tablas Técnicas'!$O$10:$X$639,,1)=D158),--(INDEX('Tablas Técnicas'!$O$10:$X$639,,2)=D165),INDEX('Tablas Técnicas'!$O$10:$X$639,,9))))</f>
        <v/>
      </c>
      <c r="J165" s="5065"/>
      <c r="K165" s="5065"/>
      <c r="L165" s="5065"/>
      <c r="M165" s="5065"/>
      <c r="N165" s="5065"/>
      <c r="O165" s="2862" t="str">
        <f>IF(OR(J158="",J165=""),"",MAX(1,SUMPRODUCT(--(INDEX('Tablas Técnicas'!$O$10:$X$639,,1)=J158),--(INDEX('Tablas Técnicas'!$O$10:$X$639,,2)=J165),INDEX('Tablas Técnicas'!$O$10:$X$639,,9))))</f>
        <v/>
      </c>
      <c r="P165" s="5064"/>
      <c r="Q165" s="5065"/>
      <c r="R165" s="5065"/>
      <c r="S165" s="5065"/>
      <c r="T165" s="5065"/>
      <c r="U165" s="2862" t="str">
        <f>IF(OR(P158="",P165=""),"",MAX(1,SUMPRODUCT(--(INDEX('Tablas Técnicas'!$O$10:$X$639,,1)=P158),--(INDEX('Tablas Técnicas'!$O$10:$X$639,,2)=P165),INDEX('Tablas Técnicas'!$O$10:$X$639,,9))))</f>
        <v/>
      </c>
      <c r="V165" s="5064"/>
      <c r="W165" s="5065"/>
      <c r="X165" s="5065"/>
      <c r="Y165" s="5065"/>
      <c r="Z165" s="5065"/>
      <c r="AA165" s="2862" t="str">
        <f>IF(OR(V158="",V165=""),"",MAX(1,SUMPRODUCT(--(INDEX('Tablas Técnicas'!$O$10:$X$639,,1)=V158),--(INDEX('Tablas Técnicas'!$O$10:$X$639,,2)=V165),INDEX('Tablas Técnicas'!$O$10:$X$639,,9))))</f>
        <v/>
      </c>
      <c r="AB165" s="5064"/>
      <c r="AC165" s="5065"/>
      <c r="AD165" s="5065"/>
      <c r="AE165" s="5065"/>
      <c r="AF165" s="5065"/>
      <c r="AG165" s="2863" t="str">
        <f>IF(OR(AB158="",AB165=""),"",MAX(1,SUMPRODUCT(--(INDEX('Tablas Técnicas'!$O$10:$X$639,,1)=AB158),--(INDEX('Tablas Técnicas'!$O$10:$X$639,,2)=AB165),INDEX('Tablas Técnicas'!$O$10:$X$639,,9))))</f>
        <v/>
      </c>
      <c r="AH165" s="2821">
        <f>P145</f>
        <v>1</v>
      </c>
      <c r="AI165" s="3030"/>
      <c r="AJ165" s="2816" t="s">
        <v>10242</v>
      </c>
      <c r="AL165" s="2816">
        <f t="array" ref="AL165">MAX(0,SUM(VALUE(RIGHT(O149:O153,2)))+ABS($AC155*2/5))+IF(AM172,Y155,0)+IF(S145="Si",3*P145,0)</f>
        <v>0</v>
      </c>
      <c r="AM165" s="2816">
        <f t="array" ref="AM165">IF(ISNUMBER(SEARCH("Mantenido",K149&amp;K150&amp;K151&amp;K152&amp;K153)),MAX(0,SUM(VALUE(RIGHT($P149:$P153,2)))),0)</f>
        <v>0</v>
      </c>
      <c r="AR165" s="3035"/>
      <c r="AT165" s="3035"/>
      <c r="AV165" s="3035"/>
      <c r="AW165" s="3035"/>
      <c r="AX165" s="3035"/>
      <c r="AZ165" s="3035"/>
      <c r="BA165" s="3035"/>
      <c r="BB165" s="2816"/>
      <c r="BC165" s="2816"/>
    </row>
    <row r="166" spans="1:55" x14ac:dyDescent="0.2">
      <c r="A166" s="3030"/>
      <c r="B166" s="3070">
        <f t="shared" si="12"/>
        <v>5</v>
      </c>
      <c r="C166" s="5106"/>
      <c r="D166" s="5064"/>
      <c r="E166" s="5065"/>
      <c r="F166" s="5065"/>
      <c r="G166" s="5065"/>
      <c r="H166" s="5065"/>
      <c r="I166" s="2862" t="str">
        <f>IF(OR(D158="",D166=""),"",MAX(1,SUMPRODUCT(--(INDEX('Tablas Técnicas'!$O$10:$X$639,,1)=D158),--(INDEX('Tablas Técnicas'!$O$10:$X$639,,2)=D166),INDEX('Tablas Técnicas'!$O$10:$X$639,,9))))</f>
        <v/>
      </c>
      <c r="J166" s="5065"/>
      <c r="K166" s="5065"/>
      <c r="L166" s="5065"/>
      <c r="M166" s="5065"/>
      <c r="N166" s="5065"/>
      <c r="O166" s="2862" t="str">
        <f>IF(OR(J158="",J166=""),"",MAX(1,SUMPRODUCT(--(INDEX('Tablas Técnicas'!$O$10:$X$639,,1)=J158),--(INDEX('Tablas Técnicas'!$O$10:$X$639,,2)=J166),INDEX('Tablas Técnicas'!$O$10:$X$639,,9))))</f>
        <v/>
      </c>
      <c r="P166" s="5064"/>
      <c r="Q166" s="5065"/>
      <c r="R166" s="5065"/>
      <c r="S166" s="5065"/>
      <c r="T166" s="5065"/>
      <c r="U166" s="2862" t="str">
        <f>IF(OR(P158="",P166=""),"",MAX(1,SUMPRODUCT(--(INDEX('Tablas Técnicas'!$O$10:$X$639,,1)=P158),--(INDEX('Tablas Técnicas'!$O$10:$X$639,,2)=P166),INDEX('Tablas Técnicas'!$O$10:$X$639,,9))))</f>
        <v/>
      </c>
      <c r="V166" s="5064"/>
      <c r="W166" s="5065"/>
      <c r="X166" s="5065"/>
      <c r="Y166" s="5065"/>
      <c r="Z166" s="5065"/>
      <c r="AA166" s="2862" t="str">
        <f>IF(OR(V158="",V166=""),"",MAX(1,SUMPRODUCT(--(INDEX('Tablas Técnicas'!$O$10:$X$639,,1)=V158),--(INDEX('Tablas Técnicas'!$O$10:$X$639,,2)=V166),INDEX('Tablas Técnicas'!$O$10:$X$639,,9))))</f>
        <v/>
      </c>
      <c r="AB166" s="5064"/>
      <c r="AC166" s="5065"/>
      <c r="AD166" s="5065"/>
      <c r="AE166" s="5065"/>
      <c r="AF166" s="5065"/>
      <c r="AG166" s="2863" t="str">
        <f>IF(OR(AB158="",AB166=""),"",MAX(1,SUMPRODUCT(--(INDEX('Tablas Técnicas'!$O$10:$X$639,,1)=AB158),--(INDEX('Tablas Técnicas'!$O$10:$X$639,,2)=AB166),INDEX('Tablas Técnicas'!$O$10:$X$639,,9))))</f>
        <v/>
      </c>
      <c r="AH166" s="2821">
        <f>P145</f>
        <v>1</v>
      </c>
      <c r="AI166" s="3030"/>
      <c r="AJ166" s="2816" t="s">
        <v>9668</v>
      </c>
      <c r="AL166" s="2816">
        <f>SUM(V149:V153,X149:X153,Z149:Z153,AB149:AB153,AD149:AD153,AF149:AF153)+SUM(V156:AG156)</f>
        <v>0</v>
      </c>
      <c r="AM166" s="2816">
        <f>SUM(W149:W153,Y149:Y153,AA149:AA153,AC149:AC153,AE149:AE153,AG149:AG153)</f>
        <v>0</v>
      </c>
      <c r="AR166" s="3035"/>
      <c r="AT166" s="3035"/>
      <c r="AV166" s="3035"/>
      <c r="AW166" s="3035"/>
      <c r="AX166" s="3035"/>
      <c r="AZ166" s="3035"/>
      <c r="BA166" s="3035"/>
      <c r="BB166" s="2816"/>
      <c r="BC166" s="2816"/>
    </row>
    <row r="167" spans="1:55" x14ac:dyDescent="0.2">
      <c r="A167" s="3030"/>
      <c r="B167" s="3070">
        <f t="shared" si="12"/>
        <v>5</v>
      </c>
      <c r="C167" s="5106"/>
      <c r="D167" s="5064"/>
      <c r="E167" s="5065"/>
      <c r="F167" s="5065"/>
      <c r="G167" s="5065"/>
      <c r="H167" s="5065"/>
      <c r="I167" s="2862" t="str">
        <f>IF(OR(D158="",D167=""),"",MAX(1,SUMPRODUCT(--(INDEX('Tablas Técnicas'!$O$10:$X$639,,1)=D158),--(INDEX('Tablas Técnicas'!$O$10:$X$639,,2)=D167),INDEX('Tablas Técnicas'!$O$10:$X$639,,9))))</f>
        <v/>
      </c>
      <c r="J167" s="5065"/>
      <c r="K167" s="5065"/>
      <c r="L167" s="5065"/>
      <c r="M167" s="5065"/>
      <c r="N167" s="5065"/>
      <c r="O167" s="2862" t="str">
        <f>IF(OR(J158="",J167=""),"",MAX(1,SUMPRODUCT(--(INDEX('Tablas Técnicas'!$O$10:$X$639,,1)=J158),--(INDEX('Tablas Técnicas'!$O$10:$X$639,,2)=J167),INDEX('Tablas Técnicas'!$O$10:$X$639,,9))))</f>
        <v/>
      </c>
      <c r="P167" s="5064"/>
      <c r="Q167" s="5065"/>
      <c r="R167" s="5065"/>
      <c r="S167" s="5065"/>
      <c r="T167" s="5065"/>
      <c r="U167" s="2862" t="str">
        <f>IF(OR(P158="",P167=""),"",MAX(1,SUMPRODUCT(--(INDEX('Tablas Técnicas'!$O$10:$X$639,,1)=P158),--(INDEX('Tablas Técnicas'!$O$10:$X$639,,2)=P167),INDEX('Tablas Técnicas'!$O$10:$X$639,,9))))</f>
        <v/>
      </c>
      <c r="V167" s="5064"/>
      <c r="W167" s="5065"/>
      <c r="X167" s="5065"/>
      <c r="Y167" s="5065"/>
      <c r="Z167" s="5065"/>
      <c r="AA167" s="2862" t="str">
        <f>IF(OR(V158="",V167=""),"",MAX(1,SUMPRODUCT(--(INDEX('Tablas Técnicas'!$O$10:$X$639,,1)=V158),--(INDEX('Tablas Técnicas'!$O$10:$X$639,,2)=V167),INDEX('Tablas Técnicas'!$O$10:$X$639,,9))))</f>
        <v/>
      </c>
      <c r="AB167" s="5064"/>
      <c r="AC167" s="5065"/>
      <c r="AD167" s="5065"/>
      <c r="AE167" s="5065"/>
      <c r="AF167" s="5065"/>
      <c r="AG167" s="2863" t="str">
        <f>IF(OR(AB158="",AB167=""),"",MAX(1,SUMPRODUCT(--(INDEX('Tablas Técnicas'!$O$10:$X$639,,1)=AB158),--(INDEX('Tablas Técnicas'!$O$10:$X$639,,2)=AB167),INDEX('Tablas Técnicas'!$O$10:$X$639,,9))))</f>
        <v/>
      </c>
      <c r="AH167" s="2821">
        <f>P145</f>
        <v>1</v>
      </c>
      <c r="AI167" s="3030"/>
      <c r="AR167" s="3035"/>
      <c r="AT167" s="3035"/>
      <c r="AV167" s="3035"/>
      <c r="AW167" s="3035"/>
      <c r="AX167" s="3035"/>
      <c r="AZ167" s="3035"/>
      <c r="BA167" s="3035"/>
      <c r="BB167" s="2816"/>
      <c r="BC167" s="2816"/>
    </row>
    <row r="168" spans="1:55" x14ac:dyDescent="0.2">
      <c r="A168" s="3030"/>
      <c r="B168" s="3070">
        <f t="shared" si="12"/>
        <v>5</v>
      </c>
      <c r="C168" s="5106"/>
      <c r="D168" s="5079"/>
      <c r="E168" s="5080"/>
      <c r="F168" s="5080"/>
      <c r="G168" s="5080"/>
      <c r="H168" s="5080"/>
      <c r="I168" s="2864" t="str">
        <f>IF(OR(D158="",D168=""),"",MAX(1,SUMPRODUCT(--(INDEX('Tablas Técnicas'!$O$10:$X$639,,1)=D158),--(INDEX('Tablas Técnicas'!$O$10:$X$639,,2)=D168),INDEX('Tablas Técnicas'!$O$10:$X$639,,9))))</f>
        <v/>
      </c>
      <c r="J168" s="5080"/>
      <c r="K168" s="5080"/>
      <c r="L168" s="5080"/>
      <c r="M168" s="5080"/>
      <c r="N168" s="5080"/>
      <c r="O168" s="2864" t="str">
        <f>IF(OR(J158="",J168=""),"",MAX(1,SUMPRODUCT(--(INDEX('Tablas Técnicas'!$O$10:$X$639,,1)=J158),--(INDEX('Tablas Técnicas'!$O$10:$X$639,,2)=J168),INDEX('Tablas Técnicas'!$O$10:$X$639,,9))))</f>
        <v/>
      </c>
      <c r="P168" s="5079"/>
      <c r="Q168" s="5080"/>
      <c r="R168" s="5080"/>
      <c r="S168" s="5080"/>
      <c r="T168" s="5080"/>
      <c r="U168" s="2864" t="str">
        <f>IF(OR(P158="",P168=""),"",MAX(1,SUMPRODUCT(--(INDEX('Tablas Técnicas'!$O$10:$X$639,,1)=P158),--(INDEX('Tablas Técnicas'!$O$10:$X$639,,2)=P168),INDEX('Tablas Técnicas'!$O$10:$X$639,,9))))</f>
        <v/>
      </c>
      <c r="V168" s="5079"/>
      <c r="W168" s="5080"/>
      <c r="X168" s="5080"/>
      <c r="Y168" s="5080"/>
      <c r="Z168" s="5080"/>
      <c r="AA168" s="2864" t="str">
        <f>IF(OR(V158="",V168=""),"",MAX(1,SUMPRODUCT(--(INDEX('Tablas Técnicas'!$O$10:$X$639,,1)=V158),--(INDEX('Tablas Técnicas'!$O$10:$X$639,,2)=V168),INDEX('Tablas Técnicas'!$O$10:$X$639,,9))))</f>
        <v/>
      </c>
      <c r="AB168" s="5079"/>
      <c r="AC168" s="5080"/>
      <c r="AD168" s="5080"/>
      <c r="AE168" s="5080"/>
      <c r="AF168" s="5080"/>
      <c r="AG168" s="2865" t="str">
        <f>IF(OR(AB158="",AB168=""),"",MAX(1,SUMPRODUCT(--(INDEX('Tablas Técnicas'!$O$10:$X$639,,1)=AB158),--(INDEX('Tablas Técnicas'!$O$10:$X$639,,2)=AB168),INDEX('Tablas Técnicas'!$O$10:$X$639,,9))))</f>
        <v/>
      </c>
      <c r="AH168" s="2821">
        <f>P145</f>
        <v>1</v>
      </c>
      <c r="AI168" s="3030"/>
      <c r="AJ168" s="2816" t="s">
        <v>9669</v>
      </c>
      <c r="AN168" s="2817" t="s">
        <v>10256</v>
      </c>
      <c r="AO168" s="2816" t="s">
        <v>10255</v>
      </c>
      <c r="AQ168" s="2816"/>
      <c r="AR168" s="2816" t="b">
        <f>AND(D149="Primario",COUNTIF(D149:E153,"Primario")&gt;1)</f>
        <v>0</v>
      </c>
      <c r="AS168" s="2816"/>
      <c r="AT168" s="3035"/>
      <c r="AV168" s="3035"/>
      <c r="AW168" s="3035"/>
      <c r="AX168" s="3035"/>
      <c r="AZ168" s="3035"/>
      <c r="BA168" s="3035"/>
      <c r="BB168" s="2816"/>
      <c r="BC168" s="2816"/>
    </row>
    <row r="169" spans="1:55" x14ac:dyDescent="0.2">
      <c r="A169" s="3030"/>
      <c r="B169" s="3070">
        <f t="shared" si="12"/>
        <v>5</v>
      </c>
      <c r="C169" s="5106"/>
      <c r="D169" s="5069" t="s">
        <v>1824</v>
      </c>
      <c r="E169" s="5070"/>
      <c r="F169" s="5070"/>
      <c r="G169" s="5070"/>
      <c r="H169" s="5070"/>
      <c r="I169" s="5070"/>
      <c r="J169" s="5070"/>
      <c r="K169" s="5070"/>
      <c r="L169" s="5070"/>
      <c r="M169" s="5070"/>
      <c r="N169" s="5070"/>
      <c r="O169" s="5070"/>
      <c r="P169" s="5070"/>
      <c r="Q169" s="5070"/>
      <c r="R169" s="5070"/>
      <c r="S169" s="5070"/>
      <c r="T169" s="5070"/>
      <c r="U169" s="5070"/>
      <c r="V169" s="5070"/>
      <c r="W169" s="5070"/>
      <c r="X169" s="5070"/>
      <c r="Y169" s="5070"/>
      <c r="Z169" s="5070"/>
      <c r="AA169" s="5070"/>
      <c r="AB169" s="5070"/>
      <c r="AC169" s="5070"/>
      <c r="AD169" s="5070"/>
      <c r="AE169" s="5070"/>
      <c r="AF169" s="5070"/>
      <c r="AG169" s="5071"/>
      <c r="AH169" s="2821"/>
      <c r="AI169" s="3030"/>
      <c r="AJ169" s="2816" t="s">
        <v>9670</v>
      </c>
      <c r="AM169" s="2816" t="b">
        <f t="array" ref="AM169">MAX(I162:I168,O162:O168,U162:U168,AA162:AA168,AG162:AG168,RIGHT(S154:S156,1))&gt;P145</f>
        <v>0</v>
      </c>
      <c r="AN169" s="2817" t="s">
        <v>10257</v>
      </c>
      <c r="AO169" s="2816" t="s">
        <v>10255</v>
      </c>
      <c r="AR169" s="2816" t="b">
        <f>AND(D150="Primario",COUNTIF(D149:E153,"Primario")&gt;1)</f>
        <v>0</v>
      </c>
      <c r="AS169" s="2816"/>
      <c r="AT169" s="3035"/>
      <c r="AV169" s="3035"/>
      <c r="AW169" s="3035"/>
      <c r="AX169" s="3035"/>
      <c r="AZ169" s="3035"/>
      <c r="BA169" s="3035"/>
      <c r="BB169" s="2816" t="str">
        <f>$F153&amp;INDEX($D162:$AG168,Tablas!E$1,1+6*(Tablas!$A$4-1))</f>
        <v/>
      </c>
      <c r="BC169" s="2816" t="str">
        <f>$F153&amp;INDEX($D162:$AG168,Tablas!F$1,1+6*(Tablas!$A$4-1))</f>
        <v/>
      </c>
    </row>
    <row r="170" spans="1:55" x14ac:dyDescent="0.2">
      <c r="A170" s="3030"/>
      <c r="B170" s="3070">
        <f t="shared" si="12"/>
        <v>5</v>
      </c>
      <c r="C170" s="5106"/>
      <c r="D170" s="5072"/>
      <c r="E170" s="5073"/>
      <c r="F170" s="5073"/>
      <c r="G170" s="5073"/>
      <c r="H170" s="5073"/>
      <c r="I170" s="5073"/>
      <c r="J170" s="5073"/>
      <c r="K170" s="5073"/>
      <c r="L170" s="5073"/>
      <c r="M170" s="5073"/>
      <c r="N170" s="5073"/>
      <c r="O170" s="5073"/>
      <c r="P170" s="5073"/>
      <c r="Q170" s="5073"/>
      <c r="R170" s="5073"/>
      <c r="S170" s="5073"/>
      <c r="T170" s="5073"/>
      <c r="U170" s="5073"/>
      <c r="V170" s="5073"/>
      <c r="W170" s="5073"/>
      <c r="X170" s="5073"/>
      <c r="Y170" s="5073"/>
      <c r="Z170" s="5073"/>
      <c r="AA170" s="5073"/>
      <c r="AB170" s="5073"/>
      <c r="AC170" s="5073"/>
      <c r="AD170" s="5073"/>
      <c r="AE170" s="5073"/>
      <c r="AF170" s="5073"/>
      <c r="AG170" s="5074"/>
      <c r="AH170" s="2821"/>
      <c r="AI170" s="3030"/>
      <c r="AJ170" s="2816" t="s">
        <v>10243</v>
      </c>
      <c r="AM170" s="2816" t="b">
        <f>NOT(AND(AW149:AW153))</f>
        <v>0</v>
      </c>
      <c r="AN170" s="2817" t="s">
        <v>10258</v>
      </c>
      <c r="AO170" s="2816" t="s">
        <v>10255</v>
      </c>
      <c r="AR170" s="2816" t="b">
        <f>AND(D151="Primario",COUNTIF(D149:E153,"Primario")&gt;1)</f>
        <v>0</v>
      </c>
      <c r="AS170" s="2816"/>
      <c r="AT170" s="3035"/>
      <c r="AV170" s="3035"/>
      <c r="AW170" s="3035"/>
      <c r="AX170" s="3035"/>
      <c r="AZ170" s="3035"/>
      <c r="BA170" s="3035"/>
      <c r="BB170" s="2816"/>
      <c r="BC170" s="2816"/>
    </row>
    <row r="171" spans="1:55" x14ac:dyDescent="0.2">
      <c r="A171" s="3030"/>
      <c r="B171" s="3070">
        <f t="shared" si="12"/>
        <v>5</v>
      </c>
      <c r="C171" s="5106"/>
      <c r="D171" s="5072"/>
      <c r="E171" s="5073"/>
      <c r="F171" s="5073"/>
      <c r="G171" s="5073"/>
      <c r="H171" s="5073"/>
      <c r="I171" s="5073"/>
      <c r="J171" s="5073"/>
      <c r="K171" s="5073"/>
      <c r="L171" s="5073"/>
      <c r="M171" s="5073"/>
      <c r="N171" s="5073"/>
      <c r="O171" s="5073"/>
      <c r="P171" s="5073"/>
      <c r="Q171" s="5073"/>
      <c r="R171" s="5073"/>
      <c r="S171" s="5073"/>
      <c r="T171" s="5073"/>
      <c r="U171" s="5073"/>
      <c r="V171" s="5073"/>
      <c r="W171" s="5073"/>
      <c r="X171" s="5073"/>
      <c r="Y171" s="5073"/>
      <c r="Z171" s="5073"/>
      <c r="AA171" s="5073"/>
      <c r="AB171" s="5073"/>
      <c r="AC171" s="5073"/>
      <c r="AD171" s="5073"/>
      <c r="AE171" s="5073"/>
      <c r="AF171" s="5073"/>
      <c r="AG171" s="5074"/>
      <c r="AH171" s="2821"/>
      <c r="AI171" s="3030"/>
      <c r="AJ171" s="2816" t="s">
        <v>10244</v>
      </c>
      <c r="AM171" s="2816" t="b">
        <f>AL165-AL166+AM165-AM166&lt;&gt;0</f>
        <v>0</v>
      </c>
      <c r="AN171" s="2817" t="s">
        <v>10259</v>
      </c>
      <c r="AO171" s="2816" t="s">
        <v>10255</v>
      </c>
      <c r="AR171" s="2816" t="b">
        <f>AND(D152="Primario",COUNTIF(D149:E153,"Primario")&gt;1)</f>
        <v>0</v>
      </c>
      <c r="AS171" s="2816"/>
      <c r="AT171" s="3035"/>
      <c r="AV171" s="3035"/>
      <c r="AW171" s="3035"/>
      <c r="AX171" s="3035"/>
      <c r="AZ171" s="3035"/>
      <c r="BA171" s="3035"/>
      <c r="BB171" s="2816"/>
      <c r="BC171" s="2816"/>
    </row>
    <row r="172" spans="1:55" x14ac:dyDescent="0.2">
      <c r="A172" s="3030"/>
      <c r="B172" s="3070">
        <f t="shared" si="12"/>
        <v>5</v>
      </c>
      <c r="C172" s="5106"/>
      <c r="D172" s="5072"/>
      <c r="E172" s="5073"/>
      <c r="F172" s="5073"/>
      <c r="G172" s="5073"/>
      <c r="H172" s="5073"/>
      <c r="I172" s="5073"/>
      <c r="J172" s="5073"/>
      <c r="K172" s="5073"/>
      <c r="L172" s="5073"/>
      <c r="M172" s="5073"/>
      <c r="N172" s="5073"/>
      <c r="O172" s="5073"/>
      <c r="P172" s="5073"/>
      <c r="Q172" s="5073"/>
      <c r="R172" s="5073"/>
      <c r="S172" s="5073"/>
      <c r="T172" s="5073"/>
      <c r="U172" s="5073"/>
      <c r="V172" s="5073"/>
      <c r="W172" s="5073"/>
      <c r="X172" s="5073"/>
      <c r="Y172" s="5073"/>
      <c r="Z172" s="5073"/>
      <c r="AA172" s="5073"/>
      <c r="AB172" s="5073"/>
      <c r="AC172" s="5073"/>
      <c r="AD172" s="5073"/>
      <c r="AE172" s="5073"/>
      <c r="AF172" s="5073"/>
      <c r="AG172" s="5074"/>
      <c r="AH172" s="2821"/>
      <c r="AI172" s="3030"/>
      <c r="AJ172" s="2816" t="s">
        <v>10247</v>
      </c>
      <c r="AM172" s="2816" t="b">
        <f>(IF(SUM(V149:V153)&gt;0,1,0)+IF(SUM(X149:X153)&gt;0,1,0)+IF(SUM(Z149:Z153)&gt;0,1,0)+IF(SUM(AB149:AB153)&gt;0,1,0)+IF(SUM(AD149:AD153,)&gt;0,1,0)+IF(SUM(AF149:AF153)&gt;0,1,0))&lt;3</f>
        <v>1</v>
      </c>
      <c r="AN172" s="2817" t="s">
        <v>10260</v>
      </c>
      <c r="AO172" s="2816" t="s">
        <v>10255</v>
      </c>
      <c r="AQ172" s="2816"/>
      <c r="AR172" s="2816" t="b">
        <f>AND(D153="Primario",COUNTIF(D149:E153,"Primario")&gt;1)</f>
        <v>0</v>
      </c>
      <c r="AS172" s="2816"/>
      <c r="AT172" s="3035"/>
      <c r="AV172" s="3035"/>
      <c r="AW172" s="3035"/>
      <c r="AX172" s="3035"/>
      <c r="AZ172" s="3035"/>
      <c r="BA172" s="3035"/>
      <c r="BB172" s="2816"/>
      <c r="BC172" s="2816"/>
    </row>
    <row r="173" spans="1:55" x14ac:dyDescent="0.2">
      <c r="A173" s="3030"/>
      <c r="B173" s="3070">
        <f t="shared" si="12"/>
        <v>5</v>
      </c>
      <c r="C173" s="5106"/>
      <c r="D173" s="5072"/>
      <c r="E173" s="5073"/>
      <c r="F173" s="5073"/>
      <c r="G173" s="5073"/>
      <c r="H173" s="5073"/>
      <c r="I173" s="5073"/>
      <c r="J173" s="5073"/>
      <c r="K173" s="5073"/>
      <c r="L173" s="5073"/>
      <c r="M173" s="5073"/>
      <c r="N173" s="5073"/>
      <c r="O173" s="5073"/>
      <c r="P173" s="5073"/>
      <c r="Q173" s="5073"/>
      <c r="R173" s="5073"/>
      <c r="S173" s="5073"/>
      <c r="T173" s="5073"/>
      <c r="U173" s="5073"/>
      <c r="V173" s="5073"/>
      <c r="W173" s="5073"/>
      <c r="X173" s="5073"/>
      <c r="Y173" s="5073"/>
      <c r="Z173" s="5073"/>
      <c r="AA173" s="5073"/>
      <c r="AB173" s="5073"/>
      <c r="AC173" s="5073"/>
      <c r="AD173" s="5073"/>
      <c r="AE173" s="5073"/>
      <c r="AF173" s="5073"/>
      <c r="AG173" s="5074"/>
      <c r="AH173" s="2821"/>
      <c r="AI173" s="3030"/>
      <c r="AJ173" s="2816" t="s">
        <v>10246</v>
      </c>
      <c r="AM173" s="2816" t="b">
        <f>SUM(V156:AG156)&lt;&gt;Y155+ABS(AC155)*2/5+IF(S145="Si",3*P145,0)</f>
        <v>0</v>
      </c>
      <c r="AQ173" s="2816"/>
      <c r="AR173" s="2817"/>
      <c r="AS173" s="2817"/>
      <c r="AT173" s="3035"/>
      <c r="AV173" s="3035"/>
      <c r="AW173" s="2816"/>
      <c r="AX173" s="2816"/>
      <c r="AY173" s="2816"/>
      <c r="AZ173" s="2816"/>
      <c r="BA173" s="2816"/>
      <c r="BB173" s="2816"/>
      <c r="BC173" s="2817"/>
    </row>
    <row r="174" spans="1:55" x14ac:dyDescent="0.2">
      <c r="A174" s="3030"/>
      <c r="B174" s="3070">
        <f t="shared" si="12"/>
        <v>5</v>
      </c>
      <c r="C174" s="5106"/>
      <c r="D174" s="5072"/>
      <c r="E174" s="5073"/>
      <c r="F174" s="5073"/>
      <c r="G174" s="5073"/>
      <c r="H174" s="5073"/>
      <c r="I174" s="5073"/>
      <c r="J174" s="5073"/>
      <c r="K174" s="5073"/>
      <c r="L174" s="5073"/>
      <c r="M174" s="5073"/>
      <c r="N174" s="5073"/>
      <c r="O174" s="5073"/>
      <c r="P174" s="5073"/>
      <c r="Q174" s="5073"/>
      <c r="R174" s="5073"/>
      <c r="S174" s="5073"/>
      <c r="T174" s="5073"/>
      <c r="U174" s="5073"/>
      <c r="V174" s="5073"/>
      <c r="W174" s="5073"/>
      <c r="X174" s="5073"/>
      <c r="Y174" s="5073"/>
      <c r="Z174" s="5073"/>
      <c r="AA174" s="5073"/>
      <c r="AB174" s="5073"/>
      <c r="AC174" s="5073"/>
      <c r="AD174" s="5073"/>
      <c r="AE174" s="5073"/>
      <c r="AF174" s="5073"/>
      <c r="AG174" s="5074"/>
      <c r="AH174" s="2821"/>
      <c r="AI174" s="3030"/>
      <c r="AQ174" s="2816"/>
      <c r="AR174" s="2817"/>
      <c r="AS174" s="2817"/>
      <c r="AT174" s="3035"/>
      <c r="AV174" s="3035"/>
      <c r="AW174" s="2816"/>
      <c r="AX174" s="3035"/>
      <c r="AZ174" s="3035"/>
      <c r="BA174" s="3035"/>
      <c r="BB174" s="3035"/>
      <c r="BC174" s="2816"/>
    </row>
    <row r="175" spans="1:55" ht="12" thickBot="1" x14ac:dyDescent="0.25">
      <c r="A175" s="3030"/>
      <c r="B175" s="3070">
        <f t="shared" ref="B175:B238" si="19">1+B142</f>
        <v>5</v>
      </c>
      <c r="C175" s="5107"/>
      <c r="D175" s="5075"/>
      <c r="E175" s="5076"/>
      <c r="F175" s="5076"/>
      <c r="G175" s="5076"/>
      <c r="H175" s="5076"/>
      <c r="I175" s="5076"/>
      <c r="J175" s="5076"/>
      <c r="K175" s="5076"/>
      <c r="L175" s="5076"/>
      <c r="M175" s="5076"/>
      <c r="N175" s="5076"/>
      <c r="O175" s="5076"/>
      <c r="P175" s="5076"/>
      <c r="Q175" s="5076"/>
      <c r="R175" s="5076"/>
      <c r="S175" s="5076"/>
      <c r="T175" s="5076"/>
      <c r="U175" s="5076"/>
      <c r="V175" s="5076"/>
      <c r="W175" s="5076"/>
      <c r="X175" s="5076"/>
      <c r="Y175" s="5076"/>
      <c r="Z175" s="5076"/>
      <c r="AA175" s="5076"/>
      <c r="AB175" s="5076"/>
      <c r="AC175" s="5076"/>
      <c r="AD175" s="5076"/>
      <c r="AE175" s="5076"/>
      <c r="AF175" s="5076"/>
      <c r="AG175" s="5077"/>
      <c r="AH175" s="2821"/>
      <c r="AI175" s="3030"/>
      <c r="AQ175" s="2816"/>
      <c r="AR175" s="2817"/>
      <c r="AS175" s="2817"/>
      <c r="AT175" s="3035"/>
      <c r="AV175" s="3035"/>
      <c r="AW175" s="2816"/>
      <c r="AX175" s="3035"/>
      <c r="AZ175" s="2816"/>
      <c r="BA175" s="2816"/>
      <c r="BB175" s="2816"/>
      <c r="BC175" s="2816"/>
    </row>
    <row r="176" spans="1:55" x14ac:dyDescent="0.2">
      <c r="A176" s="3030"/>
      <c r="B176" s="3070"/>
      <c r="C176" s="5092"/>
      <c r="D176" s="5092" t="str">
        <f>IFERROR(VLOOKUP(D158,'Tablas Técnicas'!$C$9:$H$81,2,FALSE),"")</f>
        <v/>
      </c>
      <c r="E176" s="5092"/>
      <c r="F176" s="5092"/>
      <c r="G176" s="5092"/>
      <c r="H176" s="5092"/>
      <c r="I176" s="5092"/>
      <c r="J176" s="5078" t="str">
        <f>IFERROR(VLOOKUP(J158,'Tablas Técnicas'!$C$9:$H$81,2,FALSE),"")</f>
        <v/>
      </c>
      <c r="K176" s="5078"/>
      <c r="L176" s="5078"/>
      <c r="M176" s="5078"/>
      <c r="N176" s="5078"/>
      <c r="O176" s="5078"/>
      <c r="P176" s="5078" t="str">
        <f>IFERROR(VLOOKUP(P158,'Tablas Técnicas'!$C$9:$H$81,2,FALSE),"")</f>
        <v/>
      </c>
      <c r="Q176" s="5078"/>
      <c r="R176" s="5078"/>
      <c r="S176" s="5078"/>
      <c r="T176" s="5078"/>
      <c r="U176" s="5078"/>
      <c r="V176" s="5078" t="str">
        <f>IFERROR(VLOOKUP(V158,'Tablas Técnicas'!$C$9:$H$81,2,FALSE),"")</f>
        <v/>
      </c>
      <c r="W176" s="5078"/>
      <c r="X176" s="5078"/>
      <c r="Y176" s="5078"/>
      <c r="Z176" s="5078"/>
      <c r="AA176" s="5078"/>
      <c r="AB176" s="5078" t="str">
        <f>IFERROR(VLOOKUP(AB158,'Tablas Técnicas'!$C$9:$H$81,2,FALSE),"")</f>
        <v/>
      </c>
      <c r="AC176" s="5078"/>
      <c r="AD176" s="5078"/>
      <c r="AE176" s="5078"/>
      <c r="AF176" s="5078"/>
      <c r="AG176" s="5078"/>
      <c r="AH176" s="2821"/>
      <c r="AI176" s="3030"/>
      <c r="AQ176" s="2816"/>
      <c r="AR176" s="2817"/>
      <c r="AS176" s="2817"/>
      <c r="AT176" s="3023"/>
      <c r="AV176" s="3023"/>
      <c r="AW176" s="3023"/>
      <c r="AX176" s="3023"/>
      <c r="AZ176" s="3023"/>
      <c r="BA176" s="3023"/>
      <c r="BB176" s="3023"/>
      <c r="BC176" s="3023"/>
    </row>
    <row r="177" spans="1:55" ht="12" thickBot="1" x14ac:dyDescent="0.25">
      <c r="A177" s="3030"/>
      <c r="B177" s="3070"/>
      <c r="C177" s="5092"/>
      <c r="D177" s="3052"/>
      <c r="E177" s="3024"/>
      <c r="F177" s="3024"/>
      <c r="G177" s="3024"/>
      <c r="H177" s="3024"/>
      <c r="I177" s="3024"/>
      <c r="J177" s="3024"/>
      <c r="K177" s="3024"/>
      <c r="L177" s="3024"/>
      <c r="M177" s="3024"/>
      <c r="N177" s="3024"/>
      <c r="O177" s="3024"/>
      <c r="P177" s="3024"/>
      <c r="Q177" s="3024"/>
      <c r="R177" s="3024"/>
      <c r="S177" s="3024"/>
      <c r="T177" s="3024"/>
      <c r="U177" s="3024"/>
      <c r="V177" s="3054"/>
      <c r="W177" s="3054"/>
      <c r="X177" s="3054"/>
      <c r="Y177" s="3054"/>
      <c r="Z177" s="3054"/>
      <c r="AA177" s="3054"/>
      <c r="AB177" s="3054"/>
      <c r="AC177" s="3054"/>
      <c r="AD177" s="3054"/>
      <c r="AE177" s="3054"/>
      <c r="AF177" s="3024"/>
      <c r="AG177" s="3024"/>
      <c r="AH177" s="2821"/>
      <c r="AI177" s="3030"/>
      <c r="AJ177" s="2870"/>
      <c r="AK177" s="2870"/>
      <c r="AL177" s="2870"/>
      <c r="AM177" s="2870"/>
      <c r="AN177" s="2870"/>
      <c r="AO177" s="2870"/>
      <c r="AR177" s="3023"/>
      <c r="AT177" s="3023"/>
      <c r="AV177" s="3023"/>
      <c r="AW177" s="3023"/>
      <c r="AX177" s="2867"/>
      <c r="AY177" s="2867"/>
      <c r="AZ177" s="2867"/>
      <c r="BA177" s="2867"/>
      <c r="BB177" s="2867"/>
      <c r="BC177" s="2868"/>
    </row>
    <row r="178" spans="1:55" ht="11.25" customHeight="1" x14ac:dyDescent="0.2">
      <c r="A178" s="3030"/>
      <c r="B178" s="3070">
        <f t="shared" si="19"/>
        <v>6</v>
      </c>
      <c r="C178" s="5105" t="str">
        <f>"Técnica "&amp;B178</f>
        <v>Técnica 6</v>
      </c>
      <c r="D178" s="5181" t="s">
        <v>9559</v>
      </c>
      <c r="E178" s="5182"/>
      <c r="F178" s="5182"/>
      <c r="G178" s="5182"/>
      <c r="H178" s="5182"/>
      <c r="I178" s="5182"/>
      <c r="J178" s="5182"/>
      <c r="K178" s="5182"/>
      <c r="L178" s="5182"/>
      <c r="M178" s="5182"/>
      <c r="N178" s="5183"/>
      <c r="O178" s="5161" t="s">
        <v>1597</v>
      </c>
      <c r="P178" s="5163">
        <v>1</v>
      </c>
      <c r="Q178" s="5134" t="s">
        <v>9646</v>
      </c>
      <c r="R178" s="5165"/>
      <c r="S178" s="5167" t="s">
        <v>1654</v>
      </c>
      <c r="T178" s="5135" t="s">
        <v>1780</v>
      </c>
      <c r="U178" s="5174">
        <f>MAX(IF(P178=3,60,IF(P178=2,40,20)),MIN(IF(P178=3,200,IF(P178=2,100,50)),SUM(M187:M189))-10*Y188+AC188+IF(S178="Si",10*P178,0)+IF(COUNTIF(K182:M186,"Mantenido")&gt;0,P178*10)+IF(COUNTIF(K182:M186,"Sostenimiento Menor")&gt;0,P178*20)+IF(COUNTIF(K182:M186,"Sostenimiento Mayor")&gt;0,P178*30))</f>
        <v>20</v>
      </c>
      <c r="V178" s="5134" t="s">
        <v>9647</v>
      </c>
      <c r="W178" s="5135"/>
      <c r="X178" s="5138" t="str">
        <f>IFERROR(LEFT(AJ197&amp;AK197&amp;AL197&amp;AM197&amp;AN197&amp;AO197,LEN(AJ197&amp;AK197&amp;AL197&amp;AM197&amp;AN197&amp;AO197)-2),"")</f>
        <v/>
      </c>
      <c r="Y178" s="5138"/>
      <c r="Z178" s="5138"/>
      <c r="AA178" s="5138"/>
      <c r="AB178" s="5138"/>
      <c r="AC178" s="5138"/>
      <c r="AD178" s="5138"/>
      <c r="AE178" s="5138"/>
      <c r="AF178" s="5138"/>
      <c r="AG178" s="5139"/>
      <c r="AH178" s="2821"/>
      <c r="AI178" s="3030"/>
      <c r="AQ178" s="2816"/>
      <c r="AR178" s="2816"/>
      <c r="AS178" s="2816"/>
      <c r="AT178" s="2816"/>
      <c r="AU178" s="2816"/>
      <c r="AV178" s="3035"/>
      <c r="AW178" s="3035"/>
      <c r="AX178" s="2816"/>
      <c r="AY178" s="2816"/>
      <c r="AZ178" s="2824"/>
      <c r="BA178" s="3035"/>
      <c r="BB178" s="3035"/>
      <c r="BC178" s="3023"/>
    </row>
    <row r="179" spans="1:55" ht="11.25" customHeight="1" x14ac:dyDescent="0.2">
      <c r="A179" s="3030"/>
      <c r="B179" s="3070">
        <f t="shared" si="19"/>
        <v>6</v>
      </c>
      <c r="C179" s="5106"/>
      <c r="D179" s="5184"/>
      <c r="E179" s="5185"/>
      <c r="F179" s="5185"/>
      <c r="G179" s="5185"/>
      <c r="H179" s="5185"/>
      <c r="I179" s="5185"/>
      <c r="J179" s="5185"/>
      <c r="K179" s="5185"/>
      <c r="L179" s="5185"/>
      <c r="M179" s="5185"/>
      <c r="N179" s="5186"/>
      <c r="O179" s="5162"/>
      <c r="P179" s="5164"/>
      <c r="Q179" s="5136"/>
      <c r="R179" s="5166"/>
      <c r="S179" s="5164"/>
      <c r="T179" s="5137"/>
      <c r="U179" s="5175"/>
      <c r="V179" s="5136"/>
      <c r="W179" s="5137"/>
      <c r="X179" s="5140"/>
      <c r="Y179" s="5140"/>
      <c r="Z179" s="5140"/>
      <c r="AA179" s="5140"/>
      <c r="AB179" s="5140"/>
      <c r="AC179" s="5140"/>
      <c r="AD179" s="5140"/>
      <c r="AE179" s="5140"/>
      <c r="AF179" s="5140"/>
      <c r="AG179" s="5141"/>
      <c r="AH179" s="2821"/>
      <c r="AI179" s="3030"/>
      <c r="AJ179" s="2947" t="s">
        <v>10240</v>
      </c>
      <c r="AQ179" s="2816"/>
      <c r="AR179" s="2816"/>
      <c r="AS179" s="2816"/>
      <c r="AT179" s="2816"/>
      <c r="AU179" s="2816"/>
      <c r="AV179" s="3035"/>
      <c r="AW179" s="3035"/>
      <c r="AX179" s="3035"/>
      <c r="AZ179" s="3035"/>
      <c r="BA179" s="5063" t="s">
        <v>10254</v>
      </c>
      <c r="BB179" s="5063"/>
      <c r="BC179" s="3023"/>
    </row>
    <row r="180" spans="1:55" ht="12" customHeight="1" x14ac:dyDescent="0.2">
      <c r="A180" s="3030"/>
      <c r="B180" s="3070">
        <f t="shared" si="19"/>
        <v>6</v>
      </c>
      <c r="C180" s="5106"/>
      <c r="D180" s="5069" t="s">
        <v>3223</v>
      </c>
      <c r="E180" s="5070"/>
      <c r="F180" s="5070"/>
      <c r="G180" s="5070"/>
      <c r="H180" s="5070"/>
      <c r="I180" s="5070"/>
      <c r="J180" s="5070"/>
      <c r="K180" s="5070" t="str">
        <f>"Mant / SMe / Sma"</f>
        <v>Mant / SMe / Sma</v>
      </c>
      <c r="L180" s="5070"/>
      <c r="M180" s="5070"/>
      <c r="N180" s="5070" t="s">
        <v>1774</v>
      </c>
      <c r="O180" s="5145" t="s">
        <v>3221</v>
      </c>
      <c r="P180" s="5145" t="s">
        <v>9648</v>
      </c>
      <c r="Q180" s="5070" t="s">
        <v>1637</v>
      </c>
      <c r="R180" s="5070"/>
      <c r="S180" s="5070"/>
      <c r="T180" s="5070"/>
      <c r="U180" s="5070"/>
      <c r="V180" s="5108" t="s">
        <v>1646</v>
      </c>
      <c r="W180" s="5109"/>
      <c r="X180" s="5108" t="s">
        <v>1772</v>
      </c>
      <c r="Y180" s="5110"/>
      <c r="Z180" s="5109" t="s">
        <v>1651</v>
      </c>
      <c r="AA180" s="5109"/>
      <c r="AB180" s="5108" t="s">
        <v>1656</v>
      </c>
      <c r="AC180" s="5110"/>
      <c r="AD180" s="5109" t="s">
        <v>1664</v>
      </c>
      <c r="AE180" s="5109"/>
      <c r="AF180" s="5108" t="s">
        <v>1665</v>
      </c>
      <c r="AG180" s="5111"/>
      <c r="AH180" s="2821"/>
      <c r="AI180" s="3030"/>
      <c r="AL180" s="2816" t="s">
        <v>9649</v>
      </c>
      <c r="AQ180" s="2816"/>
      <c r="AR180" s="3035"/>
      <c r="AT180" s="2816" t="s">
        <v>10237</v>
      </c>
      <c r="AU180" s="2816"/>
      <c r="AV180" s="2816" t="s">
        <v>9650</v>
      </c>
      <c r="AW180" s="2816" t="s">
        <v>9651</v>
      </c>
      <c r="AX180" s="2816" t="s">
        <v>10238</v>
      </c>
      <c r="AY180" s="2816"/>
      <c r="AZ180" s="3035"/>
      <c r="BA180" s="3035" t="s">
        <v>9652</v>
      </c>
      <c r="BB180" s="2816" t="s">
        <v>9653</v>
      </c>
      <c r="BC180" s="2816" t="s">
        <v>9653</v>
      </c>
    </row>
    <row r="181" spans="1:55" x14ac:dyDescent="0.2">
      <c r="A181" s="3030"/>
      <c r="B181" s="3070">
        <f t="shared" si="19"/>
        <v>6</v>
      </c>
      <c r="C181" s="5106"/>
      <c r="D181" s="5142"/>
      <c r="E181" s="5143"/>
      <c r="F181" s="5143"/>
      <c r="G181" s="5143"/>
      <c r="H181" s="5143"/>
      <c r="I181" s="5143"/>
      <c r="J181" s="5143"/>
      <c r="K181" s="5143"/>
      <c r="L181" s="5143"/>
      <c r="M181" s="5143"/>
      <c r="N181" s="5144"/>
      <c r="O181" s="5146"/>
      <c r="P181" s="5147"/>
      <c r="Q181" s="5144"/>
      <c r="R181" s="5144"/>
      <c r="S181" s="5144"/>
      <c r="T181" s="5144"/>
      <c r="U181" s="5144"/>
      <c r="V181" s="3045" t="s">
        <v>10248</v>
      </c>
      <c r="W181" s="3031" t="s">
        <v>3227</v>
      </c>
      <c r="X181" s="3045" t="s">
        <v>10248</v>
      </c>
      <c r="Y181" s="3031" t="s">
        <v>3227</v>
      </c>
      <c r="Z181" s="3045" t="s">
        <v>10248</v>
      </c>
      <c r="AA181" s="3031" t="s">
        <v>3227</v>
      </c>
      <c r="AB181" s="3045" t="s">
        <v>10248</v>
      </c>
      <c r="AC181" s="3031" t="s">
        <v>3227</v>
      </c>
      <c r="AD181" s="3045" t="s">
        <v>10248</v>
      </c>
      <c r="AE181" s="3031" t="s">
        <v>3227</v>
      </c>
      <c r="AF181" s="3045" t="s">
        <v>10248</v>
      </c>
      <c r="AG181" s="2825" t="s">
        <v>3227</v>
      </c>
      <c r="AH181" s="2821"/>
      <c r="AI181" s="3030"/>
      <c r="AK181" s="2816" t="s">
        <v>10261</v>
      </c>
      <c r="AL181" s="2816">
        <v>1</v>
      </c>
      <c r="AM181" s="2816">
        <v>2</v>
      </c>
      <c r="AN181" s="2816">
        <v>3</v>
      </c>
      <c r="AO181" s="2816">
        <v>4</v>
      </c>
      <c r="AP181" s="2816">
        <v>5</v>
      </c>
      <c r="AQ181" s="2816">
        <v>6</v>
      </c>
      <c r="AR181" s="2816">
        <v>7</v>
      </c>
      <c r="AS181" s="2816"/>
      <c r="AT181" s="3035"/>
      <c r="AV181" s="2816"/>
      <c r="AW181" s="3035"/>
      <c r="AX181" s="3035"/>
      <c r="AZ181" s="3035"/>
      <c r="BA181" s="3035"/>
      <c r="BB181" s="3035"/>
      <c r="BC181" s="3023"/>
    </row>
    <row r="182" spans="1:55" x14ac:dyDescent="0.2">
      <c r="A182" s="3030"/>
      <c r="B182" s="3070">
        <f t="shared" si="19"/>
        <v>6</v>
      </c>
      <c r="C182" s="5106"/>
      <c r="D182" s="5124" t="s">
        <v>9654</v>
      </c>
      <c r="E182" s="5125"/>
      <c r="F182" s="5126"/>
      <c r="G182" s="5127"/>
      <c r="H182" s="5127"/>
      <c r="I182" s="5127"/>
      <c r="J182" s="5128"/>
      <c r="K182" s="5124" t="s">
        <v>1729</v>
      </c>
      <c r="L182" s="5129"/>
      <c r="M182" s="5125"/>
      <c r="N182" s="3036">
        <f>SUMPRODUCT(INDEX('Tablas Técnicas'!$O$10:$X$639,,5),--(INDEX('Tablas Técnicas'!$O$10:$X$639,,1)=F182),--(ISNUMBER(MATCH(INDEX('Tablas Técnicas'!$O$10:$X$639,,2),$AL182:$AR182,0))))</f>
        <v>0</v>
      </c>
      <c r="O182" s="3036" t="str">
        <f>V182+X182+Z182+AB182+AD182+AF182&amp;" / "&amp;SUMPRODUCT(INDEX('Tablas Técnicas'!$O$10:$X$639,,IF(D182="Primario",3,4)),--(INDEX('Tablas Técnicas'!$O$10:$X$639,,1)=F182),--(ISNUMBER(MATCH(INDEX('Tablas Técnicas'!$O$10:$X$639,,2),$AL182:$AR182,0))))+IF(AND(K182&lt;&gt;"-",K182&lt;&gt;""),SUMPRODUCT(INDEX('Tablas Técnicas'!$O$10:$X$639,,IF(K182="Mantenido",6,IF(K182="Sostenimiento menor",7,IF(K182="Sostenimiento mayor",8,0)))),--(INDEX('Tablas Técnicas'!$O$10:$X$639,,1)=F182),--(ISNUMBER(MATCH(INDEX('Tablas Técnicas'!$O$10:$X$639,,2),$AL182:$AR182,0)))),0)+AT182</f>
        <v>0 / 0</v>
      </c>
      <c r="P182" s="3036" t="str">
        <f>W182+Y182+AA182+AC182+AE182+AG182&amp;" / "&amp;IF(K182="Mantenido",SUMPRODUCT(INDEX('Tablas Técnicas'!$O$10:$X$639,,6),--(INDEX('Tablas Técnicas'!$O$10:$X$639,,1)=F182),--(ISNUMBER(MATCH(INDEX('Tablas Técnicas'!$O$10:$X$639,,2),$AL182:$AR182,0)))),0)</f>
        <v>0 / 0</v>
      </c>
      <c r="Q182" s="5130" t="str">
        <f>IFERROR(VLOOKUP(F182,'Tablas Técnicas'!$C$9:$H$81,5,FALSE),"")</f>
        <v/>
      </c>
      <c r="R182" s="5130"/>
      <c r="S182" s="5130"/>
      <c r="T182" s="5130"/>
      <c r="U182" s="5130"/>
      <c r="V182" s="2826"/>
      <c r="W182" s="2827"/>
      <c r="X182" s="2826"/>
      <c r="Y182" s="2828"/>
      <c r="Z182" s="2829"/>
      <c r="AA182" s="2827"/>
      <c r="AB182" s="2826"/>
      <c r="AC182" s="2828"/>
      <c r="AD182" s="2829"/>
      <c r="AE182" s="2827"/>
      <c r="AF182" s="2826"/>
      <c r="AG182" s="2830"/>
      <c r="AH182" s="2821"/>
      <c r="AI182" s="3030"/>
      <c r="AJ182" s="2816">
        <v>1</v>
      </c>
      <c r="AK182" s="2816">
        <f>P178</f>
        <v>1</v>
      </c>
      <c r="AL182" s="2816" t="str">
        <f>IF(INDEX($A$1:$AI$343,ROW($D$29)+($B182-1)*(ROW($D$63)-ROW($D$29))+Tablas!A$1-1,COLUMN($D$29)+($AJ182-1)*(COLUMN($J$29)-COLUMN($D$29)))="","",INDEX($A$1:$AI$343,ROW($D$29)+($B182-1)*(ROW($D$63)-ROW($D$29))+Tablas!A$1-1,COLUMN($D$29)+($AJ182-1)*(COLUMN($J$29)-COLUMN($D$29))))</f>
        <v/>
      </c>
      <c r="AM182" s="2816" t="str">
        <f>IF(INDEX($A$1:$AI$343,ROW($D$29)+($B182-1)*(ROW($D$63)-ROW($D$29))+Tablas!B$1-1,COLUMN($D$29)+($AJ182-1)*(COLUMN($J$29)-COLUMN($D$29)))="","",INDEX($A$1:$AI$343,ROW($D$29)+($B182-1)*(ROW($D$63)-ROW($D$29))+Tablas!B$1-1,COLUMN($D$29)+($AJ182-1)*(COLUMN($J$29)-COLUMN($D$29))))</f>
        <v/>
      </c>
      <c r="AN182" s="2816" t="str">
        <f>IF(INDEX($A$1:$AI$343,ROW($D$29)+($B182-1)*(ROW($D$63)-ROW($D$29))+Tablas!C$1-1,COLUMN($D$29)+($AJ182-1)*(COLUMN($J$29)-COLUMN($D$29)))="","",INDEX($A$1:$AI$343,ROW($D$29)+($B182-1)*(ROW($D$63)-ROW($D$29))+Tablas!C$1-1,COLUMN($D$29)+($AJ182-1)*(COLUMN($J$29)-COLUMN($D$29))))</f>
        <v/>
      </c>
      <c r="AO182" s="2816" t="str">
        <f>IF(INDEX($A$1:$AI$343,ROW($D$29)+($B182-1)*(ROW($D$63)-ROW($D$29))+Tablas!D$1-1,COLUMN($D$29)+($AJ182-1)*(COLUMN($J$29)-COLUMN($D$29)))="","",INDEX($A$1:$AI$343,ROW($D$29)+($B182-1)*(ROW($D$63)-ROW($D$29))+Tablas!D$1-1,COLUMN($D$29)+($AJ182-1)*(COLUMN($J$29)-COLUMN($D$29))))</f>
        <v>Descripción</v>
      </c>
      <c r="AP182" s="2816" t="str">
        <f>IF(INDEX($A$1:$AI$343,ROW($D$29)+($B182-1)*(ROW($D$63)-ROW($D$29))+Tablas!E$1-1,COLUMN($D$29)+($AJ182-1)*(COLUMN($J$29)-COLUMN($D$29)))="","",INDEX($A$1:$AI$343,ROW($D$29)+($B182-1)*(ROW($D$63)-ROW($D$29))+Tablas!E$1-1,COLUMN($D$29)+($AJ182-1)*(COLUMN($J$29)-COLUMN($D$29))))</f>
        <v/>
      </c>
      <c r="AQ182" s="2816" t="str">
        <f>IF(INDEX($A$1:$AI$343,ROW($D$29)+($B182-1)*(ROW($D$63)-ROW($D$29))+Tablas!F$1-1,COLUMN($D$29)+($AJ182-1)*(COLUMN($J$29)-COLUMN($D$29)))="","",INDEX($A$1:$AI$343,ROW($D$29)+($B182-1)*(ROW($D$63)-ROW($D$29))+Tablas!F$1-1,COLUMN($D$29)+($AJ182-1)*(COLUMN($J$29)-COLUMN($D$29))))</f>
        <v/>
      </c>
      <c r="AR182" s="2816" t="str">
        <f>IF(INDEX($A$1:$AI$343,ROW($D$29)+($B182-1)*(ROW($D$63)-ROW($D$29))+Tablas!G$1-1,COLUMN($D$29)+($AJ182-1)*(COLUMN($J$29)-COLUMN($D$29)))="","",INDEX($A$1:$AI$343,ROW($D$29)+($B182-1)*(ROW($D$63)-ROW($D$29))+Tablas!G$1-1,COLUMN($D$29)+($AJ182-1)*(COLUMN($J$29)-COLUMN($D$29))))</f>
        <v/>
      </c>
      <c r="AS182" s="2816"/>
      <c r="AT182" s="3035">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V182" s="2816" t="str">
        <f>IFERROR(VLOOKUP(F182,'Tablas Técnicas'!$C$9:$H$81,6,FALSE),"")</f>
        <v/>
      </c>
      <c r="AW182" s="3035" t="b">
        <f>OR(AV182="",ISNUMBER(SEARCH($O187,AV182)),ISNUMBER(SEARCH($Q187,AV182)),ISNUMBER(SEARCH($O188,AV182)),ISNUMBER(SEARCH($Q188,AV182)),ISNUMBER(SEARCH($O189,AV182)),ISNUMBER(SEARCH($Q189,AV182)),)</f>
        <v>1</v>
      </c>
      <c r="AX182" s="3035" t="b">
        <f>AND(P178&gt;1,OR(MAX(I195:I201)=1,MAX(I195:I201)=2))</f>
        <v>0</v>
      </c>
      <c r="AZ182" s="3035"/>
      <c r="BA182" s="2816" t="str">
        <f>IF(F182="","",F182&amp;" ("&amp;IF(AL182="","",AL182&amp;", ")&amp;IF(AM182="","",AM182&amp;", ")&amp;IF(AN182="","",AN182&amp;", ")&amp;IF(AO182="","",AO182&amp;", ")&amp;IF(AP182="","",AP182&amp;", ")&amp;IF(AQ182="","",AQ182&amp;", ")&amp;IF(AR182="","",AR182&amp;", "))</f>
        <v/>
      </c>
      <c r="BB182" s="3035" t="str">
        <f t="shared" ref="BB182:BB184" si="20">IFERROR(LEFT(BA182,LEN(BA182)-2)&amp;"), ","")</f>
        <v/>
      </c>
      <c r="BC182" s="3023" t="str">
        <f t="shared" ref="BC182:BC184" si="21">IFERROR(LEFT(BB182,LEN(BB182)-2)&amp;"), ","")</f>
        <v/>
      </c>
    </row>
    <row r="183" spans="1:55" x14ac:dyDescent="0.2">
      <c r="A183" s="3030"/>
      <c r="B183" s="3070">
        <f t="shared" si="19"/>
        <v>6</v>
      </c>
      <c r="C183" s="5106"/>
      <c r="D183" s="5090" t="s">
        <v>790</v>
      </c>
      <c r="E183" s="5091"/>
      <c r="F183" s="5112"/>
      <c r="G183" s="5113"/>
      <c r="H183" s="5113"/>
      <c r="I183" s="5113"/>
      <c r="J183" s="5114"/>
      <c r="K183" s="5115" t="s">
        <v>1729</v>
      </c>
      <c r="L183" s="5116"/>
      <c r="M183" s="5117"/>
      <c r="N183" s="3039">
        <f>SUMPRODUCT(INDEX('Tablas Técnicas'!$O$10:$X$639,,5),--(INDEX('Tablas Técnicas'!$O$10:$X$639,,1)=F183),--(ISNUMBER(MATCH(INDEX('Tablas Técnicas'!$O$10:$X$639,,2),$AL183:$AR183,0))))</f>
        <v>0</v>
      </c>
      <c r="O183" s="3039" t="str">
        <f>V183+X183+Z183+AB183+AD183+AF183&amp;" / "&amp;SUMPRODUCT(INDEX('Tablas Técnicas'!$O$10:$X$639,,IF(D183="Primario",3,4)),--(INDEX('Tablas Técnicas'!$O$10:$X$639,,1)=F183),--(ISNUMBER(MATCH(INDEX('Tablas Técnicas'!$O$10:$X$639,,2),$AL183:$AR183,0))))+IF(AND(K183&lt;&gt;"-",K183&lt;&gt;""),SUMPRODUCT(INDEX('Tablas Técnicas'!$O$10:$X$639,,IF(K183="Mantenido",6,IF(K183="Sostenimiento menor",7,IF(K183="Sostenimiento mayor",8,0)))),--(INDEX('Tablas Técnicas'!$O$10:$X$639,,1)=F183),--(ISNUMBER(MATCH(INDEX('Tablas Técnicas'!$O$10:$X$639,,2),$AL183:$AR183,0)))),0)+AT183</f>
        <v>0 / 0</v>
      </c>
      <c r="P183" s="3039" t="str">
        <f>W183+Y183+AA183+AC183+AE183+AG183&amp;" / "&amp;IF(K183="Mantenido",SUMPRODUCT(INDEX('Tablas Técnicas'!$O$10:$X$639,,6),--(INDEX('Tablas Técnicas'!$O$10:$X$639,,1)=F183),--(ISNUMBER(MATCH(INDEX('Tablas Técnicas'!$O$10:$X$639,,2),$AL183:$AR183,0)))),0)</f>
        <v>0 / 0</v>
      </c>
      <c r="Q183" s="5092" t="str">
        <f>IFERROR(VLOOKUP(F183,'Tablas Técnicas'!$C$9:$H$81,5,FALSE),"")</f>
        <v/>
      </c>
      <c r="R183" s="5092"/>
      <c r="S183" s="5092"/>
      <c r="T183" s="5092"/>
      <c r="U183" s="5092"/>
      <c r="V183" s="3034"/>
      <c r="W183" s="2831"/>
      <c r="X183" s="3034"/>
      <c r="Y183" s="3033"/>
      <c r="Z183" s="3028"/>
      <c r="AA183" s="2831"/>
      <c r="AB183" s="3034"/>
      <c r="AC183" s="3033"/>
      <c r="AD183" s="3028"/>
      <c r="AE183" s="2831"/>
      <c r="AF183" s="3034"/>
      <c r="AG183" s="2832"/>
      <c r="AH183" s="2821"/>
      <c r="AI183" s="3030"/>
      <c r="AJ183" s="2816">
        <v>2</v>
      </c>
      <c r="AK183" s="2816">
        <f>P178</f>
        <v>1</v>
      </c>
      <c r="AL183" s="2816" t="str">
        <f>IF(INDEX($A$1:$AI$343,ROW($D$29)+($B183-1)*(ROW($D$63)-ROW($D$29))+Tablas!A$1-1,COLUMN($D$29)+($AJ183-1)*(COLUMN($J$29)-COLUMN($D$29)))="","",INDEX($A$1:$AI$343,ROW($D$29)+($B183-1)*(ROW($D$63)-ROW($D$29))+Tablas!A$1-1,COLUMN($D$29)+($AJ183-1)*(COLUMN($J$29)-COLUMN($D$29))))</f>
        <v/>
      </c>
      <c r="AM183" s="2816" t="str">
        <f>IF(INDEX($A$1:$AI$343,ROW($D$29)+($B183-1)*(ROW($D$63)-ROW($D$29))+Tablas!B$1-1,COLUMN($D$29)+($AJ183-1)*(COLUMN($J$29)-COLUMN($D$29)))="","",INDEX($A$1:$AI$343,ROW($D$29)+($B183-1)*(ROW($D$63)-ROW($D$29))+Tablas!B$1-1,COLUMN($D$29)+($AJ183-1)*(COLUMN($J$29)-COLUMN($D$29))))</f>
        <v/>
      </c>
      <c r="AN183" s="2816" t="str">
        <f>IF(INDEX($A$1:$AI$343,ROW($D$29)+($B183-1)*(ROW($D$63)-ROW($D$29))+Tablas!C$1-1,COLUMN($D$29)+($AJ183-1)*(COLUMN($J$29)-COLUMN($D$29)))="","",INDEX($A$1:$AI$343,ROW($D$29)+($B183-1)*(ROW($D$63)-ROW($D$29))+Tablas!C$1-1,COLUMN($D$29)+($AJ183-1)*(COLUMN($J$29)-COLUMN($D$29))))</f>
        <v/>
      </c>
      <c r="AO183" s="2816" t="str">
        <f>IF(INDEX($A$1:$AI$343,ROW($D$29)+($B183-1)*(ROW($D$63)-ROW($D$29))+Tablas!D$1-1,COLUMN($D$29)+($AJ183-1)*(COLUMN($J$29)-COLUMN($D$29)))="","",INDEX($A$1:$AI$343,ROW($D$29)+($B183-1)*(ROW($D$63)-ROW($D$29))+Tablas!D$1-1,COLUMN($D$29)+($AJ183-1)*(COLUMN($J$29)-COLUMN($D$29))))</f>
        <v/>
      </c>
      <c r="AP183" s="2816" t="str">
        <f>IF(INDEX($A$1:$AI$343,ROW($D$29)+($B183-1)*(ROW($D$63)-ROW($D$29))+Tablas!E$1-1,COLUMN($D$29)+($AJ183-1)*(COLUMN($J$29)-COLUMN($D$29)))="","",INDEX($A$1:$AI$343,ROW($D$29)+($B183-1)*(ROW($D$63)-ROW($D$29))+Tablas!E$1-1,COLUMN($D$29)+($AJ183-1)*(COLUMN($J$29)-COLUMN($D$29))))</f>
        <v/>
      </c>
      <c r="AQ183" s="2816" t="str">
        <f>IF(INDEX($A$1:$AI$343,ROW($D$29)+($B183-1)*(ROW($D$63)-ROW($D$29))+Tablas!F$1-1,COLUMN($D$29)+($AJ183-1)*(COLUMN($J$29)-COLUMN($D$29)))="","",INDEX($A$1:$AI$343,ROW($D$29)+($B183-1)*(ROW($D$63)-ROW($D$29))+Tablas!F$1-1,COLUMN($D$29)+($AJ183-1)*(COLUMN($J$29)-COLUMN($D$29))))</f>
        <v/>
      </c>
      <c r="AR183" s="2816" t="str">
        <f>IF(INDEX($A$1:$AI$343,ROW($D$29)+($B183-1)*(ROW($D$63)-ROW($D$29))+Tablas!G$1-1,COLUMN($D$29)+($AJ183-1)*(COLUMN($J$29)-COLUMN($D$29)))="","",INDEX($A$1:$AI$343,ROW($D$29)+($B183-1)*(ROW($D$63)-ROW($D$29))+Tablas!G$1-1,COLUMN($D$29)+($AJ183-1)*(COLUMN($J$29)-COLUMN($D$29))))</f>
        <v/>
      </c>
      <c r="AS183" s="2816"/>
      <c r="AT183" s="3035">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V183" s="2816" t="str">
        <f>IFERROR(VLOOKUP(F183,'Tablas Técnicas'!$C$9:$H$81,6,FALSE),"")</f>
        <v/>
      </c>
      <c r="AW183" s="3035" t="b">
        <f>OR(AX167="",OR(ISNUMBER(SEARCH($O187,AV183)),ISNUMBER(SEARCH($Q187,AV183)),ISNUMBER(SEARCH($O188,AV183)),ISNUMBER(SEARCH($Q188,AV183)),ISNUMBER(SEARCH($O189,AV183)),ISNUMBER(SEARCH($Q189,AV183)),))</f>
        <v>1</v>
      </c>
      <c r="AX183" s="3035" t="b">
        <f>AND(P178&gt;1,OR(MAX(O195:O201)=1,MAX(O195:O201)=2))</f>
        <v>0</v>
      </c>
      <c r="AZ183" s="3035"/>
      <c r="BA183" s="2816" t="str">
        <f>IF(F183="","",F183&amp;" ("&amp;IF(AL183="","",AL183&amp;", ")&amp;IF(AM183="","",AM183&amp;", ")&amp;IF(AN183="","",AN183&amp;", ")&amp;IF(AO183="","",AO183&amp;", ")&amp;IF(AP183="","",AP183&amp;", ")&amp;IF(AQ183="","",AQ183&amp;", ")&amp;IF(AR183="","",AR183&amp;", "))</f>
        <v/>
      </c>
      <c r="BB183" s="3035" t="str">
        <f t="shared" si="20"/>
        <v/>
      </c>
      <c r="BC183" s="3023" t="str">
        <f t="shared" si="21"/>
        <v/>
      </c>
    </row>
    <row r="184" spans="1:55" x14ac:dyDescent="0.2">
      <c r="A184" s="3030"/>
      <c r="B184" s="3070">
        <f t="shared" si="19"/>
        <v>6</v>
      </c>
      <c r="C184" s="5106"/>
      <c r="D184" s="5131" t="s">
        <v>790</v>
      </c>
      <c r="E184" s="5132"/>
      <c r="F184" s="5118"/>
      <c r="G184" s="5119"/>
      <c r="H184" s="5119"/>
      <c r="I184" s="5119"/>
      <c r="J184" s="5120"/>
      <c r="K184" s="5121" t="s">
        <v>1729</v>
      </c>
      <c r="L184" s="5122"/>
      <c r="M184" s="5123"/>
      <c r="N184" s="3040">
        <f>SUMPRODUCT(INDEX('Tablas Técnicas'!$O$10:$X$639,,5),--(INDEX('Tablas Técnicas'!$O$10:$X$639,,1)=F184),--(ISNUMBER(MATCH(INDEX('Tablas Técnicas'!$O$10:$X$639,,2),$AL184:$AR184,0))))</f>
        <v>0</v>
      </c>
      <c r="O184" s="3040" t="str">
        <f>V184+X184+Z184+AB184+AD184+AF184&amp;" / "&amp;SUMPRODUCT(INDEX('Tablas Técnicas'!$O$10:$X$639,,IF(D184="Primario",3,4)),--(INDEX('Tablas Técnicas'!$O$10:$X$639,,1)=F184),--(ISNUMBER(MATCH(INDEX('Tablas Técnicas'!$O$10:$X$639,,2),$AL184:$AR184,0))))+IF(AND(K184&lt;&gt;"-",K184&lt;&gt;""),SUMPRODUCT(INDEX('Tablas Técnicas'!$O$10:$X$639,,IF(K184="Mantenido",6,IF(K184="Sostenimiento menor",7,IF(K184="Sostenimiento mayor",8,0)))),--(INDEX('Tablas Técnicas'!$O$10:$X$639,,1)=F184),--(ISNUMBER(MATCH(INDEX('Tablas Técnicas'!$O$10:$X$639,,2),$AL184:$AR184,0)))),0)+AT184</f>
        <v>0 / 0</v>
      </c>
      <c r="P184" s="3040" t="str">
        <f>W184+Y184+AA184+AC184+AE184+AG184&amp;" / "&amp;IF(K184="Mantenido",SUMPRODUCT(INDEX('Tablas Técnicas'!$O$10:$X$639,,6),--(INDEX('Tablas Técnicas'!$O$10:$X$639,,1)=F184),--(ISNUMBER(MATCH(INDEX('Tablas Técnicas'!$O$10:$X$639,,2),$AL184:$AR184,0)))),0)</f>
        <v>0 / 0</v>
      </c>
      <c r="Q184" s="5133" t="str">
        <f>IFERROR(VLOOKUP(F184,'Tablas Técnicas'!$C$9:$H$81,5,FALSE),"")</f>
        <v/>
      </c>
      <c r="R184" s="5133"/>
      <c r="S184" s="5133"/>
      <c r="T184" s="5133"/>
      <c r="U184" s="5133"/>
      <c r="V184" s="2833"/>
      <c r="W184" s="2834"/>
      <c r="X184" s="3038"/>
      <c r="Y184" s="3037"/>
      <c r="Z184" s="3029"/>
      <c r="AA184" s="2834"/>
      <c r="AB184" s="3038"/>
      <c r="AC184" s="3037"/>
      <c r="AD184" s="3029"/>
      <c r="AE184" s="2834"/>
      <c r="AF184" s="3038"/>
      <c r="AG184" s="2835"/>
      <c r="AH184" s="2821"/>
      <c r="AI184" s="3030"/>
      <c r="AJ184" s="2816">
        <v>3</v>
      </c>
      <c r="AK184" s="2816">
        <f>P178</f>
        <v>1</v>
      </c>
      <c r="AL184" s="2816" t="str">
        <f>IF(INDEX($A$1:$AI$343,ROW($D$29)+($B184-1)*(ROW($D$63)-ROW($D$29))+Tablas!A$1-1,COLUMN($D$29)+($AJ184-1)*(COLUMN($J$29)-COLUMN($D$29)))="","",INDEX($A$1:$AI$343,ROW($D$29)+($B184-1)*(ROW($D$63)-ROW($D$29))+Tablas!A$1-1,COLUMN($D$29)+($AJ184-1)*(COLUMN($J$29)-COLUMN($D$29))))</f>
        <v/>
      </c>
      <c r="AM184" s="2816" t="str">
        <f>IF(INDEX($A$1:$AI$343,ROW($D$29)+($B184-1)*(ROW($D$63)-ROW($D$29))+Tablas!B$1-1,COLUMN($D$29)+($AJ184-1)*(COLUMN($J$29)-COLUMN($D$29)))="","",INDEX($A$1:$AI$343,ROW($D$29)+($B184-1)*(ROW($D$63)-ROW($D$29))+Tablas!B$1-1,COLUMN($D$29)+($AJ184-1)*(COLUMN($J$29)-COLUMN($D$29))))</f>
        <v/>
      </c>
      <c r="AN184" s="2816" t="str">
        <f>IF(INDEX($A$1:$AI$343,ROW($D$29)+($B184-1)*(ROW($D$63)-ROW($D$29))+Tablas!C$1-1,COLUMN($D$29)+($AJ184-1)*(COLUMN($J$29)-COLUMN($D$29)))="","",INDEX($A$1:$AI$343,ROW($D$29)+($B184-1)*(ROW($D$63)-ROW($D$29))+Tablas!C$1-1,COLUMN($D$29)+($AJ184-1)*(COLUMN($J$29)-COLUMN($D$29))))</f>
        <v/>
      </c>
      <c r="AO184" s="2816" t="str">
        <f>IF(INDEX($A$1:$AI$343,ROW($D$29)+($B184-1)*(ROW($D$63)-ROW($D$29))+Tablas!D$1-1,COLUMN($D$29)+($AJ184-1)*(COLUMN($J$29)-COLUMN($D$29)))="","",INDEX($A$1:$AI$343,ROW($D$29)+($B184-1)*(ROW($D$63)-ROW($D$29))+Tablas!D$1-1,COLUMN($D$29)+($AJ184-1)*(COLUMN($J$29)-COLUMN($D$29))))</f>
        <v/>
      </c>
      <c r="AP184" s="2816" t="str">
        <f>IF(INDEX($A$1:$AI$343,ROW($D$29)+($B184-1)*(ROW($D$63)-ROW($D$29))+Tablas!E$1-1,COLUMN($D$29)+($AJ184-1)*(COLUMN($J$29)-COLUMN($D$29)))="","",INDEX($A$1:$AI$343,ROW($D$29)+($B184-1)*(ROW($D$63)-ROW($D$29))+Tablas!E$1-1,COLUMN($D$29)+($AJ184-1)*(COLUMN($J$29)-COLUMN($D$29))))</f>
        <v/>
      </c>
      <c r="AQ184" s="2816" t="str">
        <f>IF(INDEX($A$1:$AI$343,ROW($D$29)+($B184-1)*(ROW($D$63)-ROW($D$29))+Tablas!F$1-1,COLUMN($D$29)+($AJ184-1)*(COLUMN($J$29)-COLUMN($D$29)))="","",INDEX($A$1:$AI$343,ROW($D$29)+($B184-1)*(ROW($D$63)-ROW($D$29))+Tablas!F$1-1,COLUMN($D$29)+($AJ184-1)*(COLUMN($J$29)-COLUMN($D$29))))</f>
        <v/>
      </c>
      <c r="AR184" s="2816" t="str">
        <f>IF(INDEX($A$1:$AI$343,ROW($D$29)+($B184-1)*(ROW($D$63)-ROW($D$29))+Tablas!G$1-1,COLUMN($D$29)+($AJ184-1)*(COLUMN($J$29)-COLUMN($D$29)))="","",INDEX($A$1:$AI$343,ROW($D$29)+($B184-1)*(ROW($D$63)-ROW($D$29))+Tablas!G$1-1,COLUMN($D$29)+($AJ184-1)*(COLUMN($J$29)-COLUMN($D$29))))</f>
        <v/>
      </c>
      <c r="AS184" s="2816"/>
      <c r="AT184" s="3035">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V184" s="2816" t="str">
        <f>IFERROR(VLOOKUP(F184,'Tablas Técnicas'!$C$9:$H$81,6,FALSE),"")</f>
        <v/>
      </c>
      <c r="AW184" s="3035" t="b">
        <f>OR(AV184="",OR(ISNUMBER(SEARCH($O187,AV184)),ISNUMBER(SEARCH($Q187,AV184)),ISNUMBER(SEARCH($O188,AV184)),ISNUMBER(SEARCH($Q188,AV184)),ISNUMBER(SEARCH($O189,AV184)),ISNUMBER(SEARCH($Q189,AV184)),))</f>
        <v>1</v>
      </c>
      <c r="AX184" s="3035" t="b">
        <f>AND(P178&gt;1,OR(MAX(U195:U201)=1,MAX(U195:U201)=2))</f>
        <v>0</v>
      </c>
      <c r="AZ184" s="3035"/>
      <c r="BA184" s="2816" t="str">
        <f>IF(F184="","",F184&amp;" ("&amp;IF(AL184="","",AL184&amp;", ")&amp;IF(AM184="","",AM184&amp;", ")&amp;IF(AN184="","",AN184&amp;", ")&amp;IF(AO184="","",AO184&amp;", ")&amp;IF(AP184="","",AP184&amp;", ")&amp;IF(AQ184="","",AQ184&amp;", ")&amp;IF(AR184="","",AR184&amp;", "))</f>
        <v/>
      </c>
      <c r="BB184" s="3035" t="str">
        <f t="shared" si="20"/>
        <v/>
      </c>
      <c r="BC184" s="3023" t="str">
        <f t="shared" si="21"/>
        <v/>
      </c>
    </row>
    <row r="185" spans="1:55" x14ac:dyDescent="0.2">
      <c r="A185" s="3030"/>
      <c r="B185" s="3070">
        <f t="shared" si="19"/>
        <v>6</v>
      </c>
      <c r="C185" s="5106"/>
      <c r="D185" s="5090" t="s">
        <v>790</v>
      </c>
      <c r="E185" s="5091"/>
      <c r="F185" s="5112"/>
      <c r="G185" s="5113"/>
      <c r="H185" s="5113"/>
      <c r="I185" s="5113"/>
      <c r="J185" s="5114"/>
      <c r="K185" s="5115" t="s">
        <v>1729</v>
      </c>
      <c r="L185" s="5116"/>
      <c r="M185" s="5117"/>
      <c r="N185" s="3039">
        <f>SUMPRODUCT(INDEX('Tablas Técnicas'!$O$10:$X$639,,5),--(INDEX('Tablas Técnicas'!$O$10:$X$639,,1)=F185),--(ISNUMBER(MATCH(INDEX('Tablas Técnicas'!$O$10:$X$639,,2),$AL185:$AR185,0))))</f>
        <v>0</v>
      </c>
      <c r="O185" s="3039" t="str">
        <f>V185+X185+Z185+AB185+AD185+AF185&amp;" / "&amp;SUMPRODUCT(INDEX('Tablas Técnicas'!$O$10:$X$639,,IF(D185="Primario",3,4)),--(INDEX('Tablas Técnicas'!$O$10:$X$639,,1)=F185),--(ISNUMBER(MATCH(INDEX('Tablas Técnicas'!$O$10:$X$639,,2),$AL185:$AR185,0))))+IF(AND(K185&lt;&gt;"-",K185&lt;&gt;""),SUMPRODUCT(INDEX('Tablas Técnicas'!$O$10:$X$639,,IF(K185="Mantenido",6,IF(K185="Sostenimiento menor",7,IF(K185="Sostenimiento mayor",8,0)))),--(INDEX('Tablas Técnicas'!$O$10:$X$639,,1)=F185),--(ISNUMBER(MATCH(INDEX('Tablas Técnicas'!$O$10:$X$639,,2),$AL185:$AR185,0)))),0)+AT185</f>
        <v>0 / 0</v>
      </c>
      <c r="P185" s="3039" t="str">
        <f>W185+Y185+AA185+AC185+AE185+AG185&amp;" / "&amp;IF(K185="Mantenido",SUMPRODUCT(INDEX('Tablas Técnicas'!$O$10:$X$639,,6),--(INDEX('Tablas Técnicas'!$O$10:$X$639,,1)=F185),--(ISNUMBER(MATCH(INDEX('Tablas Técnicas'!$O$10:$X$639,,2),$AL185:$AR185,0)))),0)</f>
        <v>0 / 0</v>
      </c>
      <c r="Q185" s="5092" t="str">
        <f>IFERROR(VLOOKUP(F185,'Tablas Técnicas'!$C$9:$H$81,5,FALSE),"")</f>
        <v/>
      </c>
      <c r="R185" s="5092"/>
      <c r="S185" s="5092"/>
      <c r="T185" s="5092"/>
      <c r="U185" s="5092"/>
      <c r="V185" s="3034"/>
      <c r="W185" s="2831"/>
      <c r="X185" s="3034"/>
      <c r="Y185" s="3033"/>
      <c r="Z185" s="3028"/>
      <c r="AA185" s="2831"/>
      <c r="AB185" s="3034"/>
      <c r="AC185" s="3033"/>
      <c r="AD185" s="3028"/>
      <c r="AE185" s="2831"/>
      <c r="AF185" s="3034"/>
      <c r="AG185" s="2832"/>
      <c r="AH185" s="2821"/>
      <c r="AI185" s="3030"/>
      <c r="AJ185" s="2816">
        <v>4</v>
      </c>
      <c r="AK185" s="2816">
        <f>P178</f>
        <v>1</v>
      </c>
      <c r="AL185" s="2816" t="str">
        <f>IF(INDEX($A$1:$AI$343,ROW($D$29)+($B185-1)*(ROW($D$63)-ROW($D$29))+Tablas!A$1-1,COLUMN($D$29)+($AJ185-1)*(COLUMN($J$29)-COLUMN($D$29)))="","",INDEX($A$1:$AI$343,ROW($D$29)+($B185-1)*(ROW($D$63)-ROW($D$29))+Tablas!A$1-1,COLUMN($D$29)+($AJ185-1)*(COLUMN($J$29)-COLUMN($D$29))))</f>
        <v/>
      </c>
      <c r="AM185" s="2816" t="str">
        <f>IF(INDEX($A$1:$AI$343,ROW($D$29)+($B185-1)*(ROW($D$63)-ROW($D$29))+Tablas!B$1-1,COLUMN($D$29)+($AJ185-1)*(COLUMN($J$29)-COLUMN($D$29)))="","",INDEX($A$1:$AI$343,ROW($D$29)+($B185-1)*(ROW($D$63)-ROW($D$29))+Tablas!B$1-1,COLUMN($D$29)+($AJ185-1)*(COLUMN($J$29)-COLUMN($D$29))))</f>
        <v/>
      </c>
      <c r="AN185" s="2816" t="str">
        <f>IF(INDEX($A$1:$AI$343,ROW($D$29)+($B185-1)*(ROW($D$63)-ROW($D$29))+Tablas!C$1-1,COLUMN($D$29)+($AJ185-1)*(COLUMN($J$29)-COLUMN($D$29)))="","",INDEX($A$1:$AI$343,ROW($D$29)+($B185-1)*(ROW($D$63)-ROW($D$29))+Tablas!C$1-1,COLUMN($D$29)+($AJ185-1)*(COLUMN($J$29)-COLUMN($D$29))))</f>
        <v/>
      </c>
      <c r="AO185" s="2816" t="str">
        <f>IF(INDEX($A$1:$AI$343,ROW($D$29)+($B185-1)*(ROW($D$63)-ROW($D$29))+Tablas!D$1-1,COLUMN($D$29)+($AJ185-1)*(COLUMN($J$29)-COLUMN($D$29)))="","",INDEX($A$1:$AI$343,ROW($D$29)+($B185-1)*(ROW($D$63)-ROW($D$29))+Tablas!D$1-1,COLUMN($D$29)+($AJ185-1)*(COLUMN($J$29)-COLUMN($D$29))))</f>
        <v/>
      </c>
      <c r="AP185" s="2816" t="str">
        <f>IF(INDEX($A$1:$AI$343,ROW($D$29)+($B185-1)*(ROW($D$63)-ROW($D$29))+Tablas!E$1-1,COLUMN($D$29)+($AJ185-1)*(COLUMN($J$29)-COLUMN($D$29)))="","",INDEX($A$1:$AI$343,ROW($D$29)+($B185-1)*(ROW($D$63)-ROW($D$29))+Tablas!E$1-1,COLUMN($D$29)+($AJ185-1)*(COLUMN($J$29)-COLUMN($D$29))))</f>
        <v/>
      </c>
      <c r="AQ185" s="2816" t="str">
        <f>IF(INDEX($A$1:$AI$343,ROW($D$29)+($B185-1)*(ROW($D$63)-ROW($D$29))+Tablas!F$1-1,COLUMN($D$29)+($AJ185-1)*(COLUMN($J$29)-COLUMN($D$29)))="","",INDEX($A$1:$AI$343,ROW($D$29)+($B185-1)*(ROW($D$63)-ROW($D$29))+Tablas!F$1-1,COLUMN($D$29)+($AJ185-1)*(COLUMN($J$29)-COLUMN($D$29))))</f>
        <v/>
      </c>
      <c r="AR185" s="2816" t="str">
        <f>IF(INDEX($A$1:$AI$343,ROW($D$29)+($B185-1)*(ROW($D$63)-ROW($D$29))+Tablas!G$1-1,COLUMN($D$29)+($AJ185-1)*(COLUMN($J$29)-COLUMN($D$29)))="","",INDEX($A$1:$AI$343,ROW($D$29)+($B185-1)*(ROW($D$63)-ROW($D$29))+Tablas!G$1-1,COLUMN($D$29)+($AJ185-1)*(COLUMN($J$29)-COLUMN($D$29))))</f>
        <v/>
      </c>
      <c r="AS185" s="2816"/>
      <c r="AT185" s="3035">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V185" s="2816" t="str">
        <f>IFERROR(VLOOKUP(F185,'Tablas Técnicas'!$C$9:$H$81,6,FALSE),"")</f>
        <v/>
      </c>
      <c r="AW185" s="3035" t="b">
        <f>OR(AV185="",OR(ISNUMBER(SEARCH($O187,AV185)),ISNUMBER(SEARCH($Q187,AV185)),ISNUMBER(SEARCH($O188,AV185)),ISNUMBER(SEARCH($Q188,AV185)),ISNUMBER(SEARCH($O189,AV185)),ISNUMBER(SEARCH($Q189,AV185)),))</f>
        <v>1</v>
      </c>
      <c r="AX185" s="3035" t="b">
        <f>AND(P178&gt;1,OR(MAX(AA195:AA201)=1,MAX(AA195:AA201)=2))</f>
        <v>0</v>
      </c>
      <c r="AZ185" s="3035"/>
      <c r="BA185" s="2816" t="str">
        <f>IF(F185="","",F185&amp;" ("&amp;IF(AL185="","",AL185&amp;", ")&amp;IF(AM185="","",AM185&amp;", ")&amp;IF(AN185="","",AN185&amp;", ")&amp;IF(AO185="","",AO185&amp;", ")&amp;IF(AP185="","",AP185&amp;", ")&amp;IF(AQ185="","",AQ185&amp;", ")&amp;IF(AR185="","",AR185&amp;", "))</f>
        <v/>
      </c>
      <c r="BB185" s="3035" t="str">
        <f>IFERROR(LEFT(BA185,LEN(BA185)-2)&amp;"), ","")</f>
        <v/>
      </c>
      <c r="BC185" s="3023" t="str">
        <f>IFERROR(LEFT(BB185,LEN(BB185)-2)&amp;"), ","")</f>
        <v/>
      </c>
    </row>
    <row r="186" spans="1:55" x14ac:dyDescent="0.2">
      <c r="A186" s="3030"/>
      <c r="B186" s="3070">
        <f t="shared" si="19"/>
        <v>6</v>
      </c>
      <c r="C186" s="5106"/>
      <c r="D186" s="5093" t="s">
        <v>790</v>
      </c>
      <c r="E186" s="5094"/>
      <c r="F186" s="5084"/>
      <c r="G186" s="5085"/>
      <c r="H186" s="5085"/>
      <c r="I186" s="5085"/>
      <c r="J186" s="5086"/>
      <c r="K186" s="5087" t="s">
        <v>1729</v>
      </c>
      <c r="L186" s="5088"/>
      <c r="M186" s="5089"/>
      <c r="N186" s="3032">
        <f>SUMPRODUCT(INDEX('Tablas Técnicas'!$O$10:$X$639,,5),--(INDEX('Tablas Técnicas'!$O$10:$X$639,,1)=F186),--(ISNUMBER(MATCH(INDEX('Tablas Técnicas'!$O$10:$X$639,,2),$AL186:$AR186,0))))</f>
        <v>0</v>
      </c>
      <c r="O186" s="3032" t="str">
        <f>V186+X186+Z186+AB186+AD186+AF186&amp;" / "&amp;SUMPRODUCT(INDEX('Tablas Técnicas'!$O$10:$X$639,,IF(D186="Primario",3,4)),--(INDEX('Tablas Técnicas'!$O$10:$X$639,,1)=F186),--(ISNUMBER(MATCH(INDEX('Tablas Técnicas'!$O$10:$X$639,,2),$AL186:$AR186,0))))+IF(AND(K186&lt;&gt;"-",K186&lt;&gt;""),SUMPRODUCT(INDEX('Tablas Técnicas'!$O$10:$X$639,,IF(K186="Mantenido",6,IF(K186="Sostenimiento menor",7,IF(K186="Sostenimiento mayor",8,0)))),--(INDEX('Tablas Técnicas'!$O$10:$X$639,,1)=F186),--(ISNUMBER(MATCH(INDEX('Tablas Técnicas'!$O$10:$X$639,,2),$AL186:$AR186,0)))),0)+AT186</f>
        <v>0 / 0</v>
      </c>
      <c r="P186" s="3032" t="str">
        <f>W186+Y186+AA186+AC186+AE186+AG186&amp;" / "&amp;IF(K186="Mantenido",SUMPRODUCT(INDEX('Tablas Técnicas'!$O$10:$X$639,,6),--(INDEX('Tablas Técnicas'!$O$10:$X$639,,1)=F186),--(ISNUMBER(MATCH(INDEX('Tablas Técnicas'!$O$10:$X$639,,2),$AL186:$AR186,0)))),0)</f>
        <v>0 / 0</v>
      </c>
      <c r="Q186" s="5095" t="str">
        <f>IFERROR(VLOOKUP(F186,'Tablas Técnicas'!$C$9:$H$81,5,FALSE),"")</f>
        <v/>
      </c>
      <c r="R186" s="5095"/>
      <c r="S186" s="5095"/>
      <c r="T186" s="5095"/>
      <c r="U186" s="5095"/>
      <c r="V186" s="2836"/>
      <c r="W186" s="2837"/>
      <c r="X186" s="2836"/>
      <c r="Y186" s="2838"/>
      <c r="Z186" s="2839"/>
      <c r="AA186" s="2837"/>
      <c r="AB186" s="2836"/>
      <c r="AC186" s="2838"/>
      <c r="AD186" s="2839"/>
      <c r="AE186" s="2837"/>
      <c r="AF186" s="2836"/>
      <c r="AG186" s="2840"/>
      <c r="AH186" s="2821"/>
      <c r="AI186" s="3030"/>
      <c r="AJ186" s="2816">
        <v>5</v>
      </c>
      <c r="AK186" s="2816">
        <f>P178</f>
        <v>1</v>
      </c>
      <c r="AL186" s="2816" t="str">
        <f>IF(INDEX($A$1:$AI$343,ROW($D$29)+($B186-1)*(ROW($D$63)-ROW($D$29))+Tablas!A$1-1,COLUMN($D$29)+($AJ186-1)*(COLUMN($J$29)-COLUMN($D$29)))="","",INDEX($A$1:$AI$343,ROW($D$29)+($B186-1)*(ROW($D$63)-ROW($D$29))+Tablas!A$1-1,COLUMN($D$29)+($AJ186-1)*(COLUMN($J$29)-COLUMN($D$29))))</f>
        <v/>
      </c>
      <c r="AM186" s="2816" t="str">
        <f>IF(INDEX($A$1:$AI$343,ROW($D$29)+($B186-1)*(ROW($D$63)-ROW($D$29))+Tablas!B$1-1,COLUMN($D$29)+($AJ186-1)*(COLUMN($J$29)-COLUMN($D$29)))="","",INDEX($A$1:$AI$343,ROW($D$29)+($B186-1)*(ROW($D$63)-ROW($D$29))+Tablas!B$1-1,COLUMN($D$29)+($AJ186-1)*(COLUMN($J$29)-COLUMN($D$29))))</f>
        <v/>
      </c>
      <c r="AN186" s="2816" t="str">
        <f>IF(INDEX($A$1:$AI$343,ROW($D$29)+($B186-1)*(ROW($D$63)-ROW($D$29))+Tablas!C$1-1,COLUMN($D$29)+($AJ186-1)*(COLUMN($J$29)-COLUMN($D$29)))="","",INDEX($A$1:$AI$343,ROW($D$29)+($B186-1)*(ROW($D$63)-ROW($D$29))+Tablas!C$1-1,COLUMN($D$29)+($AJ186-1)*(COLUMN($J$29)-COLUMN($D$29))))</f>
        <v/>
      </c>
      <c r="AO186" s="2816" t="str">
        <f>IF(INDEX($A$1:$AI$343,ROW($D$29)+($B186-1)*(ROW($D$63)-ROW($D$29))+Tablas!D$1-1,COLUMN($D$29)+($AJ186-1)*(COLUMN($J$29)-COLUMN($D$29)))="","",INDEX($A$1:$AI$343,ROW($D$29)+($B186-1)*(ROW($D$63)-ROW($D$29))+Tablas!D$1-1,COLUMN($D$29)+($AJ186-1)*(COLUMN($J$29)-COLUMN($D$29))))</f>
        <v/>
      </c>
      <c r="AP186" s="2816" t="str">
        <f>IF(INDEX($A$1:$AI$343,ROW($D$29)+($B186-1)*(ROW($D$63)-ROW($D$29))+Tablas!E$1-1,COLUMN($D$29)+($AJ186-1)*(COLUMN($J$29)-COLUMN($D$29)))="","",INDEX($A$1:$AI$343,ROW($D$29)+($B186-1)*(ROW($D$63)-ROW($D$29))+Tablas!E$1-1,COLUMN($D$29)+($AJ186-1)*(COLUMN($J$29)-COLUMN($D$29))))</f>
        <v/>
      </c>
      <c r="AQ186" s="2816" t="str">
        <f>IF(INDEX($A$1:$AI$343,ROW($D$29)+($B186-1)*(ROW($D$63)-ROW($D$29))+Tablas!F$1-1,COLUMN($D$29)+($AJ186-1)*(COLUMN($J$29)-COLUMN($D$29)))="","",INDEX($A$1:$AI$343,ROW($D$29)+($B186-1)*(ROW($D$63)-ROW($D$29))+Tablas!F$1-1,COLUMN($D$29)+($AJ186-1)*(COLUMN($J$29)-COLUMN($D$29))))</f>
        <v/>
      </c>
      <c r="AR186" s="2816" t="str">
        <f>IF(INDEX($A$1:$AI$343,ROW($D$29)+($B186-1)*(ROW($D$63)-ROW($D$29))+Tablas!G$1-1,COLUMN($D$29)+($AJ186-1)*(COLUMN($J$29)-COLUMN($D$29)))="","",INDEX($A$1:$AI$343,ROW($D$29)+($B186-1)*(ROW($D$63)-ROW($D$29))+Tablas!G$1-1,COLUMN($D$29)+($AJ186-1)*(COLUMN($J$29)-COLUMN($D$29))))</f>
        <v/>
      </c>
      <c r="AS186" s="2816"/>
      <c r="AT186" s="3035">
        <f>IF(AND(ISNUMBER(FIND(V$14&amp;"+",$Q186)),V186&gt;0),MID($Q186,FIND(V$14&amp;"+",$Q186)+4,1),0)+IF(AND(ISNUMBER(FIND(X$14&amp;"+",$Q186)),X186&gt;0),MID($Q186,FIND(X$14&amp;"+",$Q186)+4,1),0)+IF(AND(ISNUMBER(FIND(Z$14&amp;"+",$Q186)),Z186&gt;0),MID($Q186,FIND(Z$14&amp;"+",$Q186)+4,1),0)+IF(AND(ISNUMBER(FIND(AB$14&amp;"+",$Q186)),AB186&gt;0),MID($Q186,FIND(AB$14&amp;"+",$Q186)+4,1),0)+IF(AND(ISNUMBER(FIND(AD$14&amp;"+",$Q186)),AD186&gt;0),MID($Q186,FIND(AD$14&amp;"+",$Q186)+4,1),0)+IF(AND(ISNUMBER(FIND(AF$14&amp;"+",$Q186)),AF186&gt;0),MID($Q186,FIND(AF$14&amp;"+",$Q186)+4,1),0)</f>
        <v>0</v>
      </c>
      <c r="AV186" s="2816" t="str">
        <f>IFERROR(VLOOKUP(F186,'Tablas Técnicas'!$C$9:$H$81,6,FALSE),"")</f>
        <v/>
      </c>
      <c r="AW186" s="3035" t="b">
        <f>OR(AV186="",OR(ISNUMBER(SEARCH($O187,AV186)),ISNUMBER(SEARCH($Q187,AV186)),ISNUMBER(SEARCH($O188,AV186)),ISNUMBER(SEARCH($Q188,AV186)),ISNUMBER(SEARCH($O189,AV186)),ISNUMBER(SEARCH($Q189,AV186)),))</f>
        <v>1</v>
      </c>
      <c r="AX186" s="3035" t="b">
        <f>AND(P178&gt;1,OR(MAX(AG195:AG201)=1,MAX(AG195:AG201)=2))</f>
        <v>0</v>
      </c>
      <c r="AZ186" s="3035"/>
      <c r="BA186" s="2816" t="str">
        <f>IF(F186="","",F186&amp;" ("&amp;IF(AL186="","",AL186&amp;", ")&amp;IF(AM186="","",AM186&amp;", ")&amp;IF(AN186="","",AN186&amp;", ")&amp;IF(AO186="","",AO186&amp;", ")&amp;IF(AP186="","",AP186&amp;", ")&amp;IF(AQ186="","",AQ186&amp;", ")&amp;IF(AR186="","",AR186&amp;", "))</f>
        <v/>
      </c>
      <c r="BB186" s="3035" t="str">
        <f t="shared" ref="BB186" si="22">IFERROR(LEFT(BA186,LEN(BA186)-2)&amp;"), ","")</f>
        <v/>
      </c>
      <c r="BC186" s="3023" t="str">
        <f t="shared" ref="BC186" si="23">IFERROR(LEFT(BB186,LEN(BB186)-2)&amp;"), ","")</f>
        <v/>
      </c>
    </row>
    <row r="187" spans="1:55" x14ac:dyDescent="0.2">
      <c r="A187" s="3030"/>
      <c r="B187" s="3070">
        <f t="shared" si="19"/>
        <v>6</v>
      </c>
      <c r="C187" s="5106"/>
      <c r="D187" s="5096" t="s">
        <v>3218</v>
      </c>
      <c r="E187" s="5097"/>
      <c r="F187" s="5102"/>
      <c r="G187" s="5103"/>
      <c r="H187" s="5103"/>
      <c r="I187" s="5103"/>
      <c r="J187" s="5104"/>
      <c r="K187" s="5128"/>
      <c r="L187" s="5176"/>
      <c r="M187" s="5177"/>
      <c r="N187" s="2841" t="str">
        <f>IF(F187="","",SUMPRODUCT(--(INDEX('Tablas Técnicas'!$C$114:$F$200,,1)=F187),--(INDEX('Tablas Técnicas'!$C$114:$F$200,,2)=K187),INDEX('Tablas Técnicas'!$C$114:$F$200,,3)))</f>
        <v/>
      </c>
      <c r="O187" s="5178"/>
      <c r="P187" s="5179"/>
      <c r="Q187" s="5180"/>
      <c r="R187" s="5179"/>
      <c r="S187" s="3036" t="str">
        <f>IF(K187="","","Nivel: "&amp;MAX(1,SUMPRODUCT(--(INDEX('Tablas Técnicas'!$C$114:$F$200,,1)=F187),--(INDEX('Tablas Técnicas'!$C$114:$F$200,,2)=K187),INDEX('Tablas Técnicas'!$C$114:$F$200,,4))))</f>
        <v/>
      </c>
      <c r="T187" s="2842"/>
      <c r="U187" s="2843" t="str">
        <f>IFERROR("("&amp;VLOOKUP(F187,'Tablas Técnicas'!$C$86:$E$108,3,FALSE)&amp;")","")</f>
        <v/>
      </c>
      <c r="V187" s="5195" t="s">
        <v>10245</v>
      </c>
      <c r="W187" s="5196"/>
      <c r="X187" s="5196"/>
      <c r="Y187" s="5196"/>
      <c r="Z187" s="5196"/>
      <c r="AA187" s="5196"/>
      <c r="AB187" s="5196"/>
      <c r="AC187" s="5196"/>
      <c r="AD187" s="5196"/>
      <c r="AE187" s="5196"/>
      <c r="AF187" s="5196"/>
      <c r="AG187" s="5197"/>
      <c r="AH187" s="2821"/>
      <c r="AI187" s="3030"/>
      <c r="AJ187" s="2816">
        <v>1</v>
      </c>
      <c r="AK187" s="2816">
        <f>P178</f>
        <v>1</v>
      </c>
      <c r="AL187" s="2816" t="e">
        <f>VLOOKUP(F187,'Tablas Técnicas'!$C$86:$E$108,2,FALSE)</f>
        <v>#N/A</v>
      </c>
      <c r="AN187" s="2817"/>
      <c r="AR187" s="2816"/>
      <c r="AS187" s="2816"/>
      <c r="AT187" s="2816"/>
      <c r="AU187" s="2816"/>
      <c r="AV187" s="3035"/>
      <c r="AW187" s="3035" t="b">
        <f>F187="Atadura Elemental"</f>
        <v>0</v>
      </c>
      <c r="AX187" s="3035"/>
      <c r="AZ187" s="3035"/>
      <c r="BA187" s="3035"/>
      <c r="BB187" s="2816" t="str">
        <f>IF(F187="","",F187&amp;IF(K187="",""," ("&amp;IF(F187="Atadura Elemental",O187&amp;IF(Q187="","",", "&amp;Q187),K187)&amp;")")&amp;", ")</f>
        <v/>
      </c>
      <c r="BC187" s="2816" t="str">
        <f>IF(F187="","",F187&amp;IF(K187="",""," ("&amp;IF(F187="Atadura Elemental",O187&amp;IF(Q187="","",", "&amp;Q187),K187)&amp;")")&amp;", ")</f>
        <v/>
      </c>
    </row>
    <row r="188" spans="1:55" ht="11.25" customHeight="1" x14ac:dyDescent="0.2">
      <c r="A188" s="3030"/>
      <c r="B188" s="3070">
        <f t="shared" si="19"/>
        <v>6</v>
      </c>
      <c r="C188" s="5106"/>
      <c r="D188" s="5098"/>
      <c r="E188" s="5099"/>
      <c r="F188" s="5171"/>
      <c r="G188" s="5172"/>
      <c r="H188" s="5172"/>
      <c r="I188" s="5172"/>
      <c r="J188" s="5173"/>
      <c r="K188" s="5114"/>
      <c r="L188" s="5156"/>
      <c r="M188" s="5157"/>
      <c r="N188" s="2844" t="str">
        <f>IF(F188="","",SUMPRODUCT(--(INDEX('Tablas Técnicas'!$C$114:$F$200,,1)=F188),--(INDEX('Tablas Técnicas'!$C$114:$F$200,,2)=K188),INDEX('Tablas Técnicas'!$C$114:$F$200,,3)))</f>
        <v/>
      </c>
      <c r="O188" s="5158"/>
      <c r="P188" s="5159"/>
      <c r="Q188" s="5160"/>
      <c r="R188" s="5159"/>
      <c r="S188" s="3039" t="str">
        <f>IF(K188="","","Nivel: "&amp;MAX(1,SUMPRODUCT(--(INDEX('Tablas Técnicas'!$C$114:$F$200,,1)=F188),--(INDEX('Tablas Técnicas'!$C$114:$F$200,,2)=K188),INDEX('Tablas Técnicas'!$C$114:$F$200,,4))))</f>
        <v/>
      </c>
      <c r="T188" s="3015"/>
      <c r="U188" s="3016" t="str">
        <f>IFERROR("("&amp;VLOOKUP(F188,'Tablas Técnicas'!$C$86:$E$108,3,FALSE)&amp;")","")</f>
        <v/>
      </c>
      <c r="V188" s="5198" t="s">
        <v>9659</v>
      </c>
      <c r="W188" s="5199"/>
      <c r="X188" s="5200"/>
      <c r="Y188" s="3025">
        <v>0</v>
      </c>
      <c r="Z188" s="5201" t="s">
        <v>9660</v>
      </c>
      <c r="AA188" s="5202"/>
      <c r="AB188" s="5203"/>
      <c r="AC188" s="3025">
        <v>0</v>
      </c>
      <c r="AD188" s="5204" t="str">
        <f>"Ki repartido / total: "&amp;AL199&amp;IF(AM198=0,""," ("&amp;AM198&amp;")")&amp;" / "&amp;AL198&amp;IF(AM199=0,""," ("&amp;AM199&amp;")")</f>
        <v>Ki repartido / total: 0 / 0</v>
      </c>
      <c r="AE188" s="5205"/>
      <c r="AF188" s="5205"/>
      <c r="AG188" s="5206"/>
      <c r="AH188" s="2821"/>
      <c r="AI188" s="3030"/>
      <c r="AJ188" s="2816">
        <v>2</v>
      </c>
      <c r="AK188" s="2816">
        <f>P178</f>
        <v>1</v>
      </c>
      <c r="AL188" s="2816" t="e">
        <f>VLOOKUP(F188,'Tablas Técnicas'!$C$86:$E$108,2,FALSE)</f>
        <v>#N/A</v>
      </c>
      <c r="AN188" s="2817"/>
      <c r="AR188" s="2816"/>
      <c r="AS188" s="2816"/>
      <c r="AT188" s="2816"/>
      <c r="AU188" s="2816"/>
      <c r="AV188" s="3035"/>
      <c r="AW188" s="3035" t="b">
        <f>F188="Atadura Elemental"</f>
        <v>0</v>
      </c>
      <c r="AX188" s="3035"/>
      <c r="AZ188" s="3035"/>
      <c r="BA188" s="3035"/>
      <c r="BB188" s="2816" t="str">
        <f>IF(F188="","",F188&amp;IF(K188="",""," ("&amp;IF(F188="Atadura Elemental",O188&amp;IF(Q188="","",", "&amp;Q188),K188)&amp;")")&amp;", ")</f>
        <v/>
      </c>
      <c r="BC188" s="2816" t="str">
        <f>IF(F188="","",F188&amp;IF(K188="",""," ("&amp;IF(F188="Atadura Elemental",O188&amp;IF(Q188="","",", "&amp;Q188),K188)&amp;")")&amp;", ")</f>
        <v/>
      </c>
    </row>
    <row r="189" spans="1:55" x14ac:dyDescent="0.2">
      <c r="A189" s="3030"/>
      <c r="B189" s="3070">
        <f t="shared" si="19"/>
        <v>6</v>
      </c>
      <c r="C189" s="5106"/>
      <c r="D189" s="5100"/>
      <c r="E189" s="5101"/>
      <c r="F189" s="5168"/>
      <c r="G189" s="5169"/>
      <c r="H189" s="5169"/>
      <c r="I189" s="5169"/>
      <c r="J189" s="5170"/>
      <c r="K189" s="5148"/>
      <c r="L189" s="5149"/>
      <c r="M189" s="5150"/>
      <c r="N189" s="2845" t="str">
        <f>IF(F189="","",SUMPRODUCT(--(INDEX('Tablas Técnicas'!$C$114:$F$200,,1)=F189),--(INDEX('Tablas Técnicas'!$C$114:$F$200,,2)=K189),INDEX('Tablas Técnicas'!$C$114:$F$200,,3)))</f>
        <v/>
      </c>
      <c r="O189" s="5151"/>
      <c r="P189" s="5152"/>
      <c r="Q189" s="5153"/>
      <c r="R189" s="5152"/>
      <c r="S189" s="3032" t="str">
        <f>IF(K189="","","Nivel: "&amp;MAX(1,SUMPRODUCT(--(INDEX('Tablas Técnicas'!$C$114:$F$200,,1)=F189),--(INDEX('Tablas Técnicas'!$C$114:$F$200,,2)=K189),INDEX('Tablas Técnicas'!$C$114:$F$200,,4))))</f>
        <v/>
      </c>
      <c r="T189" s="2846"/>
      <c r="U189" s="3017" t="str">
        <f>IFERROR("("&amp;VLOOKUP(F189,'Tablas Técnicas'!$C$86:$E$108,3,FALSE)&amp;")","")</f>
        <v/>
      </c>
      <c r="V189" s="5154"/>
      <c r="W189" s="5154"/>
      <c r="X189" s="5154"/>
      <c r="Y189" s="5154"/>
      <c r="Z189" s="5154"/>
      <c r="AA189" s="5154"/>
      <c r="AB189" s="5154"/>
      <c r="AC189" s="5154"/>
      <c r="AD189" s="5154"/>
      <c r="AE189" s="5154"/>
      <c r="AF189" s="5154"/>
      <c r="AG189" s="5155"/>
      <c r="AH189" s="2821"/>
      <c r="AI189" s="3030"/>
      <c r="AJ189" s="2816">
        <v>3</v>
      </c>
      <c r="AK189" s="2816">
        <f>P178</f>
        <v>1</v>
      </c>
      <c r="AL189" s="2816" t="e">
        <f>VLOOKUP(F189,'Tablas Técnicas'!$C$86:$E$108,2,FALSE)</f>
        <v>#N/A</v>
      </c>
      <c r="AN189" s="2817"/>
      <c r="AR189" s="3035"/>
      <c r="AT189" s="3035"/>
      <c r="AV189" s="3035"/>
      <c r="AW189" s="3035" t="b">
        <f>F189="Atadura Elemental"</f>
        <v>0</v>
      </c>
      <c r="AX189" s="3035"/>
      <c r="AZ189" s="3035"/>
      <c r="BA189" s="3035"/>
      <c r="BB189" s="2816" t="str">
        <f>IF(F189="","",F189&amp;IF(K189="",""," ("&amp;IF(F189="Atadura Elemental",O189&amp;IF(Q189="","",", "&amp;Q189),K189)&amp;")")&amp;", ")</f>
        <v/>
      </c>
      <c r="BC189" s="2816" t="str">
        <f>IF(F189="","",F189&amp;IF(K189="",""," ("&amp;IF(F189="Atadura Elemental",O189&amp;IF(Q189="","",", "&amp;Q189),K189)&amp;")")&amp;", ")</f>
        <v/>
      </c>
    </row>
    <row r="190" spans="1:55" x14ac:dyDescent="0.2">
      <c r="A190" s="3030"/>
      <c r="B190" s="3070">
        <f t="shared" si="19"/>
        <v>6</v>
      </c>
      <c r="C190" s="5106"/>
      <c r="D190" s="5069" t="s">
        <v>10241</v>
      </c>
      <c r="E190" s="5070"/>
      <c r="F190" s="5070"/>
      <c r="G190" s="5070"/>
      <c r="H190" s="5070"/>
      <c r="I190" s="5070"/>
      <c r="J190" s="5070"/>
      <c r="K190" s="5070"/>
      <c r="L190" s="5070"/>
      <c r="M190" s="5070"/>
      <c r="N190" s="5070"/>
      <c r="O190" s="5070"/>
      <c r="P190" s="5070"/>
      <c r="Q190" s="5070"/>
      <c r="R190" s="5070"/>
      <c r="S190" s="5070"/>
      <c r="T190" s="5070"/>
      <c r="U190" s="5070"/>
      <c r="V190" s="5070"/>
      <c r="W190" s="5070"/>
      <c r="X190" s="5070"/>
      <c r="Y190" s="5070"/>
      <c r="Z190" s="5070"/>
      <c r="AA190" s="5070"/>
      <c r="AB190" s="5070"/>
      <c r="AC190" s="5070"/>
      <c r="AD190" s="5070"/>
      <c r="AE190" s="5070"/>
      <c r="AF190" s="5070"/>
      <c r="AG190" s="5071"/>
      <c r="AH190" s="2821"/>
      <c r="AI190" s="3030"/>
      <c r="AN190" s="2817" t="s">
        <v>9661</v>
      </c>
      <c r="AO190" s="2816" t="e">
        <f>LEFT(BB182&amp;BB183&amp;BB184&amp;BB185&amp;BB186,LEN(BB182&amp;BB183&amp;BB184&amp;BB185&amp;BB186)-2)</f>
        <v>#VALUE!</v>
      </c>
      <c r="AR190" s="3035"/>
      <c r="AT190" s="2817"/>
      <c r="AU190" s="2817"/>
      <c r="AV190" s="3035"/>
      <c r="AW190" s="3035"/>
      <c r="AX190" s="3035"/>
      <c r="AZ190" s="3035"/>
      <c r="BA190" s="3035"/>
      <c r="BB190" s="3035"/>
      <c r="BC190" s="3023"/>
    </row>
    <row r="191" spans="1:55" x14ac:dyDescent="0.2">
      <c r="A191" s="3030"/>
      <c r="B191" s="3070">
        <f t="shared" si="19"/>
        <v>6</v>
      </c>
      <c r="C191" s="5106"/>
      <c r="D191" s="5066" t="str">
        <f>IF(F182="","",F182)</f>
        <v/>
      </c>
      <c r="E191" s="5067"/>
      <c r="F191" s="5067"/>
      <c r="G191" s="5067"/>
      <c r="H191" s="5067"/>
      <c r="I191" s="5068"/>
      <c r="J191" s="5066" t="str">
        <f>IF(F183="","",F183)</f>
        <v/>
      </c>
      <c r="K191" s="5067"/>
      <c r="L191" s="5067"/>
      <c r="M191" s="5067"/>
      <c r="N191" s="5067"/>
      <c r="O191" s="5068"/>
      <c r="P191" s="5067" t="str">
        <f>IF(F184="","",F184)</f>
        <v/>
      </c>
      <c r="Q191" s="5067"/>
      <c r="R191" s="5067"/>
      <c r="S191" s="5067"/>
      <c r="T191" s="5067"/>
      <c r="U191" s="5068"/>
      <c r="V191" s="5066" t="str">
        <f>IF(F185="","",F185)</f>
        <v/>
      </c>
      <c r="W191" s="5067"/>
      <c r="X191" s="5067"/>
      <c r="Y191" s="5067"/>
      <c r="Z191" s="5067"/>
      <c r="AA191" s="5068"/>
      <c r="AB191" s="5067" t="str">
        <f>IF(F186="","",F186)</f>
        <v/>
      </c>
      <c r="AC191" s="5067"/>
      <c r="AD191" s="5067"/>
      <c r="AE191" s="5067"/>
      <c r="AF191" s="5067"/>
      <c r="AG191" s="5083"/>
      <c r="AH191" s="2821"/>
      <c r="AI191" s="3030"/>
      <c r="AN191" s="2817" t="s">
        <v>9662</v>
      </c>
      <c r="AO191" s="2816" t="e">
        <f>LEFT(BB187&amp;BB188&amp;BB189,LEN(BB187&amp;BB188&amp;BB189)-2)</f>
        <v>#VALUE!</v>
      </c>
      <c r="AR191" s="3035"/>
      <c r="AT191" s="2817"/>
      <c r="AU191" s="2817"/>
      <c r="AV191" s="3035"/>
      <c r="AW191" s="3035"/>
      <c r="AX191" s="3035"/>
      <c r="AZ191" s="3035"/>
      <c r="BA191" s="3035"/>
      <c r="BB191" s="3035"/>
      <c r="BC191" s="3023"/>
    </row>
    <row r="192" spans="1:55" x14ac:dyDescent="0.2">
      <c r="A192" s="3030"/>
      <c r="B192" s="3070">
        <f t="shared" si="19"/>
        <v>6</v>
      </c>
      <c r="C192" s="5106"/>
      <c r="D192" s="3046" t="s">
        <v>2121</v>
      </c>
      <c r="E192" s="3040" t="str">
        <f>IFERROR(VLOOKUP(D191,'Tablas Técnicas'!$C$9:$H$81,3,FALSE),"")</f>
        <v/>
      </c>
      <c r="F192" s="3019"/>
      <c r="G192" s="3018"/>
      <c r="H192" s="3018" t="s">
        <v>1636</v>
      </c>
      <c r="I192" s="3040" t="str">
        <f>IFERROR(VLOOKUP(D191,'Tablas Técnicas'!$C$9:$H$81,4,FALSE),"")</f>
        <v/>
      </c>
      <c r="J192" s="3046" t="s">
        <v>2121</v>
      </c>
      <c r="K192" s="3040" t="str">
        <f>IFERROR(VLOOKUP(J191,'Tablas Técnicas'!$C$9:$H$81,3,FALSE),"")</f>
        <v/>
      </c>
      <c r="L192" s="3019"/>
      <c r="M192" s="3018"/>
      <c r="N192" s="3018" t="s">
        <v>1636</v>
      </c>
      <c r="O192" s="2847" t="str">
        <f>IFERROR(VLOOKUP(J191,'Tablas Técnicas'!$C$9:$H$81,4,FALSE),"")</f>
        <v/>
      </c>
      <c r="P192" s="3018" t="s">
        <v>2121</v>
      </c>
      <c r="Q192" s="3040" t="str">
        <f>IFERROR(VLOOKUP(P191,'Tablas Técnicas'!$C$9:$H$81,3,FALSE),"")</f>
        <v/>
      </c>
      <c r="R192" s="3019"/>
      <c r="S192" s="3018"/>
      <c r="T192" s="3018" t="s">
        <v>1636</v>
      </c>
      <c r="U192" s="3040" t="str">
        <f>IFERROR(VLOOKUP(P191,'Tablas Técnicas'!$C$9:$H$81,4,FALSE),"")</f>
        <v/>
      </c>
      <c r="V192" s="3046" t="s">
        <v>2121</v>
      </c>
      <c r="W192" s="3040" t="str">
        <f>IFERROR(VLOOKUP(V191,'Tablas Técnicas'!$C$9:$H$81,3,FALSE),"")</f>
        <v/>
      </c>
      <c r="X192" s="3019"/>
      <c r="Y192" s="3018"/>
      <c r="Z192" s="3018" t="s">
        <v>1636</v>
      </c>
      <c r="AA192" s="2847" t="str">
        <f>IFERROR(VLOOKUP(V191,'Tablas Técnicas'!$C$9:$H$81,4,FALSE),"")</f>
        <v/>
      </c>
      <c r="AB192" s="3018" t="s">
        <v>2121</v>
      </c>
      <c r="AC192" s="3040" t="str">
        <f>IFERROR(VLOOKUP(AB191,'Tablas Técnicas'!$C$9:$H$81,3,FALSE),"")</f>
        <v/>
      </c>
      <c r="AD192" s="3019"/>
      <c r="AE192" s="3018"/>
      <c r="AF192" s="3018" t="s">
        <v>1636</v>
      </c>
      <c r="AG192" s="2848" t="str">
        <f>IFERROR(VLOOKUP(AB191,'Tablas Técnicas'!$C$9:$H$81,4,FALSE),"")</f>
        <v/>
      </c>
      <c r="AH192" s="2821"/>
      <c r="AI192" s="3030"/>
      <c r="AN192" s="2817"/>
      <c r="AR192" s="3035"/>
      <c r="AT192" s="3035"/>
      <c r="AV192" s="3035"/>
      <c r="AW192" s="3035"/>
      <c r="AX192" s="3035"/>
      <c r="AZ192" s="3035"/>
      <c r="BA192" s="3035"/>
      <c r="BB192" s="3035"/>
      <c r="BC192" s="3023"/>
    </row>
    <row r="193" spans="1:55" x14ac:dyDescent="0.2">
      <c r="A193" s="3030"/>
      <c r="B193" s="3070">
        <f t="shared" si="19"/>
        <v>6</v>
      </c>
      <c r="C193" s="5106"/>
      <c r="D193" s="3047" t="s">
        <v>9663</v>
      </c>
      <c r="E193" s="3018"/>
      <c r="F193" s="3019"/>
      <c r="G193" s="3020"/>
      <c r="H193" s="3020"/>
      <c r="I193" s="3017" t="str">
        <f>AV182</f>
        <v/>
      </c>
      <c r="J193" s="2849" t="s">
        <v>9663</v>
      </c>
      <c r="K193" s="2850"/>
      <c r="L193" s="2851"/>
      <c r="M193" s="2852"/>
      <c r="N193" s="2852"/>
      <c r="O193" s="2853" t="str">
        <f>IFERROR(VLOOKUP(J191,'Tablas Técnicas'!$C$9:$H$81,6,FALSE),"")</f>
        <v/>
      </c>
      <c r="P193" s="2854" t="s">
        <v>9663</v>
      </c>
      <c r="Q193" s="2850"/>
      <c r="R193" s="2851"/>
      <c r="S193" s="2852"/>
      <c r="T193" s="2852"/>
      <c r="U193" s="2855" t="str">
        <f>IFERROR(VLOOKUP(P191,'Tablas Técnicas'!$C$9:$H$81,6,FALSE),"")</f>
        <v/>
      </c>
      <c r="V193" s="2849" t="s">
        <v>9663</v>
      </c>
      <c r="W193" s="2850"/>
      <c r="X193" s="2851"/>
      <c r="Y193" s="2852"/>
      <c r="Z193" s="2852"/>
      <c r="AA193" s="2853" t="str">
        <f>IFERROR(VLOOKUP(V191,'Tablas Técnicas'!$C$9:$H$81,6,FALSE),"")</f>
        <v/>
      </c>
      <c r="AB193" s="2854" t="s">
        <v>9663</v>
      </c>
      <c r="AC193" s="2850"/>
      <c r="AD193" s="2851"/>
      <c r="AE193" s="2852"/>
      <c r="AF193" s="2852"/>
      <c r="AG193" s="2856" t="str">
        <f>IFERROR(VLOOKUP(AB191,'Tablas Técnicas'!$C$9:$H$81,6,FALSE),"")</f>
        <v/>
      </c>
      <c r="AH193" s="2821"/>
      <c r="AI193" s="3030"/>
      <c r="AJ193" s="2816" t="s">
        <v>9664</v>
      </c>
      <c r="AR193" s="3035"/>
      <c r="AT193" s="3035"/>
      <c r="AV193" s="3035"/>
      <c r="AW193" s="3035"/>
      <c r="AX193" s="3035"/>
      <c r="AZ193" s="3035"/>
      <c r="BA193" s="3035"/>
      <c r="BB193" s="2816"/>
      <c r="BC193" s="2816"/>
    </row>
    <row r="194" spans="1:55" x14ac:dyDescent="0.2">
      <c r="A194" s="3030"/>
      <c r="B194" s="3070">
        <f t="shared" si="19"/>
        <v>6</v>
      </c>
      <c r="C194" s="5106"/>
      <c r="D194" s="5066" t="s">
        <v>3226</v>
      </c>
      <c r="E194" s="5067"/>
      <c r="F194" s="5067"/>
      <c r="G194" s="5067"/>
      <c r="H194" s="5068"/>
      <c r="I194" s="2857" t="s">
        <v>1676</v>
      </c>
      <c r="J194" s="5066" t="s">
        <v>3226</v>
      </c>
      <c r="K194" s="5067"/>
      <c r="L194" s="5067"/>
      <c r="M194" s="5067"/>
      <c r="N194" s="5068"/>
      <c r="O194" s="2858" t="s">
        <v>1676</v>
      </c>
      <c r="P194" s="5066" t="s">
        <v>3226</v>
      </c>
      <c r="Q194" s="5067"/>
      <c r="R194" s="5067"/>
      <c r="S194" s="5067"/>
      <c r="T194" s="5068"/>
      <c r="U194" s="2858" t="s">
        <v>1676</v>
      </c>
      <c r="V194" s="5066" t="s">
        <v>3226</v>
      </c>
      <c r="W194" s="5067"/>
      <c r="X194" s="5067"/>
      <c r="Y194" s="5067"/>
      <c r="Z194" s="5068"/>
      <c r="AA194" s="2858" t="s">
        <v>1676</v>
      </c>
      <c r="AB194" s="5066" t="s">
        <v>3226</v>
      </c>
      <c r="AC194" s="5067"/>
      <c r="AD194" s="5067"/>
      <c r="AE194" s="5067"/>
      <c r="AF194" s="5068"/>
      <c r="AG194" s="2859" t="s">
        <v>1676</v>
      </c>
      <c r="AH194" s="2821"/>
      <c r="AI194" s="3030"/>
      <c r="AJ194" s="2816" t="s">
        <v>9665</v>
      </c>
      <c r="AQ194" s="2816"/>
      <c r="AR194" s="2816"/>
      <c r="AS194" s="2816"/>
      <c r="AT194" s="2816"/>
      <c r="AU194" s="2816"/>
      <c r="AV194" s="2816"/>
      <c r="AW194" s="2816"/>
      <c r="AX194" s="2816"/>
      <c r="AY194" s="2816"/>
      <c r="AZ194" s="3035"/>
      <c r="BA194" s="3035"/>
      <c r="BB194" s="3035"/>
      <c r="BC194" s="3023"/>
    </row>
    <row r="195" spans="1:55" x14ac:dyDescent="0.2">
      <c r="A195" s="3030"/>
      <c r="B195" s="3070">
        <f t="shared" si="19"/>
        <v>6</v>
      </c>
      <c r="C195" s="5106"/>
      <c r="D195" s="5081"/>
      <c r="E195" s="5082"/>
      <c r="F195" s="5082"/>
      <c r="G195" s="5082"/>
      <c r="H195" s="5082"/>
      <c r="I195" s="2860" t="str">
        <f>IF(OR(D191="",D195=""),"",MAX(1,SUMPRODUCT(--(INDEX('Tablas Técnicas'!$O$10:$X$639,,1)=D191),--(INDEX('Tablas Técnicas'!$O$10:$X$639,,2)=D195),INDEX('Tablas Técnicas'!$O$10:$X$639,,9))))</f>
        <v/>
      </c>
      <c r="J195" s="5082"/>
      <c r="K195" s="5082"/>
      <c r="L195" s="5082"/>
      <c r="M195" s="5082"/>
      <c r="N195" s="5082"/>
      <c r="O195" s="2860" t="str">
        <f>IF(OR(J191="",J195=""),"",MAX(1,SUMPRODUCT(--(INDEX('Tablas Técnicas'!$O$10:$X$639,,1)=J191),--(INDEX('Tablas Técnicas'!$O$10:$X$639,,2)=J195),INDEX('Tablas Técnicas'!$O$10:$X$639,,9))))</f>
        <v/>
      </c>
      <c r="P195" s="5081"/>
      <c r="Q195" s="5082"/>
      <c r="R195" s="5082"/>
      <c r="S195" s="5082"/>
      <c r="T195" s="5082"/>
      <c r="U195" s="2860" t="str">
        <f>IF(OR(P191="",P195=""),"",MAX(1,SUMPRODUCT(--(INDEX('Tablas Técnicas'!$O$10:$X$639,,1)=P191),--(INDEX('Tablas Técnicas'!$O$10:$X$639,,2)=P195),INDEX('Tablas Técnicas'!$O$10:$X$639,,9))))</f>
        <v/>
      </c>
      <c r="V195" s="5081"/>
      <c r="W195" s="5082"/>
      <c r="X195" s="5082"/>
      <c r="Y195" s="5082"/>
      <c r="Z195" s="5082"/>
      <c r="AA195" s="2860" t="str">
        <f>IF(OR(V191="",V195=""),"",MAX(1,SUMPRODUCT(--(INDEX('Tablas Técnicas'!$O$10:$X$639,,1)=V191),--(INDEX('Tablas Técnicas'!$O$10:$X$639,,2)=V195),INDEX('Tablas Técnicas'!$O$10:$X$639,,9))))</f>
        <v/>
      </c>
      <c r="AB195" s="5081"/>
      <c r="AC195" s="5082"/>
      <c r="AD195" s="5082"/>
      <c r="AE195" s="5082"/>
      <c r="AF195" s="5082"/>
      <c r="AG195" s="2861" t="str">
        <f>IF(OR(AB191="",AB195=""),"",MAX(1,SUMPRODUCT(--(INDEX('Tablas Técnicas'!$O$10:$X$639,,1)=AB191),--(INDEX('Tablas Técnicas'!$O$10:$X$639,,2)=AB195),INDEX('Tablas Técnicas'!$O$10:$X$639,,9))))</f>
        <v/>
      </c>
      <c r="AH195" s="2821">
        <f>P178</f>
        <v>1</v>
      </c>
      <c r="AI195" s="3030"/>
      <c r="AJ195" s="2816" t="s">
        <v>9667</v>
      </c>
      <c r="AK195" s="3035"/>
      <c r="AL195" s="3035"/>
      <c r="AM195" s="3035"/>
      <c r="AN195" s="3035"/>
      <c r="AO195" s="3035"/>
      <c r="AP195" s="2824"/>
      <c r="AQ195" s="2824"/>
      <c r="AR195" s="2824"/>
      <c r="AS195" s="2824"/>
      <c r="AT195" s="2824"/>
      <c r="AU195" s="2824"/>
      <c r="AV195" s="2824"/>
      <c r="AW195" s="2824"/>
      <c r="AX195" s="2824"/>
      <c r="AY195" s="2824"/>
      <c r="AZ195" s="3035"/>
      <c r="BA195" s="3035"/>
      <c r="BB195" s="3035"/>
      <c r="BC195" s="3023"/>
    </row>
    <row r="196" spans="1:55" x14ac:dyDescent="0.2">
      <c r="A196" s="3030"/>
      <c r="B196" s="3070">
        <f t="shared" si="19"/>
        <v>6</v>
      </c>
      <c r="C196" s="5106"/>
      <c r="D196" s="5064"/>
      <c r="E196" s="5065"/>
      <c r="F196" s="5065"/>
      <c r="G196" s="5065"/>
      <c r="H196" s="5065"/>
      <c r="I196" s="2862" t="str">
        <f>IF(OR(D191="",D196=""),"",MAX(1,SUMPRODUCT(--(INDEX('Tablas Técnicas'!$O$10:$X$639,,1)=D191),--(INDEX('Tablas Técnicas'!$O$10:$X$639,,2)=D196),INDEX('Tablas Técnicas'!$O$10:$X$639,,9))))</f>
        <v/>
      </c>
      <c r="J196" s="5065"/>
      <c r="K196" s="5065"/>
      <c r="L196" s="5065"/>
      <c r="M196" s="5065"/>
      <c r="N196" s="5065"/>
      <c r="O196" s="2862" t="str">
        <f>IF(OR(J191="",J196=""),"",MAX(1,SUMPRODUCT(--(INDEX('Tablas Técnicas'!$O$10:$X$639,,1)=J191),--(INDEX('Tablas Técnicas'!$O$10:$X$639,,2)=J196),INDEX('Tablas Técnicas'!$O$10:$X$639,,9))))</f>
        <v/>
      </c>
      <c r="P196" s="5064"/>
      <c r="Q196" s="5065"/>
      <c r="R196" s="5065"/>
      <c r="S196" s="5065"/>
      <c r="T196" s="5065"/>
      <c r="U196" s="2862" t="str">
        <f>IF(OR(P191="",P196=""),"",MAX(1,SUMPRODUCT(--(INDEX('Tablas Técnicas'!$O$10:$X$639,,1)=P191),--(INDEX('Tablas Técnicas'!$O$10:$X$639,,2)=P196),INDEX('Tablas Técnicas'!$O$10:$X$639,,9))))</f>
        <v/>
      </c>
      <c r="V196" s="5064"/>
      <c r="W196" s="5065"/>
      <c r="X196" s="5065"/>
      <c r="Y196" s="5065"/>
      <c r="Z196" s="5065"/>
      <c r="AA196" s="2862" t="str">
        <f>IF(OR(V191="",V196=""),"",MAX(1,SUMPRODUCT(--(INDEX('Tablas Técnicas'!$O$10:$X$639,,1)=V191),--(INDEX('Tablas Técnicas'!$O$10:$X$639,,2)=V196),INDEX('Tablas Técnicas'!$O$10:$X$639,,9))))</f>
        <v/>
      </c>
      <c r="AB196" s="5064"/>
      <c r="AC196" s="5065"/>
      <c r="AD196" s="5065"/>
      <c r="AE196" s="5065"/>
      <c r="AF196" s="5065"/>
      <c r="AG196" s="2863" t="str">
        <f>IF(OR(AB191="",AB196=""),"",MAX(1,SUMPRODUCT(--(INDEX('Tablas Técnicas'!$O$10:$X$639,,1)=AB191),--(INDEX('Tablas Técnicas'!$O$10:$X$639,,2)=AB196),INDEX('Tablas Técnicas'!$O$10:$X$639,,9))))</f>
        <v/>
      </c>
      <c r="AH196" s="2821">
        <f>P178</f>
        <v>1</v>
      </c>
      <c r="AI196" s="3030"/>
      <c r="AJ196" s="3035" t="s">
        <v>1646</v>
      </c>
      <c r="AK196" s="3035" t="s">
        <v>1772</v>
      </c>
      <c r="AL196" s="3035" t="s">
        <v>1651</v>
      </c>
      <c r="AM196" s="3035" t="s">
        <v>1656</v>
      </c>
      <c r="AN196" s="3035" t="s">
        <v>1664</v>
      </c>
      <c r="AO196" s="3035" t="s">
        <v>1665</v>
      </c>
      <c r="AQ196" s="2816"/>
      <c r="AR196" s="2816"/>
      <c r="AS196" s="2816"/>
      <c r="AT196" s="2816"/>
      <c r="AU196" s="2816"/>
      <c r="AV196" s="3035"/>
      <c r="AW196" s="2816"/>
      <c r="AX196" s="2816"/>
      <c r="AY196" s="2816"/>
      <c r="AZ196" s="2816"/>
      <c r="BA196" s="2816"/>
      <c r="BB196" s="2816"/>
      <c r="BC196" s="2816"/>
    </row>
    <row r="197" spans="1:55" x14ac:dyDescent="0.2">
      <c r="A197" s="3030"/>
      <c r="B197" s="3070">
        <f t="shared" si="19"/>
        <v>6</v>
      </c>
      <c r="C197" s="5106"/>
      <c r="D197" s="5064"/>
      <c r="E197" s="5065"/>
      <c r="F197" s="5065"/>
      <c r="G197" s="5065"/>
      <c r="H197" s="5065"/>
      <c r="I197" s="2862" t="str">
        <f>IF(OR(D191="",D197=""),"",MAX(1,SUMPRODUCT(--(INDEX('Tablas Técnicas'!$O$10:$X$639,,1)=D191),--(INDEX('Tablas Técnicas'!$O$10:$X$639,,2)=D197),INDEX('Tablas Técnicas'!$O$10:$X$639,,9))))</f>
        <v/>
      </c>
      <c r="J197" s="5065"/>
      <c r="K197" s="5065"/>
      <c r="L197" s="5065"/>
      <c r="M197" s="5065"/>
      <c r="N197" s="5065"/>
      <c r="O197" s="2862" t="str">
        <f>IF(OR(J191="",J197=""),"",MAX(1,SUMPRODUCT(--(INDEX('Tablas Técnicas'!$O$10:$X$639,,1)=J191),--(INDEX('Tablas Técnicas'!$O$10:$X$639,,2)=J197),INDEX('Tablas Técnicas'!$O$10:$X$639,,9))))</f>
        <v/>
      </c>
      <c r="P197" s="5064"/>
      <c r="Q197" s="5065"/>
      <c r="R197" s="5065"/>
      <c r="S197" s="5065"/>
      <c r="T197" s="5065"/>
      <c r="U197" s="2862" t="str">
        <f>IF(OR(P191="",P197=""),"",MAX(1,SUMPRODUCT(--(INDEX('Tablas Técnicas'!$O$10:$X$639,,1)=P191),--(INDEX('Tablas Técnicas'!$O$10:$X$639,,2)=P197),INDEX('Tablas Técnicas'!$O$10:$X$639,,9))))</f>
        <v/>
      </c>
      <c r="V197" s="5064"/>
      <c r="W197" s="5065"/>
      <c r="X197" s="5065"/>
      <c r="Y197" s="5065"/>
      <c r="Z197" s="5065"/>
      <c r="AA197" s="2862" t="str">
        <f>IF(OR(V191="",V197=""),"",MAX(1,SUMPRODUCT(--(INDEX('Tablas Técnicas'!$O$10:$X$639,,1)=V191),--(INDEX('Tablas Técnicas'!$O$10:$X$639,,2)=V197),INDEX('Tablas Técnicas'!$O$10:$X$639,,9))))</f>
        <v/>
      </c>
      <c r="AB197" s="5064"/>
      <c r="AC197" s="5065"/>
      <c r="AD197" s="5065"/>
      <c r="AE197" s="5065"/>
      <c r="AF197" s="5065"/>
      <c r="AG197" s="2863" t="str">
        <f>IF(OR(AB191="",AB197=""),"",MAX(1,SUMPRODUCT(--(INDEX('Tablas Técnicas'!$O$10:$X$639,,1)=AB191),--(INDEX('Tablas Técnicas'!$O$10:$X$639,,2)=AB197),INDEX('Tablas Técnicas'!$O$10:$X$639,,9))))</f>
        <v/>
      </c>
      <c r="AH197" s="2821">
        <f>P178</f>
        <v>1</v>
      </c>
      <c r="AI197" s="3030"/>
      <c r="AJ197" s="2816" t="str">
        <f>IF(V180="","",IF(SUM(V182:V186)=0,"",V180&amp;" "&amp;SUM(V182:V186)+V189&amp;IF(SUM(W182)=0,""," ("&amp;SUM(W182)&amp;")")&amp;", "))</f>
        <v/>
      </c>
      <c r="AK197" s="2816" t="str">
        <f>IF(X180="","",IF(SUM(X182:X186)=0,"",X180&amp;" "&amp;SUM(X182:X186)+X189&amp;IF(SUM(Y182)=0,""," ("&amp;SUM(Y182)&amp;")")&amp;", "))</f>
        <v/>
      </c>
      <c r="AL197" s="2816" t="str">
        <f>IF(Z180="","",IF(SUM(Z182:Z186)=0,"",Z180&amp;" "&amp;SUM(Z182:Z186)+Z189&amp;IF(SUM(AA182)=0,""," ("&amp;SUM(AA182)&amp;")")&amp;", "))</f>
        <v/>
      </c>
      <c r="AM197" s="2816" t="str">
        <f>IF(AB180="","",IF(SUM(AB182:AB186)=0,"",AB180&amp;" "&amp;SUM(AB182:AB186)+AB189&amp;IF(SUM(AC182)=0,""," ("&amp;SUM(AC182)&amp;")")&amp;", "))</f>
        <v/>
      </c>
      <c r="AN197" s="2816" t="str">
        <f>IF(AD180="","",IF(SUM(AD182:AD186)=0,"",AD180&amp;" "&amp;SUM(AD182:AD186)+AD189&amp;IF(SUM(AE182)=0,""," ("&amp;SUM(AE182)&amp;")")&amp;", "))</f>
        <v/>
      </c>
      <c r="AO197" s="2816" t="str">
        <f>IF(AF180="","",IF(SUM(AF182:AF186)=0,"",AF180&amp;" "&amp;SUM(AF182:AF186)+AF189&amp;IF(SUM(AG182)=0,""," ("&amp;SUM(AG182)&amp;")")&amp;", "))</f>
        <v/>
      </c>
      <c r="AQ197" s="2816"/>
      <c r="AR197" s="2816"/>
      <c r="AS197" s="2816"/>
      <c r="AT197" s="2816"/>
      <c r="AU197" s="2816"/>
      <c r="AV197" s="3035"/>
      <c r="AW197" s="3035"/>
      <c r="AX197" s="3035"/>
      <c r="AZ197" s="3035"/>
      <c r="BA197" s="3035"/>
      <c r="BB197" s="2816"/>
      <c r="BC197" s="2816"/>
    </row>
    <row r="198" spans="1:55" x14ac:dyDescent="0.2">
      <c r="A198" s="3030"/>
      <c r="B198" s="3070">
        <f t="shared" si="19"/>
        <v>6</v>
      </c>
      <c r="C198" s="5106"/>
      <c r="D198" s="5064"/>
      <c r="E198" s="5065"/>
      <c r="F198" s="5065"/>
      <c r="G198" s="5065"/>
      <c r="H198" s="5065"/>
      <c r="I198" s="2862" t="str">
        <f>IF(OR(D191="",D198=""),"",MAX(1,SUMPRODUCT(--(INDEX('Tablas Técnicas'!$O$10:$X$639,,1)=D191),--(INDEX('Tablas Técnicas'!$O$10:$X$639,,2)=D198),INDEX('Tablas Técnicas'!$O$10:$X$639,,9))))</f>
        <v/>
      </c>
      <c r="J198" s="5065"/>
      <c r="K198" s="5065"/>
      <c r="L198" s="5065"/>
      <c r="M198" s="5065"/>
      <c r="N198" s="5065"/>
      <c r="O198" s="2862" t="str">
        <f>IF(OR(J191="",J198=""),"",MAX(1,SUMPRODUCT(--(INDEX('Tablas Técnicas'!$O$10:$X$639,,1)=J191),--(INDEX('Tablas Técnicas'!$O$10:$X$639,,2)=J198),INDEX('Tablas Técnicas'!$O$10:$X$639,,9))))</f>
        <v/>
      </c>
      <c r="P198" s="5064"/>
      <c r="Q198" s="5065"/>
      <c r="R198" s="5065"/>
      <c r="S198" s="5065"/>
      <c r="T198" s="5065"/>
      <c r="U198" s="2862" t="str">
        <f>IF(OR(P191="",P198=""),"",MAX(1,SUMPRODUCT(--(INDEX('Tablas Técnicas'!$O$10:$X$639,,1)=P191),--(INDEX('Tablas Técnicas'!$O$10:$X$639,,2)=P198),INDEX('Tablas Técnicas'!$O$10:$X$639,,9))))</f>
        <v/>
      </c>
      <c r="V198" s="5064"/>
      <c r="W198" s="5065"/>
      <c r="X198" s="5065"/>
      <c r="Y198" s="5065"/>
      <c r="Z198" s="5065"/>
      <c r="AA198" s="2862" t="str">
        <f>IF(OR(V191="",V198=""),"",MAX(1,SUMPRODUCT(--(INDEX('Tablas Técnicas'!$O$10:$X$639,,1)=V191),--(INDEX('Tablas Técnicas'!$O$10:$X$639,,2)=V198),INDEX('Tablas Técnicas'!$O$10:$X$639,,9))))</f>
        <v/>
      </c>
      <c r="AB198" s="5064"/>
      <c r="AC198" s="5065"/>
      <c r="AD198" s="5065"/>
      <c r="AE198" s="5065"/>
      <c r="AF198" s="5065"/>
      <c r="AG198" s="2863" t="str">
        <f>IF(OR(AB191="",AB198=""),"",MAX(1,SUMPRODUCT(--(INDEX('Tablas Técnicas'!$O$10:$X$639,,1)=AB191),--(INDEX('Tablas Técnicas'!$O$10:$X$639,,2)=AB198),INDEX('Tablas Técnicas'!$O$10:$X$639,,9))))</f>
        <v/>
      </c>
      <c r="AH198" s="2821">
        <f>P178</f>
        <v>1</v>
      </c>
      <c r="AI198" s="3030"/>
      <c r="AJ198" s="2816" t="s">
        <v>10242</v>
      </c>
      <c r="AL198" s="2816">
        <f t="array" ref="AL198">MAX(0,SUM(VALUE(RIGHT(O182:O186,2)))+ABS($AC188*2/5))+IF(AM205,Y188,0)+IF(S178="Si",3*P178,0)</f>
        <v>0</v>
      </c>
      <c r="AM198" s="2816">
        <f t="array" ref="AM198">IF(ISNUMBER(SEARCH("Mantenido",K182&amp;K183&amp;K184&amp;K185&amp;K186)),MAX(0,SUM(VALUE(RIGHT($P182:$P186,2)))),0)</f>
        <v>0</v>
      </c>
      <c r="AR198" s="3035"/>
      <c r="AT198" s="3035"/>
      <c r="AV198" s="3035"/>
      <c r="AW198" s="3035"/>
      <c r="AX198" s="3035"/>
      <c r="AZ198" s="3035"/>
      <c r="BA198" s="3035"/>
      <c r="BB198" s="2816"/>
      <c r="BC198" s="2816"/>
    </row>
    <row r="199" spans="1:55" x14ac:dyDescent="0.2">
      <c r="A199" s="3030"/>
      <c r="B199" s="3070">
        <f t="shared" si="19"/>
        <v>6</v>
      </c>
      <c r="C199" s="5106"/>
      <c r="D199" s="5064"/>
      <c r="E199" s="5065"/>
      <c r="F199" s="5065"/>
      <c r="G199" s="5065"/>
      <c r="H199" s="5065"/>
      <c r="I199" s="2862" t="str">
        <f>IF(OR(D191="",D199=""),"",MAX(1,SUMPRODUCT(--(INDEX('Tablas Técnicas'!$O$10:$X$639,,1)=D191),--(INDEX('Tablas Técnicas'!$O$10:$X$639,,2)=D199),INDEX('Tablas Técnicas'!$O$10:$X$639,,9))))</f>
        <v/>
      </c>
      <c r="J199" s="5065"/>
      <c r="K199" s="5065"/>
      <c r="L199" s="5065"/>
      <c r="M199" s="5065"/>
      <c r="N199" s="5065"/>
      <c r="O199" s="2862" t="str">
        <f>IF(OR(J191="",J199=""),"",MAX(1,SUMPRODUCT(--(INDEX('Tablas Técnicas'!$O$10:$X$639,,1)=J191),--(INDEX('Tablas Técnicas'!$O$10:$X$639,,2)=J199),INDEX('Tablas Técnicas'!$O$10:$X$639,,9))))</f>
        <v/>
      </c>
      <c r="P199" s="5064"/>
      <c r="Q199" s="5065"/>
      <c r="R199" s="5065"/>
      <c r="S199" s="5065"/>
      <c r="T199" s="5065"/>
      <c r="U199" s="2862" t="str">
        <f>IF(OR(P191="",P199=""),"",MAX(1,SUMPRODUCT(--(INDEX('Tablas Técnicas'!$O$10:$X$639,,1)=P191),--(INDEX('Tablas Técnicas'!$O$10:$X$639,,2)=P199),INDEX('Tablas Técnicas'!$O$10:$X$639,,9))))</f>
        <v/>
      </c>
      <c r="V199" s="5064"/>
      <c r="W199" s="5065"/>
      <c r="X199" s="5065"/>
      <c r="Y199" s="5065"/>
      <c r="Z199" s="5065"/>
      <c r="AA199" s="2862" t="str">
        <f>IF(OR(V191="",V199=""),"",MAX(1,SUMPRODUCT(--(INDEX('Tablas Técnicas'!$O$10:$X$639,,1)=V191),--(INDEX('Tablas Técnicas'!$O$10:$X$639,,2)=V199),INDEX('Tablas Técnicas'!$O$10:$X$639,,9))))</f>
        <v/>
      </c>
      <c r="AB199" s="5064"/>
      <c r="AC199" s="5065"/>
      <c r="AD199" s="5065"/>
      <c r="AE199" s="5065"/>
      <c r="AF199" s="5065"/>
      <c r="AG199" s="2863" t="str">
        <f>IF(OR(AB191="",AB199=""),"",MAX(1,SUMPRODUCT(--(INDEX('Tablas Técnicas'!$O$10:$X$639,,1)=AB191),--(INDEX('Tablas Técnicas'!$O$10:$X$639,,2)=AB199),INDEX('Tablas Técnicas'!$O$10:$X$639,,9))))</f>
        <v/>
      </c>
      <c r="AH199" s="2821">
        <f>P178</f>
        <v>1</v>
      </c>
      <c r="AI199" s="3030"/>
      <c r="AJ199" s="2816" t="s">
        <v>9668</v>
      </c>
      <c r="AL199" s="2816">
        <f>SUM(V182:V186,X182:X186,Z182:Z186,AB182:AB186,AD182:AD186,AF182:AF186)+SUM(V189:AG189)</f>
        <v>0</v>
      </c>
      <c r="AM199" s="2816">
        <f>SUM(W182:W186,Y182:Y186,AA182:AA186,AC182:AC186,AE182:AE186,AG182:AG186)</f>
        <v>0</v>
      </c>
      <c r="AR199" s="3035"/>
      <c r="AT199" s="3035"/>
      <c r="AV199" s="3035"/>
      <c r="AW199" s="3035"/>
      <c r="AX199" s="3035"/>
      <c r="AZ199" s="3035"/>
      <c r="BA199" s="3035"/>
      <c r="BB199" s="2816"/>
      <c r="BC199" s="2816"/>
    </row>
    <row r="200" spans="1:55" x14ac:dyDescent="0.2">
      <c r="A200" s="3030"/>
      <c r="B200" s="3070">
        <f t="shared" si="19"/>
        <v>6</v>
      </c>
      <c r="C200" s="5106"/>
      <c r="D200" s="5064"/>
      <c r="E200" s="5065"/>
      <c r="F200" s="5065"/>
      <c r="G200" s="5065"/>
      <c r="H200" s="5065"/>
      <c r="I200" s="2862" t="str">
        <f>IF(OR(D191="",D200=""),"",MAX(1,SUMPRODUCT(--(INDEX('Tablas Técnicas'!$O$10:$X$639,,1)=D191),--(INDEX('Tablas Técnicas'!$O$10:$X$639,,2)=D200),INDEX('Tablas Técnicas'!$O$10:$X$639,,9))))</f>
        <v/>
      </c>
      <c r="J200" s="5065"/>
      <c r="K200" s="5065"/>
      <c r="L200" s="5065"/>
      <c r="M200" s="5065"/>
      <c r="N200" s="5065"/>
      <c r="O200" s="2862" t="str">
        <f>IF(OR(J191="",J200=""),"",MAX(1,SUMPRODUCT(--(INDEX('Tablas Técnicas'!$O$10:$X$639,,1)=J191),--(INDEX('Tablas Técnicas'!$O$10:$X$639,,2)=J200),INDEX('Tablas Técnicas'!$O$10:$X$639,,9))))</f>
        <v/>
      </c>
      <c r="P200" s="5064"/>
      <c r="Q200" s="5065"/>
      <c r="R200" s="5065"/>
      <c r="S200" s="5065"/>
      <c r="T200" s="5065"/>
      <c r="U200" s="2862" t="str">
        <f>IF(OR(P191="",P200=""),"",MAX(1,SUMPRODUCT(--(INDEX('Tablas Técnicas'!$O$10:$X$639,,1)=P191),--(INDEX('Tablas Técnicas'!$O$10:$X$639,,2)=P200),INDEX('Tablas Técnicas'!$O$10:$X$639,,9))))</f>
        <v/>
      </c>
      <c r="V200" s="5064"/>
      <c r="W200" s="5065"/>
      <c r="X200" s="5065"/>
      <c r="Y200" s="5065"/>
      <c r="Z200" s="5065"/>
      <c r="AA200" s="2862" t="str">
        <f>IF(OR(V191="",V200=""),"",MAX(1,SUMPRODUCT(--(INDEX('Tablas Técnicas'!$O$10:$X$639,,1)=V191),--(INDEX('Tablas Técnicas'!$O$10:$X$639,,2)=V200),INDEX('Tablas Técnicas'!$O$10:$X$639,,9))))</f>
        <v/>
      </c>
      <c r="AB200" s="5064"/>
      <c r="AC200" s="5065"/>
      <c r="AD200" s="5065"/>
      <c r="AE200" s="5065"/>
      <c r="AF200" s="5065"/>
      <c r="AG200" s="2863" t="str">
        <f>IF(OR(AB191="",AB200=""),"",MAX(1,SUMPRODUCT(--(INDEX('Tablas Técnicas'!$O$10:$X$639,,1)=AB191),--(INDEX('Tablas Técnicas'!$O$10:$X$639,,2)=AB200),INDEX('Tablas Técnicas'!$O$10:$X$639,,9))))</f>
        <v/>
      </c>
      <c r="AH200" s="2821">
        <f>P178</f>
        <v>1</v>
      </c>
      <c r="AI200" s="3030"/>
      <c r="AR200" s="3035"/>
      <c r="AT200" s="3035"/>
      <c r="AV200" s="3035"/>
      <c r="AW200" s="3035"/>
      <c r="AX200" s="3035"/>
      <c r="AZ200" s="3035"/>
      <c r="BA200" s="3035"/>
      <c r="BB200" s="2816"/>
      <c r="BC200" s="2816"/>
    </row>
    <row r="201" spans="1:55" x14ac:dyDescent="0.2">
      <c r="A201" s="3030"/>
      <c r="B201" s="3070">
        <f t="shared" si="19"/>
        <v>6</v>
      </c>
      <c r="C201" s="5106"/>
      <c r="D201" s="5079"/>
      <c r="E201" s="5080"/>
      <c r="F201" s="5080"/>
      <c r="G201" s="5080"/>
      <c r="H201" s="5080"/>
      <c r="I201" s="2864" t="str">
        <f>IF(OR(D191="",D201=""),"",MAX(1,SUMPRODUCT(--(INDEX('Tablas Técnicas'!$O$10:$X$639,,1)=D191),--(INDEX('Tablas Técnicas'!$O$10:$X$639,,2)=D201),INDEX('Tablas Técnicas'!$O$10:$X$639,,9))))</f>
        <v/>
      </c>
      <c r="J201" s="5080"/>
      <c r="K201" s="5080"/>
      <c r="L201" s="5080"/>
      <c r="M201" s="5080"/>
      <c r="N201" s="5080"/>
      <c r="O201" s="2864" t="str">
        <f>IF(OR(J191="",J201=""),"",MAX(1,SUMPRODUCT(--(INDEX('Tablas Técnicas'!$O$10:$X$639,,1)=J191),--(INDEX('Tablas Técnicas'!$O$10:$X$639,,2)=J201),INDEX('Tablas Técnicas'!$O$10:$X$639,,9))))</f>
        <v/>
      </c>
      <c r="P201" s="5079"/>
      <c r="Q201" s="5080"/>
      <c r="R201" s="5080"/>
      <c r="S201" s="5080"/>
      <c r="T201" s="5080"/>
      <c r="U201" s="2864" t="str">
        <f>IF(OR(P191="",P201=""),"",MAX(1,SUMPRODUCT(--(INDEX('Tablas Técnicas'!$O$10:$X$639,,1)=P191),--(INDEX('Tablas Técnicas'!$O$10:$X$639,,2)=P201),INDEX('Tablas Técnicas'!$O$10:$X$639,,9))))</f>
        <v/>
      </c>
      <c r="V201" s="5079"/>
      <c r="W201" s="5080"/>
      <c r="X201" s="5080"/>
      <c r="Y201" s="5080"/>
      <c r="Z201" s="5080"/>
      <c r="AA201" s="2864" t="str">
        <f>IF(OR(V191="",V201=""),"",MAX(1,SUMPRODUCT(--(INDEX('Tablas Técnicas'!$O$10:$X$639,,1)=V191),--(INDEX('Tablas Técnicas'!$O$10:$X$639,,2)=V201),INDEX('Tablas Técnicas'!$O$10:$X$639,,9))))</f>
        <v/>
      </c>
      <c r="AB201" s="5079"/>
      <c r="AC201" s="5080"/>
      <c r="AD201" s="5080"/>
      <c r="AE201" s="5080"/>
      <c r="AF201" s="5080"/>
      <c r="AG201" s="2865" t="str">
        <f>IF(OR(AB191="",AB201=""),"",MAX(1,SUMPRODUCT(--(INDEX('Tablas Técnicas'!$O$10:$X$639,,1)=AB191),--(INDEX('Tablas Técnicas'!$O$10:$X$639,,2)=AB201),INDEX('Tablas Técnicas'!$O$10:$X$639,,9))))</f>
        <v/>
      </c>
      <c r="AH201" s="2821">
        <f>P178</f>
        <v>1</v>
      </c>
      <c r="AI201" s="3030"/>
      <c r="AJ201" s="2816" t="s">
        <v>9669</v>
      </c>
      <c r="AN201" s="2817" t="s">
        <v>10256</v>
      </c>
      <c r="AO201" s="2816" t="s">
        <v>10255</v>
      </c>
      <c r="AQ201" s="2816"/>
      <c r="AR201" s="2816" t="b">
        <f>AND(D182="Primario",COUNTIF(D182:E186,"Primario")&gt;1)</f>
        <v>0</v>
      </c>
      <c r="AS201" s="2816"/>
      <c r="AT201" s="3035"/>
      <c r="AV201" s="3035"/>
      <c r="AW201" s="3035"/>
      <c r="AX201" s="3035"/>
      <c r="AZ201" s="3035"/>
      <c r="BA201" s="3035"/>
      <c r="BB201" s="2816"/>
      <c r="BC201" s="2816"/>
    </row>
    <row r="202" spans="1:55" x14ac:dyDescent="0.2">
      <c r="A202" s="3030"/>
      <c r="B202" s="3070">
        <f t="shared" si="19"/>
        <v>6</v>
      </c>
      <c r="C202" s="5106"/>
      <c r="D202" s="5069" t="s">
        <v>1824</v>
      </c>
      <c r="E202" s="5070"/>
      <c r="F202" s="5070"/>
      <c r="G202" s="5070"/>
      <c r="H202" s="5070"/>
      <c r="I202" s="5070"/>
      <c r="J202" s="5070"/>
      <c r="K202" s="5070"/>
      <c r="L202" s="5070"/>
      <c r="M202" s="5070"/>
      <c r="N202" s="5070"/>
      <c r="O202" s="5070"/>
      <c r="P202" s="5070"/>
      <c r="Q202" s="5070"/>
      <c r="R202" s="5070"/>
      <c r="S202" s="5070"/>
      <c r="T202" s="5070"/>
      <c r="U202" s="5070"/>
      <c r="V202" s="5070"/>
      <c r="W202" s="5070"/>
      <c r="X202" s="5070"/>
      <c r="Y202" s="5070"/>
      <c r="Z202" s="5070"/>
      <c r="AA202" s="5070"/>
      <c r="AB202" s="5070"/>
      <c r="AC202" s="5070"/>
      <c r="AD202" s="5070"/>
      <c r="AE202" s="5070"/>
      <c r="AF202" s="5070"/>
      <c r="AG202" s="5071"/>
      <c r="AH202" s="2821"/>
      <c r="AI202" s="3030"/>
      <c r="AJ202" s="2816" t="s">
        <v>9670</v>
      </c>
      <c r="AM202" s="2816" t="b">
        <f t="array" ref="AM202">MAX(I195:I201,O195:O201,U195:U201,AA195:AA201,AG195:AG201,RIGHT(S187:S189,1))&gt;P178</f>
        <v>0</v>
      </c>
      <c r="AN202" s="2817" t="s">
        <v>10257</v>
      </c>
      <c r="AO202" s="2816" t="s">
        <v>10255</v>
      </c>
      <c r="AR202" s="2816" t="b">
        <f>AND(D183="Primario",COUNTIF(D182:E186,"Primario")&gt;1)</f>
        <v>0</v>
      </c>
      <c r="AS202" s="2816"/>
      <c r="AT202" s="3035"/>
      <c r="AV202" s="3035"/>
      <c r="AW202" s="3035"/>
      <c r="AX202" s="3035"/>
      <c r="AZ202" s="3035"/>
      <c r="BA202" s="3035"/>
      <c r="BB202" s="2816" t="str">
        <f>$F186&amp;INDEX($D195:$AG201,Tablas!E$1,1+6*(Tablas!$A$4-1))</f>
        <v/>
      </c>
      <c r="BC202" s="2816" t="str">
        <f>$F186&amp;INDEX($D195:$AG201,Tablas!F$1,1+6*(Tablas!$A$4-1))</f>
        <v/>
      </c>
    </row>
    <row r="203" spans="1:55" x14ac:dyDescent="0.2">
      <c r="A203" s="3030"/>
      <c r="B203" s="3070">
        <f t="shared" si="19"/>
        <v>6</v>
      </c>
      <c r="C203" s="5106"/>
      <c r="D203" s="5072"/>
      <c r="E203" s="5073"/>
      <c r="F203" s="5073"/>
      <c r="G203" s="5073"/>
      <c r="H203" s="5073"/>
      <c r="I203" s="5073"/>
      <c r="J203" s="5073"/>
      <c r="K203" s="5073"/>
      <c r="L203" s="5073"/>
      <c r="M203" s="5073"/>
      <c r="N203" s="5073"/>
      <c r="O203" s="5073"/>
      <c r="P203" s="5073"/>
      <c r="Q203" s="5073"/>
      <c r="R203" s="5073"/>
      <c r="S203" s="5073"/>
      <c r="T203" s="5073"/>
      <c r="U203" s="5073"/>
      <c r="V203" s="5073"/>
      <c r="W203" s="5073"/>
      <c r="X203" s="5073"/>
      <c r="Y203" s="5073"/>
      <c r="Z203" s="5073"/>
      <c r="AA203" s="5073"/>
      <c r="AB203" s="5073"/>
      <c r="AC203" s="5073"/>
      <c r="AD203" s="5073"/>
      <c r="AE203" s="5073"/>
      <c r="AF203" s="5073"/>
      <c r="AG203" s="5074"/>
      <c r="AH203" s="2821"/>
      <c r="AI203" s="3030"/>
      <c r="AJ203" s="2816" t="s">
        <v>10243</v>
      </c>
      <c r="AM203" s="2816" t="b">
        <f>NOT(AND(AW182:AW186))</f>
        <v>0</v>
      </c>
      <c r="AN203" s="2817" t="s">
        <v>10258</v>
      </c>
      <c r="AO203" s="2816" t="s">
        <v>10255</v>
      </c>
      <c r="AR203" s="2816" t="b">
        <f>AND(D184="Primario",COUNTIF(D182:E186,"Primario")&gt;1)</f>
        <v>0</v>
      </c>
      <c r="AS203" s="2816"/>
      <c r="AT203" s="3035"/>
      <c r="AV203" s="3035"/>
      <c r="AW203" s="3035"/>
      <c r="AX203" s="3035"/>
      <c r="AZ203" s="3035"/>
      <c r="BA203" s="3035"/>
      <c r="BB203" s="2816"/>
      <c r="BC203" s="2816"/>
    </row>
    <row r="204" spans="1:55" x14ac:dyDescent="0.2">
      <c r="A204" s="3030"/>
      <c r="B204" s="3070">
        <f t="shared" si="19"/>
        <v>6</v>
      </c>
      <c r="C204" s="5106"/>
      <c r="D204" s="5072"/>
      <c r="E204" s="5073"/>
      <c r="F204" s="5073"/>
      <c r="G204" s="5073"/>
      <c r="H204" s="5073"/>
      <c r="I204" s="5073"/>
      <c r="J204" s="5073"/>
      <c r="K204" s="5073"/>
      <c r="L204" s="5073"/>
      <c r="M204" s="5073"/>
      <c r="N204" s="5073"/>
      <c r="O204" s="5073"/>
      <c r="P204" s="5073"/>
      <c r="Q204" s="5073"/>
      <c r="R204" s="5073"/>
      <c r="S204" s="5073"/>
      <c r="T204" s="5073"/>
      <c r="U204" s="5073"/>
      <c r="V204" s="5073"/>
      <c r="W204" s="5073"/>
      <c r="X204" s="5073"/>
      <c r="Y204" s="5073"/>
      <c r="Z204" s="5073"/>
      <c r="AA204" s="5073"/>
      <c r="AB204" s="5073"/>
      <c r="AC204" s="5073"/>
      <c r="AD204" s="5073"/>
      <c r="AE204" s="5073"/>
      <c r="AF204" s="5073"/>
      <c r="AG204" s="5074"/>
      <c r="AH204" s="2821"/>
      <c r="AI204" s="3030"/>
      <c r="AJ204" s="2816" t="s">
        <v>10244</v>
      </c>
      <c r="AM204" s="2816" t="b">
        <f>AL198-AL199+AM198-AM199&lt;&gt;0</f>
        <v>0</v>
      </c>
      <c r="AN204" s="2817" t="s">
        <v>10259</v>
      </c>
      <c r="AO204" s="2816" t="s">
        <v>10255</v>
      </c>
      <c r="AR204" s="2816" t="b">
        <f>AND(D185="Primario",COUNTIF(D182:E186,"Primario")&gt;1)</f>
        <v>0</v>
      </c>
      <c r="AS204" s="2816"/>
      <c r="AT204" s="3035"/>
      <c r="AV204" s="3035"/>
      <c r="AW204" s="3035"/>
      <c r="AX204" s="3035"/>
      <c r="AZ204" s="3035"/>
      <c r="BA204" s="3035"/>
      <c r="BB204" s="2816"/>
      <c r="BC204" s="2816"/>
    </row>
    <row r="205" spans="1:55" x14ac:dyDescent="0.2">
      <c r="A205" s="3030"/>
      <c r="B205" s="3070">
        <f t="shared" si="19"/>
        <v>6</v>
      </c>
      <c r="C205" s="5106"/>
      <c r="D205" s="5072"/>
      <c r="E205" s="5073"/>
      <c r="F205" s="5073"/>
      <c r="G205" s="5073"/>
      <c r="H205" s="5073"/>
      <c r="I205" s="5073"/>
      <c r="J205" s="5073"/>
      <c r="K205" s="5073"/>
      <c r="L205" s="5073"/>
      <c r="M205" s="5073"/>
      <c r="N205" s="5073"/>
      <c r="O205" s="5073"/>
      <c r="P205" s="5073"/>
      <c r="Q205" s="5073"/>
      <c r="R205" s="5073"/>
      <c r="S205" s="5073"/>
      <c r="T205" s="5073"/>
      <c r="U205" s="5073"/>
      <c r="V205" s="5073"/>
      <c r="W205" s="5073"/>
      <c r="X205" s="5073"/>
      <c r="Y205" s="5073"/>
      <c r="Z205" s="5073"/>
      <c r="AA205" s="5073"/>
      <c r="AB205" s="5073"/>
      <c r="AC205" s="5073"/>
      <c r="AD205" s="5073"/>
      <c r="AE205" s="5073"/>
      <c r="AF205" s="5073"/>
      <c r="AG205" s="5074"/>
      <c r="AH205" s="2821"/>
      <c r="AI205" s="3030"/>
      <c r="AJ205" s="2816" t="s">
        <v>10247</v>
      </c>
      <c r="AM205" s="2816" t="b">
        <f>(IF(SUM(V182:V186)&gt;0,1,0)+IF(SUM(X182:X186)&gt;0,1,0)+IF(SUM(Z182:Z186)&gt;0,1,0)+IF(SUM(AB182:AB186)&gt;0,1,0)+IF(SUM(AD182:AD186,)&gt;0,1,0)+IF(SUM(AF182:AF186)&gt;0,1,0))&lt;3</f>
        <v>1</v>
      </c>
      <c r="AN205" s="2817" t="s">
        <v>10260</v>
      </c>
      <c r="AO205" s="2816" t="s">
        <v>10255</v>
      </c>
      <c r="AQ205" s="2816"/>
      <c r="AR205" s="2816" t="b">
        <f>AND(D186="Primario",COUNTIF(D182:E186,"Primario")&gt;1)</f>
        <v>0</v>
      </c>
      <c r="AS205" s="2816"/>
      <c r="AT205" s="3035"/>
      <c r="AV205" s="3035"/>
      <c r="AW205" s="3035"/>
      <c r="AX205" s="3035"/>
      <c r="AZ205" s="3035"/>
      <c r="BA205" s="3035"/>
      <c r="BB205" s="2816"/>
      <c r="BC205" s="2816"/>
    </row>
    <row r="206" spans="1:55" x14ac:dyDescent="0.2">
      <c r="A206" s="3030"/>
      <c r="B206" s="3070">
        <f t="shared" si="19"/>
        <v>6</v>
      </c>
      <c r="C206" s="5106"/>
      <c r="D206" s="5072"/>
      <c r="E206" s="5073"/>
      <c r="F206" s="5073"/>
      <c r="G206" s="5073"/>
      <c r="H206" s="5073"/>
      <c r="I206" s="5073"/>
      <c r="J206" s="5073"/>
      <c r="K206" s="5073"/>
      <c r="L206" s="5073"/>
      <c r="M206" s="5073"/>
      <c r="N206" s="5073"/>
      <c r="O206" s="5073"/>
      <c r="P206" s="5073"/>
      <c r="Q206" s="5073"/>
      <c r="R206" s="5073"/>
      <c r="S206" s="5073"/>
      <c r="T206" s="5073"/>
      <c r="U206" s="5073"/>
      <c r="V206" s="5073"/>
      <c r="W206" s="5073"/>
      <c r="X206" s="5073"/>
      <c r="Y206" s="5073"/>
      <c r="Z206" s="5073"/>
      <c r="AA206" s="5073"/>
      <c r="AB206" s="5073"/>
      <c r="AC206" s="5073"/>
      <c r="AD206" s="5073"/>
      <c r="AE206" s="5073"/>
      <c r="AF206" s="5073"/>
      <c r="AG206" s="5074"/>
      <c r="AH206" s="2821"/>
      <c r="AI206" s="3030"/>
      <c r="AJ206" s="2816" t="s">
        <v>10246</v>
      </c>
      <c r="AM206" s="2816" t="b">
        <f>SUM(V189:AG189)&lt;&gt;Y188+ABS(AC188)*2/5+IF(S178="Si",3*P178,0)</f>
        <v>0</v>
      </c>
      <c r="AQ206" s="2816"/>
      <c r="AR206" s="2817"/>
      <c r="AS206" s="2817"/>
      <c r="AT206" s="3035"/>
      <c r="AV206" s="3035"/>
      <c r="AW206" s="2816"/>
      <c r="AX206" s="2816"/>
      <c r="AY206" s="2816"/>
      <c r="AZ206" s="2816"/>
      <c r="BA206" s="2816"/>
      <c r="BB206" s="2816"/>
      <c r="BC206" s="2817"/>
    </row>
    <row r="207" spans="1:55" x14ac:dyDescent="0.2">
      <c r="A207" s="3030"/>
      <c r="B207" s="3070">
        <f t="shared" si="19"/>
        <v>6</v>
      </c>
      <c r="C207" s="5106"/>
      <c r="D207" s="5072"/>
      <c r="E207" s="5073"/>
      <c r="F207" s="5073"/>
      <c r="G207" s="5073"/>
      <c r="H207" s="5073"/>
      <c r="I207" s="5073"/>
      <c r="J207" s="5073"/>
      <c r="K207" s="5073"/>
      <c r="L207" s="5073"/>
      <c r="M207" s="5073"/>
      <c r="N207" s="5073"/>
      <c r="O207" s="5073"/>
      <c r="P207" s="5073"/>
      <c r="Q207" s="5073"/>
      <c r="R207" s="5073"/>
      <c r="S207" s="5073"/>
      <c r="T207" s="5073"/>
      <c r="U207" s="5073"/>
      <c r="V207" s="5073"/>
      <c r="W207" s="5073"/>
      <c r="X207" s="5073"/>
      <c r="Y207" s="5073"/>
      <c r="Z207" s="5073"/>
      <c r="AA207" s="5073"/>
      <c r="AB207" s="5073"/>
      <c r="AC207" s="5073"/>
      <c r="AD207" s="5073"/>
      <c r="AE207" s="5073"/>
      <c r="AF207" s="5073"/>
      <c r="AG207" s="5074"/>
      <c r="AH207" s="2821"/>
      <c r="AI207" s="3030"/>
      <c r="AQ207" s="2816"/>
      <c r="AR207" s="2817"/>
      <c r="AS207" s="2817"/>
      <c r="AT207" s="3035"/>
      <c r="AV207" s="3035"/>
      <c r="AW207" s="2816"/>
      <c r="AX207" s="3035"/>
      <c r="AZ207" s="3035"/>
      <c r="BA207" s="3035"/>
      <c r="BB207" s="3035"/>
      <c r="BC207" s="2816"/>
    </row>
    <row r="208" spans="1:55" ht="12" thickBot="1" x14ac:dyDescent="0.25">
      <c r="A208" s="3030"/>
      <c r="B208" s="3070">
        <f t="shared" si="19"/>
        <v>6</v>
      </c>
      <c r="C208" s="5107"/>
      <c r="D208" s="5075"/>
      <c r="E208" s="5076"/>
      <c r="F208" s="5076"/>
      <c r="G208" s="5076"/>
      <c r="H208" s="5076"/>
      <c r="I208" s="5076"/>
      <c r="J208" s="5076"/>
      <c r="K208" s="5076"/>
      <c r="L208" s="5076"/>
      <c r="M208" s="5076"/>
      <c r="N208" s="5076"/>
      <c r="O208" s="5076"/>
      <c r="P208" s="5076"/>
      <c r="Q208" s="5076"/>
      <c r="R208" s="5076"/>
      <c r="S208" s="5076"/>
      <c r="T208" s="5076"/>
      <c r="U208" s="5076"/>
      <c r="V208" s="5076"/>
      <c r="W208" s="5076"/>
      <c r="X208" s="5076"/>
      <c r="Y208" s="5076"/>
      <c r="Z208" s="5076"/>
      <c r="AA208" s="5076"/>
      <c r="AB208" s="5076"/>
      <c r="AC208" s="5076"/>
      <c r="AD208" s="5076"/>
      <c r="AE208" s="5076"/>
      <c r="AF208" s="5076"/>
      <c r="AG208" s="5077"/>
      <c r="AH208" s="2821"/>
      <c r="AI208" s="3030"/>
      <c r="AQ208" s="2816"/>
      <c r="AR208" s="2817"/>
      <c r="AS208" s="2817"/>
      <c r="AT208" s="3035"/>
      <c r="AV208" s="3035"/>
      <c r="AW208" s="2816"/>
      <c r="AX208" s="3035"/>
      <c r="AZ208" s="2816"/>
      <c r="BA208" s="2816"/>
      <c r="BB208" s="2816"/>
      <c r="BC208" s="2816"/>
    </row>
    <row r="209" spans="1:55" x14ac:dyDescent="0.2">
      <c r="A209" s="3030"/>
      <c r="B209" s="3070"/>
      <c r="C209" s="5092"/>
      <c r="D209" s="5092" t="str">
        <f>IFERROR(VLOOKUP(D191,'Tablas Técnicas'!$C$9:$H$81,2,FALSE),"")</f>
        <v/>
      </c>
      <c r="E209" s="5092"/>
      <c r="F209" s="5092"/>
      <c r="G209" s="5092"/>
      <c r="H209" s="5092"/>
      <c r="I209" s="5092"/>
      <c r="J209" s="5078" t="str">
        <f>IFERROR(VLOOKUP(J191,'Tablas Técnicas'!$C$9:$H$81,2,FALSE),"")</f>
        <v/>
      </c>
      <c r="K209" s="5078"/>
      <c r="L209" s="5078"/>
      <c r="M209" s="5078"/>
      <c r="N209" s="5078"/>
      <c r="O209" s="5078"/>
      <c r="P209" s="5078" t="str">
        <f>IFERROR(VLOOKUP(P191,'Tablas Técnicas'!$C$9:$H$81,2,FALSE),"")</f>
        <v/>
      </c>
      <c r="Q209" s="5078"/>
      <c r="R209" s="5078"/>
      <c r="S209" s="5078"/>
      <c r="T209" s="5078"/>
      <c r="U209" s="5078"/>
      <c r="V209" s="5078" t="str">
        <f>IFERROR(VLOOKUP(V191,'Tablas Técnicas'!$C$9:$H$81,2,FALSE),"")</f>
        <v/>
      </c>
      <c r="W209" s="5078"/>
      <c r="X209" s="5078"/>
      <c r="Y209" s="5078"/>
      <c r="Z209" s="5078"/>
      <c r="AA209" s="5078"/>
      <c r="AB209" s="5078" t="str">
        <f>IFERROR(VLOOKUP(AB191,'Tablas Técnicas'!$C$9:$H$81,2,FALSE),"")</f>
        <v/>
      </c>
      <c r="AC209" s="5078"/>
      <c r="AD209" s="5078"/>
      <c r="AE209" s="5078"/>
      <c r="AF209" s="5078"/>
      <c r="AG209" s="5078"/>
      <c r="AH209" s="2821"/>
      <c r="AI209" s="3030"/>
      <c r="AQ209" s="2816"/>
      <c r="AR209" s="2817"/>
      <c r="AS209" s="2817"/>
      <c r="AT209" s="3023"/>
      <c r="AV209" s="3023"/>
      <c r="AW209" s="3023"/>
      <c r="AX209" s="3023"/>
      <c r="AZ209" s="3023"/>
      <c r="BA209" s="3023"/>
      <c r="BB209" s="3023"/>
      <c r="BC209" s="3023"/>
    </row>
    <row r="210" spans="1:55" ht="12" thickBot="1" x14ac:dyDescent="0.25">
      <c r="A210" s="3030"/>
      <c r="B210" s="3070"/>
      <c r="C210" s="5092"/>
      <c r="D210" s="3052"/>
      <c r="E210" s="3024"/>
      <c r="F210" s="3024"/>
      <c r="G210" s="3024"/>
      <c r="H210" s="3024"/>
      <c r="I210" s="3024"/>
      <c r="J210" s="3024"/>
      <c r="K210" s="3024"/>
      <c r="L210" s="3024"/>
      <c r="M210" s="3024"/>
      <c r="N210" s="3024"/>
      <c r="O210" s="3024"/>
      <c r="P210" s="3024"/>
      <c r="Q210" s="3024"/>
      <c r="R210" s="3024"/>
      <c r="S210" s="3024"/>
      <c r="T210" s="3024"/>
      <c r="U210" s="3024"/>
      <c r="V210" s="3054"/>
      <c r="W210" s="3054"/>
      <c r="X210" s="3054"/>
      <c r="Y210" s="3054"/>
      <c r="Z210" s="3054"/>
      <c r="AA210" s="3054"/>
      <c r="AB210" s="3054"/>
      <c r="AC210" s="3054"/>
      <c r="AD210" s="3054"/>
      <c r="AE210" s="3054"/>
      <c r="AF210" s="3024"/>
      <c r="AG210" s="3024"/>
      <c r="AH210" s="2821"/>
      <c r="AI210" s="3030"/>
      <c r="AJ210" s="2870"/>
      <c r="AK210" s="2870"/>
      <c r="AL210" s="2870"/>
      <c r="AM210" s="2870"/>
      <c r="AN210" s="2870"/>
      <c r="AO210" s="2870"/>
      <c r="AR210" s="3023"/>
      <c r="AT210" s="3023"/>
      <c r="AV210" s="3023"/>
      <c r="AW210" s="3023"/>
      <c r="AX210" s="2867"/>
      <c r="AY210" s="2867"/>
      <c r="AZ210" s="2867"/>
      <c r="BA210" s="2867"/>
      <c r="BB210" s="2867"/>
      <c r="BC210" s="2868"/>
    </row>
    <row r="211" spans="1:55" ht="11.25" customHeight="1" x14ac:dyDescent="0.2">
      <c r="A211" s="3030"/>
      <c r="B211" s="3070">
        <f t="shared" si="19"/>
        <v>7</v>
      </c>
      <c r="C211" s="5105" t="str">
        <f>"Técnica "&amp;B211</f>
        <v>Técnica 7</v>
      </c>
      <c r="D211" s="5181" t="s">
        <v>9559</v>
      </c>
      <c r="E211" s="5182"/>
      <c r="F211" s="5182"/>
      <c r="G211" s="5182"/>
      <c r="H211" s="5182"/>
      <c r="I211" s="5182"/>
      <c r="J211" s="5182"/>
      <c r="K211" s="5182"/>
      <c r="L211" s="5182"/>
      <c r="M211" s="5182"/>
      <c r="N211" s="5183"/>
      <c r="O211" s="5161" t="s">
        <v>1597</v>
      </c>
      <c r="P211" s="5163">
        <v>1</v>
      </c>
      <c r="Q211" s="5134" t="s">
        <v>9646</v>
      </c>
      <c r="R211" s="5165"/>
      <c r="S211" s="5167" t="s">
        <v>1654</v>
      </c>
      <c r="T211" s="5135" t="s">
        <v>1780</v>
      </c>
      <c r="U211" s="5174">
        <f>MAX(IF(P211=3,60,IF(P211=2,40,20)),MIN(IF(P211=3,200,IF(P211=2,100,50)),SUM(M220:M222))-10*Y221+AC221+IF(S211="Si",10*P211,0)+IF(COUNTIF(K215:M219,"Mantenido")&gt;0,P211*10)+IF(COUNTIF(K215:M219,"Sostenimiento Menor")&gt;0,P211*20)+IF(COUNTIF(K215:M219,"Sostenimiento Mayor")&gt;0,P211*30))</f>
        <v>20</v>
      </c>
      <c r="V211" s="5134" t="s">
        <v>9647</v>
      </c>
      <c r="W211" s="5135"/>
      <c r="X211" s="5138" t="str">
        <f>IFERROR(LEFT(AJ230&amp;AK230&amp;AL230&amp;AM230&amp;AN230&amp;AO230,LEN(AJ230&amp;AK230&amp;AL230&amp;AM230&amp;AN230&amp;AO230)-2),"")</f>
        <v/>
      </c>
      <c r="Y211" s="5138"/>
      <c r="Z211" s="5138"/>
      <c r="AA211" s="5138"/>
      <c r="AB211" s="5138"/>
      <c r="AC211" s="5138"/>
      <c r="AD211" s="5138"/>
      <c r="AE211" s="5138"/>
      <c r="AF211" s="5138"/>
      <c r="AG211" s="5139"/>
      <c r="AH211" s="2821"/>
      <c r="AI211" s="3030"/>
      <c r="AQ211" s="2816"/>
      <c r="AR211" s="2816"/>
      <c r="AS211" s="2816"/>
      <c r="AT211" s="2816"/>
      <c r="AU211" s="2816"/>
      <c r="AV211" s="3023"/>
      <c r="AW211" s="3023"/>
      <c r="AX211" s="2816"/>
      <c r="AY211" s="2816"/>
      <c r="AZ211" s="2824"/>
      <c r="BA211" s="3023"/>
      <c r="BB211" s="3023"/>
      <c r="BC211" s="3023"/>
    </row>
    <row r="212" spans="1:55" ht="11.25" customHeight="1" x14ac:dyDescent="0.2">
      <c r="A212" s="3030"/>
      <c r="B212" s="3070">
        <f t="shared" si="19"/>
        <v>7</v>
      </c>
      <c r="C212" s="5106"/>
      <c r="D212" s="5184"/>
      <c r="E212" s="5185"/>
      <c r="F212" s="5185"/>
      <c r="G212" s="5185"/>
      <c r="H212" s="5185"/>
      <c r="I212" s="5185"/>
      <c r="J212" s="5185"/>
      <c r="K212" s="5185"/>
      <c r="L212" s="5185"/>
      <c r="M212" s="5185"/>
      <c r="N212" s="5186"/>
      <c r="O212" s="5162"/>
      <c r="P212" s="5164"/>
      <c r="Q212" s="5136"/>
      <c r="R212" s="5166"/>
      <c r="S212" s="5164"/>
      <c r="T212" s="5137"/>
      <c r="U212" s="5175"/>
      <c r="V212" s="5136"/>
      <c r="W212" s="5137"/>
      <c r="X212" s="5140"/>
      <c r="Y212" s="5140"/>
      <c r="Z212" s="5140"/>
      <c r="AA212" s="5140"/>
      <c r="AB212" s="5140"/>
      <c r="AC212" s="5140"/>
      <c r="AD212" s="5140"/>
      <c r="AE212" s="5140"/>
      <c r="AF212" s="5140"/>
      <c r="AG212" s="5141"/>
      <c r="AH212" s="2821"/>
      <c r="AI212" s="3030"/>
      <c r="AJ212" s="2947" t="s">
        <v>10240</v>
      </c>
      <c r="AQ212" s="2816"/>
      <c r="AR212" s="2816"/>
      <c r="AS212" s="2816"/>
      <c r="AT212" s="2816"/>
      <c r="AU212" s="2816"/>
      <c r="AV212" s="3023"/>
      <c r="AW212" s="3023"/>
      <c r="AX212" s="3023"/>
      <c r="AZ212" s="3023"/>
      <c r="BA212" s="3023"/>
      <c r="BB212" s="3023"/>
      <c r="BC212" s="3023"/>
    </row>
    <row r="213" spans="1:55" ht="12" customHeight="1" x14ac:dyDescent="0.2">
      <c r="A213" s="3030"/>
      <c r="B213" s="3070">
        <f t="shared" si="19"/>
        <v>7</v>
      </c>
      <c r="C213" s="5106"/>
      <c r="D213" s="5069" t="s">
        <v>3223</v>
      </c>
      <c r="E213" s="5070"/>
      <c r="F213" s="5070"/>
      <c r="G213" s="5070"/>
      <c r="H213" s="5070"/>
      <c r="I213" s="5070"/>
      <c r="J213" s="5070"/>
      <c r="K213" s="5070" t="str">
        <f>"Mant / SMe / Sma"</f>
        <v>Mant / SMe / Sma</v>
      </c>
      <c r="L213" s="5070"/>
      <c r="M213" s="5070"/>
      <c r="N213" s="5070" t="s">
        <v>1774</v>
      </c>
      <c r="O213" s="5145" t="s">
        <v>3221</v>
      </c>
      <c r="P213" s="5145" t="s">
        <v>9648</v>
      </c>
      <c r="Q213" s="5070" t="s">
        <v>1637</v>
      </c>
      <c r="R213" s="5070"/>
      <c r="S213" s="5070"/>
      <c r="T213" s="5070"/>
      <c r="U213" s="5070"/>
      <c r="V213" s="5108" t="s">
        <v>1646</v>
      </c>
      <c r="W213" s="5109"/>
      <c r="X213" s="5108" t="s">
        <v>1772</v>
      </c>
      <c r="Y213" s="5110"/>
      <c r="Z213" s="5109" t="s">
        <v>1651</v>
      </c>
      <c r="AA213" s="5109"/>
      <c r="AB213" s="5108" t="s">
        <v>1656</v>
      </c>
      <c r="AC213" s="5110"/>
      <c r="AD213" s="5109" t="s">
        <v>1664</v>
      </c>
      <c r="AE213" s="5109"/>
      <c r="AF213" s="5108" t="s">
        <v>1665</v>
      </c>
      <c r="AG213" s="5111"/>
      <c r="AH213" s="2821"/>
      <c r="AI213" s="3030"/>
      <c r="AL213" s="2816" t="s">
        <v>9649</v>
      </c>
      <c r="AQ213" s="2816"/>
      <c r="AR213" s="3023"/>
      <c r="AT213" s="2816" t="s">
        <v>10237</v>
      </c>
      <c r="AU213" s="2816"/>
      <c r="AV213" s="2816" t="s">
        <v>9650</v>
      </c>
      <c r="AW213" s="2816" t="s">
        <v>9651</v>
      </c>
      <c r="AX213" s="2816" t="s">
        <v>10238</v>
      </c>
      <c r="AY213" s="2816"/>
      <c r="AZ213" s="3023"/>
      <c r="BA213" s="3023"/>
      <c r="BB213" s="3023" t="s">
        <v>9652</v>
      </c>
      <c r="BC213" s="2816" t="s">
        <v>9653</v>
      </c>
    </row>
    <row r="214" spans="1:55" x14ac:dyDescent="0.2">
      <c r="A214" s="3030"/>
      <c r="B214" s="3070">
        <f t="shared" si="19"/>
        <v>7</v>
      </c>
      <c r="C214" s="5106"/>
      <c r="D214" s="5142"/>
      <c r="E214" s="5143"/>
      <c r="F214" s="5143"/>
      <c r="G214" s="5143"/>
      <c r="H214" s="5143"/>
      <c r="I214" s="5143"/>
      <c r="J214" s="5143"/>
      <c r="K214" s="5143"/>
      <c r="L214" s="5143"/>
      <c r="M214" s="5143"/>
      <c r="N214" s="5144"/>
      <c r="O214" s="5146"/>
      <c r="P214" s="5147"/>
      <c r="Q214" s="5144"/>
      <c r="R214" s="5144"/>
      <c r="S214" s="5144"/>
      <c r="T214" s="5144"/>
      <c r="U214" s="5144"/>
      <c r="V214" s="3045" t="s">
        <v>10248</v>
      </c>
      <c r="W214" s="3031" t="s">
        <v>3227</v>
      </c>
      <c r="X214" s="3045" t="s">
        <v>10248</v>
      </c>
      <c r="Y214" s="3031" t="s">
        <v>3227</v>
      </c>
      <c r="Z214" s="3045" t="s">
        <v>10248</v>
      </c>
      <c r="AA214" s="3031" t="s">
        <v>3227</v>
      </c>
      <c r="AB214" s="3045" t="s">
        <v>10248</v>
      </c>
      <c r="AC214" s="3031" t="s">
        <v>3227</v>
      </c>
      <c r="AD214" s="3045" t="s">
        <v>10248</v>
      </c>
      <c r="AE214" s="3031" t="s">
        <v>3227</v>
      </c>
      <c r="AF214" s="3045" t="s">
        <v>10248</v>
      </c>
      <c r="AG214" s="2825" t="s">
        <v>3227</v>
      </c>
      <c r="AH214" s="2821"/>
      <c r="AI214" s="3030"/>
      <c r="AK214" s="2816" t="s">
        <v>10225</v>
      </c>
      <c r="AL214" s="2816">
        <v>1</v>
      </c>
      <c r="AM214" s="2816">
        <v>2</v>
      </c>
      <c r="AN214" s="2816">
        <v>3</v>
      </c>
      <c r="AO214" s="2816">
        <v>4</v>
      </c>
      <c r="AP214" s="2816">
        <v>5</v>
      </c>
      <c r="AQ214" s="2816">
        <v>6</v>
      </c>
      <c r="AR214" s="2816">
        <v>7</v>
      </c>
      <c r="AS214" s="2816"/>
      <c r="AT214" s="3023"/>
      <c r="AV214" s="2816"/>
      <c r="AW214" s="3023"/>
      <c r="AX214" s="3023"/>
      <c r="AZ214" s="3023"/>
      <c r="BA214" s="3023"/>
      <c r="BB214" s="3023"/>
      <c r="BC214" s="3023"/>
    </row>
    <row r="215" spans="1:55" x14ac:dyDescent="0.2">
      <c r="A215" s="3030"/>
      <c r="B215" s="3070">
        <f t="shared" si="19"/>
        <v>7</v>
      </c>
      <c r="C215" s="5106"/>
      <c r="D215" s="5124" t="s">
        <v>9654</v>
      </c>
      <c r="E215" s="5125"/>
      <c r="F215" s="5126"/>
      <c r="G215" s="5127"/>
      <c r="H215" s="5127"/>
      <c r="I215" s="5127"/>
      <c r="J215" s="5128"/>
      <c r="K215" s="5124" t="s">
        <v>1729</v>
      </c>
      <c r="L215" s="5129"/>
      <c r="M215" s="5125"/>
      <c r="N215" s="3036">
        <f>SUMPRODUCT(INDEX('Tablas Técnicas'!$O$10:$X$639,,5),--(INDEX('Tablas Técnicas'!$O$10:$X$639,,1)=F215),--(ISNUMBER(MATCH(INDEX('Tablas Técnicas'!$O$10:$X$639,,2),$AL215:$AR215,0))))</f>
        <v>0</v>
      </c>
      <c r="O215" s="3036" t="str">
        <f>V215+X215+Z215+AB215+AD215+AF215&amp;" / "&amp;SUMPRODUCT(INDEX('Tablas Técnicas'!$O$10:$X$639,,IF(D215="Primario",3,4)),--(INDEX('Tablas Técnicas'!$O$10:$X$639,,1)=F215),--(ISNUMBER(MATCH(INDEX('Tablas Técnicas'!$O$10:$X$639,,2),$AL215:$AR215,0))))+IF(AND(K215&lt;&gt;"-",K215&lt;&gt;""),SUMPRODUCT(INDEX('Tablas Técnicas'!$O$10:$X$639,,IF(K215="Mantenido",6,IF(K215="Sostenimiento menor",7,IF(K215="Sostenimiento mayor",8,0)))),--(INDEX('Tablas Técnicas'!$O$10:$X$639,,1)=F215),--(ISNUMBER(MATCH(INDEX('Tablas Técnicas'!$O$10:$X$639,,2),$AL215:$AR215,0)))),0)+AT215</f>
        <v>0 / 0</v>
      </c>
      <c r="P215" s="3036" t="str">
        <f>W215+Y215+AA215+AC215+AE215+AG215&amp;" / "&amp;IF(K215="Mantenido",SUMPRODUCT(INDEX('Tablas Técnicas'!$O$10:$X$639,,6),--(INDEX('Tablas Técnicas'!$O$10:$X$639,,1)=F215),--(ISNUMBER(MATCH(INDEX('Tablas Técnicas'!$O$10:$X$639,,2),$AL215:$AR215,0)))),0)</f>
        <v>0 / 0</v>
      </c>
      <c r="Q215" s="5130" t="str">
        <f>IFERROR(VLOOKUP(F215,'Tablas Técnicas'!$C$9:$H$81,5,FALSE),"")</f>
        <v/>
      </c>
      <c r="R215" s="5130"/>
      <c r="S215" s="5130"/>
      <c r="T215" s="5130"/>
      <c r="U215" s="5130"/>
      <c r="V215" s="2826"/>
      <c r="W215" s="2827"/>
      <c r="X215" s="2826"/>
      <c r="Y215" s="2828"/>
      <c r="Z215" s="2829"/>
      <c r="AA215" s="2827"/>
      <c r="AB215" s="2826"/>
      <c r="AC215" s="2828"/>
      <c r="AD215" s="2829"/>
      <c r="AE215" s="2827"/>
      <c r="AF215" s="2826"/>
      <c r="AG215" s="2830"/>
      <c r="AH215" s="2821"/>
      <c r="AI215" s="3030"/>
      <c r="AJ215" s="2816">
        <v>1</v>
      </c>
      <c r="AK215" s="2816">
        <f>P211</f>
        <v>1</v>
      </c>
      <c r="AL215" s="2816" t="str">
        <f>IF(INDEX($A$1:$AI$44,27+Tablas!A$1,4+6*($AJ215-1))="","",INDEX($A$1:$AI$44,27+Tablas!A$1,4+6*($AJ215-1)))</f>
        <v>Opción</v>
      </c>
      <c r="AM215" s="2816" t="str">
        <f>IF(INDEX($A$1:$AI$44,27+Tablas!B$1,4+6*($AJ215-1))="","",INDEX($A$1:$AI$44,27+Tablas!B$1,4+6*($AJ215-1)))</f>
        <v/>
      </c>
      <c r="AN215" s="2816" t="str">
        <f>IF(INDEX($A$1:$AI$44,27+Tablas!C$1,4+6*($AJ215-1))="","",INDEX($A$1:$AI$44,27+Tablas!C$1,4+6*($AJ215-1)))</f>
        <v/>
      </c>
      <c r="AO215" s="2816" t="str">
        <f>IF(INDEX($A$1:$AI$44,27+Tablas!D$1,4+6*($AJ215-1))="","",INDEX($A$1:$AI$44,27+Tablas!D$1,4+6*($AJ215-1)))</f>
        <v/>
      </c>
      <c r="AP215" s="2816" t="str">
        <f>IF(INDEX($A$1:$AI$44,27+Tablas!E$1,4+6*($AJ215-1))="","",INDEX($A$1:$AI$44,27+Tablas!E$1,4+6*($AJ215-1)))</f>
        <v/>
      </c>
      <c r="AQ215" s="2816" t="str">
        <f>IF(INDEX($A$1:$AI$44,27+Tablas!F$1,4+6*($AJ215-1))="","",INDEX($A$1:$AI$44,27+Tablas!F$1,4+6*($AJ215-1)))</f>
        <v/>
      </c>
      <c r="AR215" s="2816" t="str">
        <f>IF(INDEX($A$1:$AI$44,27+Tablas!G$1,4+6*($AJ215-1))="","",INDEX($A$1:$AI$44,27+Tablas!G$1,4+6*($AJ215-1)))</f>
        <v/>
      </c>
      <c r="AS215" s="2816"/>
      <c r="AT215" s="3023">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V215" s="2816" t="str">
        <f>IFERROR(VLOOKUP(F215,'Tablas Técnicas'!$C$9:$H$81,6,FALSE),"")</f>
        <v/>
      </c>
      <c r="AW215" s="3023" t="b">
        <f>OR(AV215="",ISNUMBER(SEARCH($O220,AV215)),ISNUMBER(SEARCH($Q220,AV215)),ISNUMBER(SEARCH($O221,AV215)),ISNUMBER(SEARCH($Q221,AV215)),ISNUMBER(SEARCH($O222,AV215)),ISNUMBER(SEARCH($Q222,AV215)),)</f>
        <v>1</v>
      </c>
      <c r="AX215" s="3023" t="b">
        <f>AND(P211&gt;1,OR(MAX(I228:I234)=1,MAX(I228:I234)=2))</f>
        <v>0</v>
      </c>
      <c r="AZ215" s="3023"/>
      <c r="BA215" s="3023"/>
      <c r="BB215" s="2816" t="str">
        <f>IF(F215="","",F215&amp;" ("&amp;IF(AL215="","",AL215&amp;", ")&amp;IF(AM215="","",AM215&amp;", ")&amp;IF(AN215="","",AN215&amp;", ")&amp;IF(AO215="","",AO215&amp;", ")&amp;IF(AP215="","",AP215&amp;", ")&amp;IF(AQ215="","",AQ215&amp;", ")&amp;IF(AR215="","",AR215&amp;", "))</f>
        <v/>
      </c>
      <c r="BC215" s="3023" t="str">
        <f t="shared" ref="BC215:BC217" si="24">IFERROR(LEFT(BB215,LEN(BB215)-2)&amp;"), ","")</f>
        <v/>
      </c>
    </row>
    <row r="216" spans="1:55" x14ac:dyDescent="0.2">
      <c r="A216" s="3030"/>
      <c r="B216" s="3070">
        <f t="shared" si="19"/>
        <v>7</v>
      </c>
      <c r="C216" s="5106"/>
      <c r="D216" s="5090" t="s">
        <v>790</v>
      </c>
      <c r="E216" s="5091"/>
      <c r="F216" s="5112"/>
      <c r="G216" s="5113"/>
      <c r="H216" s="5113"/>
      <c r="I216" s="5113"/>
      <c r="J216" s="5114"/>
      <c r="K216" s="5115" t="s">
        <v>1729</v>
      </c>
      <c r="L216" s="5116"/>
      <c r="M216" s="5117"/>
      <c r="N216" s="3039">
        <f>SUMPRODUCT(INDEX('Tablas Técnicas'!$O$10:$X$639,,5),--(INDEX('Tablas Técnicas'!$O$10:$X$639,,1)=F216),--(ISNUMBER(MATCH(INDEX('Tablas Técnicas'!$O$10:$X$639,,2),$AL216:$AR216,0))))</f>
        <v>0</v>
      </c>
      <c r="O216" s="3039" t="str">
        <f>V216+X216+Z216+AB216+AD216+AF216&amp;" / "&amp;SUMPRODUCT(INDEX('Tablas Técnicas'!$O$10:$X$639,,IF(D216="Primario",3,4)),--(INDEX('Tablas Técnicas'!$O$10:$X$639,,1)=F216),--(ISNUMBER(MATCH(INDEX('Tablas Técnicas'!$O$10:$X$639,,2),$AL216:$AR216,0))))+IF(AND(K216&lt;&gt;"-",K216&lt;&gt;""),SUMPRODUCT(INDEX('Tablas Técnicas'!$O$10:$X$639,,IF(K216="Mantenido",6,IF(K216="Sostenimiento menor",7,IF(K216="Sostenimiento mayor",8,0)))),--(INDEX('Tablas Técnicas'!$O$10:$X$639,,1)=F216),--(ISNUMBER(MATCH(INDEX('Tablas Técnicas'!$O$10:$X$639,,2),$AL216:$AR216,0)))),0)+AT216</f>
        <v>0 / 0</v>
      </c>
      <c r="P216" s="3039" t="str">
        <f>W216+Y216+AA216+AC216+AE216+AG216&amp;" / "&amp;IF(K216="Mantenido",SUMPRODUCT(INDEX('Tablas Técnicas'!$O$10:$X$639,,6),--(INDEX('Tablas Técnicas'!$O$10:$X$639,,1)=F216),--(ISNUMBER(MATCH(INDEX('Tablas Técnicas'!$O$10:$X$639,,2),$AL216:$AR216,0)))),0)</f>
        <v>0 / 0</v>
      </c>
      <c r="Q216" s="5092" t="str">
        <f>IFERROR(VLOOKUP(F216,'Tablas Técnicas'!$C$9:$H$81,5,FALSE),"")</f>
        <v/>
      </c>
      <c r="R216" s="5092"/>
      <c r="S216" s="5092"/>
      <c r="T216" s="5092"/>
      <c r="U216" s="5092"/>
      <c r="V216" s="3034"/>
      <c r="W216" s="2831"/>
      <c r="X216" s="3034"/>
      <c r="Y216" s="3033"/>
      <c r="Z216" s="3028"/>
      <c r="AA216" s="2831"/>
      <c r="AB216" s="3034"/>
      <c r="AC216" s="3033"/>
      <c r="AD216" s="3028"/>
      <c r="AE216" s="2831"/>
      <c r="AF216" s="3034"/>
      <c r="AG216" s="2832"/>
      <c r="AH216" s="2821"/>
      <c r="AI216" s="3030"/>
      <c r="AJ216" s="2816">
        <v>2</v>
      </c>
      <c r="AK216" s="2816">
        <f>P211</f>
        <v>1</v>
      </c>
      <c r="AL216" s="2816" t="str">
        <f>IF(INDEX($A$1:$AI$44,27+Tablas!A$1,4+6*($AJ216-1))="","",INDEX($A$1:$AI$44,27+Tablas!A$1,4+6*($AJ216-1)))</f>
        <v>Opción</v>
      </c>
      <c r="AM216" s="2816" t="str">
        <f>IF(INDEX($A$1:$AI$44,27+Tablas!B$1,4+6*($AJ216-1))="","",INDEX($A$1:$AI$44,27+Tablas!B$1,4+6*($AJ216-1)))</f>
        <v/>
      </c>
      <c r="AN216" s="2816" t="str">
        <f>IF(INDEX($A$1:$AI$44,27+Tablas!C$1,4+6*($AJ216-1))="","",INDEX($A$1:$AI$44,27+Tablas!C$1,4+6*($AJ216-1)))</f>
        <v/>
      </c>
      <c r="AO216" s="2816" t="str">
        <f>IF(INDEX($A$1:$AI$44,27+Tablas!D$1,4+6*($AJ216-1))="","",INDEX($A$1:$AI$44,27+Tablas!D$1,4+6*($AJ216-1)))</f>
        <v/>
      </c>
      <c r="AP216" s="2816" t="str">
        <f>IF(INDEX($A$1:$AI$44,27+Tablas!E$1,4+6*($AJ216-1))="","",INDEX($A$1:$AI$44,27+Tablas!E$1,4+6*($AJ216-1)))</f>
        <v/>
      </c>
      <c r="AQ216" s="2816" t="str">
        <f>IF(INDEX($A$1:$AI$44,27+Tablas!F$1,4+6*($AJ216-1))="","",INDEX($A$1:$AI$44,27+Tablas!F$1,4+6*($AJ216-1)))</f>
        <v/>
      </c>
      <c r="AR216" s="2816" t="str">
        <f>IF(INDEX($A$1:$AI$44,27+Tablas!G$1,4+6*($AJ216-1))="","",INDEX($A$1:$AI$44,27+Tablas!G$1,4+6*($AJ216-1)))</f>
        <v/>
      </c>
      <c r="AS216" s="2816"/>
      <c r="AT216" s="3023">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V216" s="2816" t="str">
        <f>IFERROR(VLOOKUP(F216,'Tablas Técnicas'!$C$9:$H$81,6,FALSE),"")</f>
        <v/>
      </c>
      <c r="AW216" s="3023" t="b">
        <f>OR(AX200="",OR(ISNUMBER(SEARCH($O220,AV216)),ISNUMBER(SEARCH($Q220,AV216)),ISNUMBER(SEARCH($O221,AV216)),ISNUMBER(SEARCH($Q221,AV216)),ISNUMBER(SEARCH($O222,AV216)),ISNUMBER(SEARCH($Q222,AV216)),))</f>
        <v>1</v>
      </c>
      <c r="AX216" s="3023" t="b">
        <f>AND(P211&gt;1,OR(MAX(O228:O234)=1,MAX(O228:O234)=2))</f>
        <v>0</v>
      </c>
      <c r="AZ216" s="3023"/>
      <c r="BA216" s="3023"/>
      <c r="BB216" s="2816" t="str">
        <f>IF(F216="","",F216&amp;" ("&amp;IF(AL216="","",AL216&amp;", ")&amp;IF(AM216="","",AM216&amp;", ")&amp;IF(AN216="","",AN216&amp;", ")&amp;IF(AO216="","",AO216&amp;", ")&amp;IF(AP216="","",AP216&amp;", ")&amp;IF(AQ216="","",AQ216&amp;", ")&amp;IF(AR216="","",AR216&amp;", "))</f>
        <v/>
      </c>
      <c r="BC216" s="3023" t="str">
        <f t="shared" si="24"/>
        <v/>
      </c>
    </row>
    <row r="217" spans="1:55" x14ac:dyDescent="0.2">
      <c r="A217" s="3030"/>
      <c r="B217" s="3070">
        <f t="shared" si="19"/>
        <v>7</v>
      </c>
      <c r="C217" s="5106"/>
      <c r="D217" s="5131" t="s">
        <v>790</v>
      </c>
      <c r="E217" s="5132"/>
      <c r="F217" s="5118"/>
      <c r="G217" s="5119"/>
      <c r="H217" s="5119"/>
      <c r="I217" s="5119"/>
      <c r="J217" s="5120"/>
      <c r="K217" s="5121" t="s">
        <v>1729</v>
      </c>
      <c r="L217" s="5122"/>
      <c r="M217" s="5123"/>
      <c r="N217" s="3040">
        <f>SUMPRODUCT(INDEX('Tablas Técnicas'!$O$10:$X$639,,5),--(INDEX('Tablas Técnicas'!$O$10:$X$639,,1)=F217),--(ISNUMBER(MATCH(INDEX('Tablas Técnicas'!$O$10:$X$639,,2),$AL217:$AR217,0))))</f>
        <v>0</v>
      </c>
      <c r="O217" s="3040" t="str">
        <f>V217+X217+Z217+AB217+AD217+AF217&amp;" / "&amp;SUMPRODUCT(INDEX('Tablas Técnicas'!$O$10:$X$639,,IF(D217="Primario",3,4)),--(INDEX('Tablas Técnicas'!$O$10:$X$639,,1)=F217),--(ISNUMBER(MATCH(INDEX('Tablas Técnicas'!$O$10:$X$639,,2),$AL217:$AR217,0))))+IF(AND(K217&lt;&gt;"-",K217&lt;&gt;""),SUMPRODUCT(INDEX('Tablas Técnicas'!$O$10:$X$639,,IF(K217="Mantenido",6,IF(K217="Sostenimiento menor",7,IF(K217="Sostenimiento mayor",8,0)))),--(INDEX('Tablas Técnicas'!$O$10:$X$639,,1)=F217),--(ISNUMBER(MATCH(INDEX('Tablas Técnicas'!$O$10:$X$639,,2),$AL217:$AR217,0)))),0)+AT217</f>
        <v>0 / 0</v>
      </c>
      <c r="P217" s="3040" t="str">
        <f>W217+Y217+AA217+AC217+AE217+AG217&amp;" / "&amp;IF(K217="Mantenido",SUMPRODUCT(INDEX('Tablas Técnicas'!$O$10:$X$639,,6),--(INDEX('Tablas Técnicas'!$O$10:$X$639,,1)=F217),--(ISNUMBER(MATCH(INDEX('Tablas Técnicas'!$O$10:$X$639,,2),$AL217:$AR217,0)))),0)</f>
        <v>0 / 0</v>
      </c>
      <c r="Q217" s="5133" t="str">
        <f>IFERROR(VLOOKUP(F217,'Tablas Técnicas'!$C$9:$H$81,5,FALSE),"")</f>
        <v/>
      </c>
      <c r="R217" s="5133"/>
      <c r="S217" s="5133"/>
      <c r="T217" s="5133"/>
      <c r="U217" s="5133"/>
      <c r="V217" s="2833"/>
      <c r="W217" s="2834"/>
      <c r="X217" s="3038"/>
      <c r="Y217" s="3037"/>
      <c r="Z217" s="3029"/>
      <c r="AA217" s="2834"/>
      <c r="AB217" s="3038"/>
      <c r="AC217" s="3037"/>
      <c r="AD217" s="3029"/>
      <c r="AE217" s="2834"/>
      <c r="AF217" s="3038"/>
      <c r="AG217" s="2835"/>
      <c r="AH217" s="2821"/>
      <c r="AI217" s="3030"/>
      <c r="AJ217" s="2816">
        <v>3</v>
      </c>
      <c r="AK217" s="2816">
        <f>P211</f>
        <v>1</v>
      </c>
      <c r="AL217" s="2816" t="str">
        <f>IF(INDEX($A$1:$AI$44,27+Tablas!A$1,4+6*($AJ217-1))="","",INDEX($A$1:$AI$44,27+Tablas!A$1,4+6*($AJ217-1)))</f>
        <v>Opción</v>
      </c>
      <c r="AM217" s="2816" t="str">
        <f>IF(INDEX($A$1:$AI$44,27+Tablas!B$1,4+6*($AJ217-1))="","",INDEX($A$1:$AI$44,27+Tablas!B$1,4+6*($AJ217-1)))</f>
        <v/>
      </c>
      <c r="AN217" s="2816" t="str">
        <f>IF(INDEX($A$1:$AI$44,27+Tablas!C$1,4+6*($AJ217-1))="","",INDEX($A$1:$AI$44,27+Tablas!C$1,4+6*($AJ217-1)))</f>
        <v/>
      </c>
      <c r="AO217" s="2816" t="str">
        <f>IF(INDEX($A$1:$AI$44,27+Tablas!D$1,4+6*($AJ217-1))="","",INDEX($A$1:$AI$44,27+Tablas!D$1,4+6*($AJ217-1)))</f>
        <v/>
      </c>
      <c r="AP217" s="2816" t="str">
        <f>IF(INDEX($A$1:$AI$44,27+Tablas!E$1,4+6*($AJ217-1))="","",INDEX($A$1:$AI$44,27+Tablas!E$1,4+6*($AJ217-1)))</f>
        <v/>
      </c>
      <c r="AQ217" s="2816" t="str">
        <f>IF(INDEX($A$1:$AI$44,27+Tablas!F$1,4+6*($AJ217-1))="","",INDEX($A$1:$AI$44,27+Tablas!F$1,4+6*($AJ217-1)))</f>
        <v/>
      </c>
      <c r="AR217" s="2816" t="str">
        <f>IF(INDEX($A$1:$AI$44,27+Tablas!G$1,4+6*($AJ217-1))="","",INDEX($A$1:$AI$44,27+Tablas!G$1,4+6*($AJ217-1)))</f>
        <v/>
      </c>
      <c r="AS217" s="2816"/>
      <c r="AT217" s="3023">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V217" s="2816" t="str">
        <f>IFERROR(VLOOKUP(F217,'Tablas Técnicas'!$C$9:$H$81,6,FALSE),"")</f>
        <v/>
      </c>
      <c r="AW217" s="3023" t="b">
        <f>OR(AV217="",OR(ISNUMBER(SEARCH($O220,AV217)),ISNUMBER(SEARCH($Q220,AV217)),ISNUMBER(SEARCH($O221,AV217)),ISNUMBER(SEARCH($Q221,AV217)),ISNUMBER(SEARCH($O222,AV217)),ISNUMBER(SEARCH($Q222,AV217)),))</f>
        <v>1</v>
      </c>
      <c r="AX217" s="3023" t="b">
        <f>AND(P211&gt;1,OR(MAX(U228:U234)=1,MAX(U228:U234)=2))</f>
        <v>0</v>
      </c>
      <c r="AZ217" s="3023"/>
      <c r="BA217" s="3023"/>
      <c r="BB217" s="2816" t="str">
        <f>IF(F217="","",F217&amp;" ("&amp;IF(AL217="","",AL217&amp;", ")&amp;IF(AM217="","",AM217&amp;", ")&amp;IF(AN217="","",AN217&amp;", ")&amp;IF(AO217="","",AO217&amp;", ")&amp;IF(AP217="","",AP217&amp;", ")&amp;IF(AQ217="","",AQ217&amp;", ")&amp;IF(AR217="","",AR217&amp;", "))</f>
        <v/>
      </c>
      <c r="BC217" s="3023" t="str">
        <f t="shared" si="24"/>
        <v/>
      </c>
    </row>
    <row r="218" spans="1:55" x14ac:dyDescent="0.2">
      <c r="A218" s="3030"/>
      <c r="B218" s="3070">
        <f t="shared" si="19"/>
        <v>7</v>
      </c>
      <c r="C218" s="5106"/>
      <c r="D218" s="5090" t="s">
        <v>790</v>
      </c>
      <c r="E218" s="5091"/>
      <c r="F218" s="5112"/>
      <c r="G218" s="5113"/>
      <c r="H218" s="5113"/>
      <c r="I218" s="5113"/>
      <c r="J218" s="5114"/>
      <c r="K218" s="5115" t="s">
        <v>1729</v>
      </c>
      <c r="L218" s="5116"/>
      <c r="M218" s="5117"/>
      <c r="N218" s="3039">
        <f>SUMPRODUCT(INDEX('Tablas Técnicas'!$O$10:$X$639,,5),--(INDEX('Tablas Técnicas'!$O$10:$X$639,,1)=F218),--(ISNUMBER(MATCH(INDEX('Tablas Técnicas'!$O$10:$X$639,,2),$AL218:$AR218,0))))</f>
        <v>0</v>
      </c>
      <c r="O218" s="3039" t="str">
        <f>V218+X218+Z218+AB218+AD218+AF218&amp;" / "&amp;SUMPRODUCT(INDEX('Tablas Técnicas'!$O$10:$X$639,,IF(D218="Primario",3,4)),--(INDEX('Tablas Técnicas'!$O$10:$X$639,,1)=F218),--(ISNUMBER(MATCH(INDEX('Tablas Técnicas'!$O$10:$X$639,,2),$AL218:$AR218,0))))+IF(AND(K218&lt;&gt;"-",K218&lt;&gt;""),SUMPRODUCT(INDEX('Tablas Técnicas'!$O$10:$X$639,,IF(K218="Mantenido",6,IF(K218="Sostenimiento menor",7,IF(K218="Sostenimiento mayor",8,0)))),--(INDEX('Tablas Técnicas'!$O$10:$X$639,,1)=F218),--(ISNUMBER(MATCH(INDEX('Tablas Técnicas'!$O$10:$X$639,,2),$AL218:$AR218,0)))),0)+AT218</f>
        <v>0 / 0</v>
      </c>
      <c r="P218" s="3039" t="str">
        <f>W218+Y218+AA218+AC218+AE218+AG218&amp;" / "&amp;IF(K218="Mantenido",SUMPRODUCT(INDEX('Tablas Técnicas'!$O$10:$X$639,,6),--(INDEX('Tablas Técnicas'!$O$10:$X$639,,1)=F218),--(ISNUMBER(MATCH(INDEX('Tablas Técnicas'!$O$10:$X$639,,2),$AL218:$AR218,0)))),0)</f>
        <v>0 / 0</v>
      </c>
      <c r="Q218" s="5092" t="str">
        <f>IFERROR(VLOOKUP(F218,'Tablas Técnicas'!$C$9:$H$81,5,FALSE),"")</f>
        <v/>
      </c>
      <c r="R218" s="5092"/>
      <c r="S218" s="5092"/>
      <c r="T218" s="5092"/>
      <c r="U218" s="5092"/>
      <c r="V218" s="3034"/>
      <c r="W218" s="2831"/>
      <c r="X218" s="3034"/>
      <c r="Y218" s="3033"/>
      <c r="Z218" s="3028"/>
      <c r="AA218" s="2831"/>
      <c r="AB218" s="3034"/>
      <c r="AC218" s="3033"/>
      <c r="AD218" s="3028"/>
      <c r="AE218" s="2831"/>
      <c r="AF218" s="3034"/>
      <c r="AG218" s="2832"/>
      <c r="AH218" s="2821"/>
      <c r="AI218" s="3030"/>
      <c r="AJ218" s="2816">
        <v>4</v>
      </c>
      <c r="AK218" s="2816">
        <f>P211</f>
        <v>1</v>
      </c>
      <c r="AL218" s="2816" t="str">
        <f>IF(INDEX($A$1:$AI$44,27+Tablas!A$1,4+6*($AJ218-1))="","",INDEX($A$1:$AI$44,27+Tablas!A$1,4+6*($AJ218-1)))</f>
        <v>Opción</v>
      </c>
      <c r="AM218" s="2816" t="str">
        <f>IF(INDEX($A$1:$AI$44,27+Tablas!B$1,4+6*($AJ218-1))="","",INDEX($A$1:$AI$44,27+Tablas!B$1,4+6*($AJ218-1)))</f>
        <v/>
      </c>
      <c r="AN218" s="2816" t="str">
        <f>IF(INDEX($A$1:$AI$44,27+Tablas!C$1,4+6*($AJ218-1))="","",INDEX($A$1:$AI$44,27+Tablas!C$1,4+6*($AJ218-1)))</f>
        <v/>
      </c>
      <c r="AO218" s="2816" t="str">
        <f>IF(INDEX($A$1:$AI$44,27+Tablas!D$1,4+6*($AJ218-1))="","",INDEX($A$1:$AI$44,27+Tablas!D$1,4+6*($AJ218-1)))</f>
        <v/>
      </c>
      <c r="AP218" s="2816" t="str">
        <f>IF(INDEX($A$1:$AI$44,27+Tablas!E$1,4+6*($AJ218-1))="","",INDEX($A$1:$AI$44,27+Tablas!E$1,4+6*($AJ218-1)))</f>
        <v/>
      </c>
      <c r="AQ218" s="2816" t="str">
        <f>IF(INDEX($A$1:$AI$44,27+Tablas!F$1,4+6*($AJ218-1))="","",INDEX($A$1:$AI$44,27+Tablas!F$1,4+6*($AJ218-1)))</f>
        <v/>
      </c>
      <c r="AR218" s="2816" t="str">
        <f>IF(INDEX($A$1:$AI$44,27+Tablas!G$1,4+6*($AJ218-1))="","",INDEX($A$1:$AI$44,27+Tablas!G$1,4+6*($AJ218-1)))</f>
        <v/>
      </c>
      <c r="AS218" s="2816"/>
      <c r="AT218" s="3023">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V218" s="2816" t="str">
        <f>IFERROR(VLOOKUP(F218,'Tablas Técnicas'!$C$9:$H$81,6,FALSE),"")</f>
        <v/>
      </c>
      <c r="AW218" s="3023" t="b">
        <f>OR(AV218="",OR(ISNUMBER(SEARCH($O220,AV218)),ISNUMBER(SEARCH($Q220,AV218)),ISNUMBER(SEARCH($O221,AV218)),ISNUMBER(SEARCH($Q221,AV218)),ISNUMBER(SEARCH($O222,AV218)),ISNUMBER(SEARCH($Q222,AV218)),))</f>
        <v>1</v>
      </c>
      <c r="AX218" s="3023" t="b">
        <f>AND(P211&gt;1,OR(MAX(AA228:AA234)=1,MAX(AA228:AA234)=2))</f>
        <v>0</v>
      </c>
      <c r="AZ218" s="3023"/>
      <c r="BA218" s="3023"/>
      <c r="BB218" s="2816" t="str">
        <f>IF(F218="","",F218&amp;" ("&amp;IF(AL218="","",AL218&amp;", ")&amp;IF(AM218="","",AM218&amp;", ")&amp;IF(AN218="","",AN218&amp;", ")&amp;IF(AO218="","",AO218&amp;", ")&amp;IF(AP218="","",AP218&amp;", ")&amp;IF(AQ218="","",AQ218&amp;", ")&amp;IF(AR218="","",AR218&amp;", "))</f>
        <v/>
      </c>
      <c r="BC218" s="3023" t="str">
        <f>IFERROR(LEFT(BB218,LEN(BB218)-2)&amp;"), ","")</f>
        <v/>
      </c>
    </row>
    <row r="219" spans="1:55" x14ac:dyDescent="0.2">
      <c r="A219" s="3030"/>
      <c r="B219" s="3070">
        <f t="shared" si="19"/>
        <v>7</v>
      </c>
      <c r="C219" s="5106"/>
      <c r="D219" s="5093" t="s">
        <v>790</v>
      </c>
      <c r="E219" s="5094"/>
      <c r="F219" s="5084"/>
      <c r="G219" s="5085"/>
      <c r="H219" s="5085"/>
      <c r="I219" s="5085"/>
      <c r="J219" s="5086"/>
      <c r="K219" s="5087" t="s">
        <v>1729</v>
      </c>
      <c r="L219" s="5088"/>
      <c r="M219" s="5089"/>
      <c r="N219" s="3032">
        <f>SUMPRODUCT(INDEX('Tablas Técnicas'!$O$10:$X$639,,5),--(INDEX('Tablas Técnicas'!$O$10:$X$639,,1)=F219),--(ISNUMBER(MATCH(INDEX('Tablas Técnicas'!$O$10:$X$639,,2),$AL219:$AR219,0))))</f>
        <v>0</v>
      </c>
      <c r="O219" s="3032" t="str">
        <f>V219+X219+Z219+AB219+AD219+AF219&amp;" / "&amp;SUMPRODUCT(INDEX('Tablas Técnicas'!$O$10:$X$639,,IF(D219="Primario",3,4)),--(INDEX('Tablas Técnicas'!$O$10:$X$639,,1)=F219),--(ISNUMBER(MATCH(INDEX('Tablas Técnicas'!$O$10:$X$639,,2),$AL219:$AR219,0))))+IF(AND(K219&lt;&gt;"-",K219&lt;&gt;""),SUMPRODUCT(INDEX('Tablas Técnicas'!$O$10:$X$639,,IF(K219="Mantenido",6,IF(K219="Sostenimiento menor",7,IF(K219="Sostenimiento mayor",8,0)))),--(INDEX('Tablas Técnicas'!$O$10:$X$639,,1)=F219),--(ISNUMBER(MATCH(INDEX('Tablas Técnicas'!$O$10:$X$639,,2),$AL219:$AR219,0)))),0)+AT219</f>
        <v>0 / 0</v>
      </c>
      <c r="P219" s="3032" t="str">
        <f>W219+Y219+AA219+AC219+AE219+AG219&amp;" / "&amp;IF(K219="Mantenido",SUMPRODUCT(INDEX('Tablas Técnicas'!$O$10:$X$639,,6),--(INDEX('Tablas Técnicas'!$O$10:$X$639,,1)=F219),--(ISNUMBER(MATCH(INDEX('Tablas Técnicas'!$O$10:$X$639,,2),$AL219:$AR219,0)))),0)</f>
        <v>0 / 0</v>
      </c>
      <c r="Q219" s="5095" t="str">
        <f>IFERROR(VLOOKUP(F219,'Tablas Técnicas'!$C$9:$H$81,5,FALSE),"")</f>
        <v/>
      </c>
      <c r="R219" s="5095"/>
      <c r="S219" s="5095"/>
      <c r="T219" s="5095"/>
      <c r="U219" s="5095"/>
      <c r="V219" s="2836"/>
      <c r="W219" s="2837"/>
      <c r="X219" s="2836"/>
      <c r="Y219" s="2838"/>
      <c r="Z219" s="2839"/>
      <c r="AA219" s="2837"/>
      <c r="AB219" s="2836"/>
      <c r="AC219" s="2838"/>
      <c r="AD219" s="2839"/>
      <c r="AE219" s="2837"/>
      <c r="AF219" s="2836"/>
      <c r="AG219" s="2840"/>
      <c r="AH219" s="2821"/>
      <c r="AI219" s="3030"/>
      <c r="AJ219" s="2816">
        <v>5</v>
      </c>
      <c r="AK219" s="2816">
        <f>P211</f>
        <v>1</v>
      </c>
      <c r="AL219" s="2816" t="str">
        <f>IF(INDEX($A$1:$AI$44,27+Tablas!A$1,4+6*($AJ219-1))="","",INDEX($A$1:$AI$44,27+Tablas!A$1,4+6*($AJ219-1)))</f>
        <v>Opción</v>
      </c>
      <c r="AM219" s="2816" t="str">
        <f>IF(INDEX($A$1:$AI$44,27+Tablas!B$1,4+6*($AJ219-1))="","",INDEX($A$1:$AI$44,27+Tablas!B$1,4+6*($AJ219-1)))</f>
        <v/>
      </c>
      <c r="AN219" s="2816" t="str">
        <f>IF(INDEX($A$1:$AI$44,27+Tablas!C$1,4+6*($AJ219-1))="","",INDEX($A$1:$AI$44,27+Tablas!C$1,4+6*($AJ219-1)))</f>
        <v/>
      </c>
      <c r="AO219" s="2816" t="str">
        <f>IF(INDEX($A$1:$AI$44,27+Tablas!D$1,4+6*($AJ219-1))="","",INDEX($A$1:$AI$44,27+Tablas!D$1,4+6*($AJ219-1)))</f>
        <v/>
      </c>
      <c r="AP219" s="2816" t="str">
        <f>IF(INDEX($A$1:$AI$44,27+Tablas!E$1,4+6*($AJ219-1))="","",INDEX($A$1:$AI$44,27+Tablas!E$1,4+6*($AJ219-1)))</f>
        <v/>
      </c>
      <c r="AQ219" s="2816" t="str">
        <f>IF(INDEX($A$1:$AI$44,27+Tablas!F$1,4+6*($AJ219-1))="","",INDEX($A$1:$AI$44,27+Tablas!F$1,4+6*($AJ219-1)))</f>
        <v/>
      </c>
      <c r="AR219" s="2816" t="str">
        <f>IF(INDEX($A$1:$AI$44,27+Tablas!G$1,4+6*($AJ219-1))="","",INDEX($A$1:$AI$44,27+Tablas!G$1,4+6*($AJ219-1)))</f>
        <v/>
      </c>
      <c r="AS219" s="2816"/>
      <c r="AT219" s="3023">
        <f>IF(AND(ISNUMBER(FIND(V$14&amp;"+",$Q219)),V219&gt;0),MID($Q219,FIND(V$14&amp;"+",$Q219)+4,1),0)+IF(AND(ISNUMBER(FIND(X$14&amp;"+",$Q219)),X219&gt;0),MID($Q219,FIND(X$14&amp;"+",$Q219)+4,1),0)+IF(AND(ISNUMBER(FIND(Z$14&amp;"+",$Q219)),Z219&gt;0),MID($Q219,FIND(Z$14&amp;"+",$Q219)+4,1),0)+IF(AND(ISNUMBER(FIND(AB$14&amp;"+",$Q219)),AB219&gt;0),MID($Q219,FIND(AB$14&amp;"+",$Q219)+4,1),0)+IF(AND(ISNUMBER(FIND(AD$14&amp;"+",$Q219)),AD219&gt;0),MID($Q219,FIND(AD$14&amp;"+",$Q219)+4,1),0)+IF(AND(ISNUMBER(FIND(AF$14&amp;"+",$Q219)),AF219&gt;0),MID($Q219,FIND(AF$14&amp;"+",$Q219)+4,1),0)</f>
        <v>0</v>
      </c>
      <c r="AV219" s="2816" t="str">
        <f>IFERROR(VLOOKUP(F219,'Tablas Técnicas'!$C$9:$H$81,6,FALSE),"")</f>
        <v/>
      </c>
      <c r="AW219" s="3023" t="b">
        <f>OR(AV219="",OR(ISNUMBER(SEARCH($O220,AV219)),ISNUMBER(SEARCH($Q220,AV219)),ISNUMBER(SEARCH($O221,AV219)),ISNUMBER(SEARCH($Q221,AV219)),ISNUMBER(SEARCH($O222,AV219)),ISNUMBER(SEARCH($Q222,AV219)),))</f>
        <v>1</v>
      </c>
      <c r="AX219" s="3023" t="b">
        <f>AND(P211&gt;1,OR(MAX(AG228:AG234)=1,MAX(AG228:AG234)=2))</f>
        <v>0</v>
      </c>
      <c r="AZ219" s="3023"/>
      <c r="BA219" s="3023"/>
      <c r="BB219" s="2816" t="str">
        <f>IF(F219="","",F219&amp;" ("&amp;IF(AL219="","",AL219&amp;", ")&amp;IF(AM219="","",AM219&amp;", ")&amp;IF(AN219="","",AN219&amp;", ")&amp;IF(AO219="","",AO219&amp;", ")&amp;IF(AP219="","",AP219&amp;", ")&amp;IF(AQ219="","",AQ219&amp;", ")&amp;IF(AR219="","",AR219&amp;", "))</f>
        <v/>
      </c>
      <c r="BC219" s="3023" t="str">
        <f t="shared" ref="BC219" si="25">IFERROR(LEFT(BB219,LEN(BB219)-2)&amp;"), ","")</f>
        <v/>
      </c>
    </row>
    <row r="220" spans="1:55" x14ac:dyDescent="0.2">
      <c r="A220" s="3030"/>
      <c r="B220" s="3070">
        <f t="shared" si="19"/>
        <v>7</v>
      </c>
      <c r="C220" s="5106"/>
      <c r="D220" s="5096" t="s">
        <v>3218</v>
      </c>
      <c r="E220" s="5097"/>
      <c r="F220" s="5102"/>
      <c r="G220" s="5103"/>
      <c r="H220" s="5103"/>
      <c r="I220" s="5103"/>
      <c r="J220" s="5104"/>
      <c r="K220" s="5128"/>
      <c r="L220" s="5176"/>
      <c r="M220" s="5177"/>
      <c r="N220" s="2841" t="str">
        <f>IF(F220="","",SUMPRODUCT(--(INDEX('Tablas Técnicas'!$C$114:$F$200,,1)=F220),--(INDEX('Tablas Técnicas'!$C$114:$F$200,,2)=K220),INDEX('Tablas Técnicas'!$C$114:$F$200,,3)))</f>
        <v/>
      </c>
      <c r="O220" s="5178"/>
      <c r="P220" s="5179"/>
      <c r="Q220" s="5180"/>
      <c r="R220" s="5179"/>
      <c r="S220" s="3036" t="str">
        <f>IF(K220="","","Nivel: "&amp;MAX(1,SUMPRODUCT(--(INDEX('Tablas Técnicas'!$C$114:$F$200,,1)=F220),--(INDEX('Tablas Técnicas'!$C$114:$F$200,,2)=K220),INDEX('Tablas Técnicas'!$C$114:$F$200,,4))))</f>
        <v/>
      </c>
      <c r="T220" s="2842"/>
      <c r="U220" s="2843" t="str">
        <f>IFERROR("("&amp;VLOOKUP(F220,'Tablas Técnicas'!$C$86:$E$108,3,FALSE)&amp;")","")</f>
        <v/>
      </c>
      <c r="V220" s="5195" t="s">
        <v>10245</v>
      </c>
      <c r="W220" s="5196"/>
      <c r="X220" s="5196"/>
      <c r="Y220" s="5196"/>
      <c r="Z220" s="5196"/>
      <c r="AA220" s="5196"/>
      <c r="AB220" s="5196"/>
      <c r="AC220" s="5196"/>
      <c r="AD220" s="5196"/>
      <c r="AE220" s="5196"/>
      <c r="AF220" s="5196"/>
      <c r="AG220" s="5197"/>
      <c r="AH220" s="2821"/>
      <c r="AI220" s="3030"/>
      <c r="AJ220" s="2816">
        <v>1</v>
      </c>
      <c r="AL220" s="2816" t="e">
        <f>VLOOKUP(F220,'Tablas Técnicas'!$C$86:$E$108,2,FALSE)</f>
        <v>#N/A</v>
      </c>
      <c r="AN220" s="2817"/>
      <c r="AR220" s="2816"/>
      <c r="AS220" s="2816"/>
      <c r="AT220" s="2816"/>
      <c r="AU220" s="2816"/>
      <c r="AV220" s="3023"/>
      <c r="AW220" s="3023" t="b">
        <f>F220="Atadura Elemental"</f>
        <v>0</v>
      </c>
      <c r="AX220" s="3023"/>
      <c r="AZ220" s="3023"/>
      <c r="BA220" s="3023"/>
      <c r="BB220" s="3023"/>
      <c r="BC220" s="2816" t="str">
        <f>IF(F220="","",F220&amp;IF(K220="",""," ("&amp;IF(F220="Atadura Elemental",O220&amp;IF(Q220="","",", "&amp;Q220),K220)&amp;")")&amp;", ")</f>
        <v/>
      </c>
    </row>
    <row r="221" spans="1:55" ht="11.25" customHeight="1" x14ac:dyDescent="0.2">
      <c r="A221" s="3030"/>
      <c r="B221" s="3070">
        <f t="shared" si="19"/>
        <v>7</v>
      </c>
      <c r="C221" s="5106"/>
      <c r="D221" s="5098"/>
      <c r="E221" s="5099"/>
      <c r="F221" s="5171"/>
      <c r="G221" s="5172"/>
      <c r="H221" s="5172"/>
      <c r="I221" s="5172"/>
      <c r="J221" s="5173"/>
      <c r="K221" s="5114"/>
      <c r="L221" s="5156"/>
      <c r="M221" s="5157"/>
      <c r="N221" s="2844" t="str">
        <f>IF(F221="","",SUMPRODUCT(--(INDEX('Tablas Técnicas'!$C$114:$F$200,,1)=F221),--(INDEX('Tablas Técnicas'!$C$114:$F$200,,2)=K221),INDEX('Tablas Técnicas'!$C$114:$F$200,,3)))</f>
        <v/>
      </c>
      <c r="O221" s="5158"/>
      <c r="P221" s="5159"/>
      <c r="Q221" s="5160"/>
      <c r="R221" s="5159"/>
      <c r="S221" s="3039" t="str">
        <f>IF(K221="","","Nivel: "&amp;MAX(1,SUMPRODUCT(--(INDEX('Tablas Técnicas'!$C$114:$F$200,,1)=F221),--(INDEX('Tablas Técnicas'!$C$114:$F$200,,2)=K221),INDEX('Tablas Técnicas'!$C$114:$F$200,,4))))</f>
        <v/>
      </c>
      <c r="T221" s="3015"/>
      <c r="U221" s="3016" t="str">
        <f>IFERROR("("&amp;VLOOKUP(F221,'Tablas Técnicas'!$C$86:$E$108,3,FALSE)&amp;")","")</f>
        <v/>
      </c>
      <c r="V221" s="5198" t="s">
        <v>9659</v>
      </c>
      <c r="W221" s="5199"/>
      <c r="X221" s="5200"/>
      <c r="Y221" s="3025">
        <v>0</v>
      </c>
      <c r="Z221" s="5201" t="s">
        <v>9660</v>
      </c>
      <c r="AA221" s="5202"/>
      <c r="AB221" s="5203"/>
      <c r="AC221" s="3025">
        <v>0</v>
      </c>
      <c r="AD221" s="5204" t="str">
        <f>"Ki repartido / total: "&amp;AL232&amp;IF(AM231=0,""," ("&amp;AM231&amp;")")&amp;" / "&amp;AL231&amp;IF(AM232=0,""," ("&amp;AM232&amp;")")</f>
        <v>Ki repartido / total: 0 / 0</v>
      </c>
      <c r="AE221" s="5205"/>
      <c r="AF221" s="5205"/>
      <c r="AG221" s="5206"/>
      <c r="AH221" s="2821"/>
      <c r="AI221" s="3030"/>
      <c r="AJ221" s="2816">
        <v>2</v>
      </c>
      <c r="AL221" s="2816" t="e">
        <f>VLOOKUP(F221,'Tablas Técnicas'!$C$86:$E$108,2,FALSE)</f>
        <v>#N/A</v>
      </c>
      <c r="AN221" s="2817"/>
      <c r="AR221" s="2816"/>
      <c r="AS221" s="2816"/>
      <c r="AT221" s="2816"/>
      <c r="AU221" s="2816"/>
      <c r="AV221" s="3023"/>
      <c r="AW221" s="3023" t="b">
        <f>F221="Atadura Elemental"</f>
        <v>0</v>
      </c>
      <c r="AX221" s="3023"/>
      <c r="AZ221" s="3023"/>
      <c r="BA221" s="3023"/>
      <c r="BB221" s="3023"/>
      <c r="BC221" s="2816" t="str">
        <f>IF(F221="","",F221&amp;IF(K221="",""," ("&amp;IF(F221="Atadura Elemental",O221&amp;IF(Q221="","",", "&amp;Q221),K221)&amp;")")&amp;", ")</f>
        <v/>
      </c>
    </row>
    <row r="222" spans="1:55" x14ac:dyDescent="0.2">
      <c r="A222" s="3030"/>
      <c r="B222" s="3070">
        <f t="shared" si="19"/>
        <v>7</v>
      </c>
      <c r="C222" s="5106"/>
      <c r="D222" s="5100"/>
      <c r="E222" s="5101"/>
      <c r="F222" s="5168"/>
      <c r="G222" s="5169"/>
      <c r="H222" s="5169"/>
      <c r="I222" s="5169"/>
      <c r="J222" s="5170"/>
      <c r="K222" s="5148"/>
      <c r="L222" s="5149"/>
      <c r="M222" s="5150"/>
      <c r="N222" s="2845" t="str">
        <f>IF(F222="","",SUMPRODUCT(--(INDEX('Tablas Técnicas'!$C$114:$F$200,,1)=F222),--(INDEX('Tablas Técnicas'!$C$114:$F$200,,2)=K222),INDEX('Tablas Técnicas'!$C$114:$F$200,,3)))</f>
        <v/>
      </c>
      <c r="O222" s="5151"/>
      <c r="P222" s="5152"/>
      <c r="Q222" s="5153"/>
      <c r="R222" s="5152"/>
      <c r="S222" s="3032" t="str">
        <f>IF(K222="","","Nivel: "&amp;MAX(1,SUMPRODUCT(--(INDEX('Tablas Técnicas'!$C$114:$F$200,,1)=F222),--(INDEX('Tablas Técnicas'!$C$114:$F$200,,2)=K222),INDEX('Tablas Técnicas'!$C$114:$F$200,,4))))</f>
        <v/>
      </c>
      <c r="T222" s="2846"/>
      <c r="U222" s="3017" t="str">
        <f>IFERROR("("&amp;VLOOKUP(F222,'Tablas Técnicas'!$C$86:$E$108,3,FALSE)&amp;")","")</f>
        <v/>
      </c>
      <c r="V222" s="5154"/>
      <c r="W222" s="5154"/>
      <c r="X222" s="5154"/>
      <c r="Y222" s="5154"/>
      <c r="Z222" s="5154"/>
      <c r="AA222" s="5154"/>
      <c r="AB222" s="5154"/>
      <c r="AC222" s="5154"/>
      <c r="AD222" s="5154"/>
      <c r="AE222" s="5154"/>
      <c r="AF222" s="5154"/>
      <c r="AG222" s="5155"/>
      <c r="AH222" s="2821"/>
      <c r="AI222" s="3030"/>
      <c r="AJ222" s="2816">
        <v>3</v>
      </c>
      <c r="AL222" s="2816" t="e">
        <f>VLOOKUP(F222,'Tablas Técnicas'!$C$86:$E$108,2,FALSE)</f>
        <v>#N/A</v>
      </c>
      <c r="AN222" s="2817"/>
      <c r="AR222" s="3023"/>
      <c r="AT222" s="3023"/>
      <c r="AV222" s="3023"/>
      <c r="AW222" s="3023" t="b">
        <f>F222="Atadura Elemental"</f>
        <v>0</v>
      </c>
      <c r="AX222" s="3023"/>
      <c r="AZ222" s="3023"/>
      <c r="BA222" s="3023"/>
      <c r="BB222" s="3023"/>
      <c r="BC222" s="2816" t="str">
        <f>IF(F222="","",F222&amp;IF(K222="",""," ("&amp;IF(F222="Atadura Elemental",O222&amp;IF(Q222="","",", "&amp;Q222),K222)&amp;")")&amp;", ")</f>
        <v/>
      </c>
    </row>
    <row r="223" spans="1:55" x14ac:dyDescent="0.2">
      <c r="A223" s="3030"/>
      <c r="B223" s="3070">
        <f t="shared" si="19"/>
        <v>7</v>
      </c>
      <c r="C223" s="5106"/>
      <c r="D223" s="5069" t="s">
        <v>10241</v>
      </c>
      <c r="E223" s="5070"/>
      <c r="F223" s="5070"/>
      <c r="G223" s="5070"/>
      <c r="H223" s="5070"/>
      <c r="I223" s="5070"/>
      <c r="J223" s="5070"/>
      <c r="K223" s="5070"/>
      <c r="L223" s="5070"/>
      <c r="M223" s="5070"/>
      <c r="N223" s="5070"/>
      <c r="O223" s="5070"/>
      <c r="P223" s="5070"/>
      <c r="Q223" s="5070"/>
      <c r="R223" s="5070"/>
      <c r="S223" s="5070"/>
      <c r="T223" s="5070"/>
      <c r="U223" s="5070"/>
      <c r="V223" s="5070"/>
      <c r="W223" s="5070"/>
      <c r="X223" s="5070"/>
      <c r="Y223" s="5070"/>
      <c r="Z223" s="5070"/>
      <c r="AA223" s="5070"/>
      <c r="AB223" s="5070"/>
      <c r="AC223" s="5070"/>
      <c r="AD223" s="5070"/>
      <c r="AE223" s="5070"/>
      <c r="AF223" s="5070"/>
      <c r="AG223" s="5071"/>
      <c r="AH223" s="2821"/>
      <c r="AI223" s="3030"/>
      <c r="AN223" s="2817" t="s">
        <v>9661</v>
      </c>
      <c r="AO223" s="2816" t="e">
        <f>LEFT(BC215&amp;BC216&amp;BC217&amp;BC218&amp;BC219,LEN(BC215&amp;BC216&amp;BC217&amp;BC218&amp;BC219)-2)</f>
        <v>#VALUE!</v>
      </c>
      <c r="AR223" s="3023"/>
      <c r="AT223" s="2817"/>
      <c r="AU223" s="2817"/>
      <c r="AV223" s="3023"/>
      <c r="AW223" s="3023"/>
      <c r="AX223" s="3023"/>
      <c r="AZ223" s="3023"/>
      <c r="BA223" s="3023"/>
      <c r="BB223" s="3023"/>
      <c r="BC223" s="3023"/>
    </row>
    <row r="224" spans="1:55" x14ac:dyDescent="0.2">
      <c r="A224" s="3030"/>
      <c r="B224" s="3070">
        <f t="shared" si="19"/>
        <v>7</v>
      </c>
      <c r="C224" s="5106"/>
      <c r="D224" s="5066" t="str">
        <f>IF(F215="","",F215)</f>
        <v/>
      </c>
      <c r="E224" s="5067"/>
      <c r="F224" s="5067"/>
      <c r="G224" s="5067"/>
      <c r="H224" s="5067"/>
      <c r="I224" s="5068"/>
      <c r="J224" s="5066" t="str">
        <f>IF(F216="","",F216)</f>
        <v/>
      </c>
      <c r="K224" s="5067"/>
      <c r="L224" s="5067"/>
      <c r="M224" s="5067"/>
      <c r="N224" s="5067"/>
      <c r="O224" s="5068"/>
      <c r="P224" s="5067" t="str">
        <f>IF(F217="","",F217)</f>
        <v/>
      </c>
      <c r="Q224" s="5067"/>
      <c r="R224" s="5067"/>
      <c r="S224" s="5067"/>
      <c r="T224" s="5067"/>
      <c r="U224" s="5068"/>
      <c r="V224" s="5066" t="str">
        <f>IF(F218="","",F218)</f>
        <v/>
      </c>
      <c r="W224" s="5067"/>
      <c r="X224" s="5067"/>
      <c r="Y224" s="5067"/>
      <c r="Z224" s="5067"/>
      <c r="AA224" s="5068"/>
      <c r="AB224" s="5067" t="str">
        <f>IF(F219="","",F219)</f>
        <v/>
      </c>
      <c r="AC224" s="5067"/>
      <c r="AD224" s="5067"/>
      <c r="AE224" s="5067"/>
      <c r="AF224" s="5067"/>
      <c r="AG224" s="5083"/>
      <c r="AH224" s="2821"/>
      <c r="AI224" s="3030"/>
      <c r="AN224" s="2817" t="s">
        <v>9662</v>
      </c>
      <c r="AO224" s="2816" t="e">
        <f>LEFT(BC220&amp;BC221&amp;BC222,LEN(BC220&amp;BC221&amp;BC222)-2)</f>
        <v>#VALUE!</v>
      </c>
      <c r="AR224" s="3023"/>
      <c r="AT224" s="2817"/>
      <c r="AU224" s="2817"/>
      <c r="AV224" s="3023"/>
      <c r="AW224" s="3023"/>
      <c r="AX224" s="3023"/>
      <c r="AZ224" s="3023"/>
      <c r="BA224" s="3023"/>
      <c r="BB224" s="3023"/>
      <c r="BC224" s="3023"/>
    </row>
    <row r="225" spans="1:55" x14ac:dyDescent="0.2">
      <c r="A225" s="3030"/>
      <c r="B225" s="3070">
        <f t="shared" si="19"/>
        <v>7</v>
      </c>
      <c r="C225" s="5106"/>
      <c r="D225" s="3046" t="s">
        <v>2121</v>
      </c>
      <c r="E225" s="3040" t="str">
        <f>IFERROR(VLOOKUP(D224,'Tablas Técnicas'!$C$9:$H$81,3,FALSE),"")</f>
        <v/>
      </c>
      <c r="F225" s="3019"/>
      <c r="G225" s="3018"/>
      <c r="H225" s="3018" t="s">
        <v>1636</v>
      </c>
      <c r="I225" s="3040" t="str">
        <f>IFERROR(VLOOKUP(D224,'Tablas Técnicas'!$C$9:$H$81,4,FALSE),"")</f>
        <v/>
      </c>
      <c r="J225" s="3046" t="s">
        <v>2121</v>
      </c>
      <c r="K225" s="3040" t="str">
        <f>IFERROR(VLOOKUP(J224,'Tablas Técnicas'!$C$9:$H$81,3,FALSE),"")</f>
        <v/>
      </c>
      <c r="L225" s="3019"/>
      <c r="M225" s="3018"/>
      <c r="N225" s="3018" t="s">
        <v>1636</v>
      </c>
      <c r="O225" s="2847" t="str">
        <f>IFERROR(VLOOKUP(J224,'Tablas Técnicas'!$C$9:$H$81,4,FALSE),"")</f>
        <v/>
      </c>
      <c r="P225" s="3018" t="s">
        <v>2121</v>
      </c>
      <c r="Q225" s="3040" t="str">
        <f>IFERROR(VLOOKUP(P224,'Tablas Técnicas'!$C$9:$H$81,3,FALSE),"")</f>
        <v/>
      </c>
      <c r="R225" s="3019"/>
      <c r="S225" s="3018"/>
      <c r="T225" s="3018" t="s">
        <v>1636</v>
      </c>
      <c r="U225" s="3040" t="str">
        <f>IFERROR(VLOOKUP(P224,'Tablas Técnicas'!$C$9:$H$81,4,FALSE),"")</f>
        <v/>
      </c>
      <c r="V225" s="3046" t="s">
        <v>2121</v>
      </c>
      <c r="W225" s="3040" t="str">
        <f>IFERROR(VLOOKUP(V224,'Tablas Técnicas'!$C$9:$H$81,3,FALSE),"")</f>
        <v/>
      </c>
      <c r="X225" s="3019"/>
      <c r="Y225" s="3018"/>
      <c r="Z225" s="3018" t="s">
        <v>1636</v>
      </c>
      <c r="AA225" s="2847" t="str">
        <f>IFERROR(VLOOKUP(V224,'Tablas Técnicas'!$C$9:$H$81,4,FALSE),"")</f>
        <v/>
      </c>
      <c r="AB225" s="3018" t="s">
        <v>2121</v>
      </c>
      <c r="AC225" s="3040" t="str">
        <f>IFERROR(VLOOKUP(AB224,'Tablas Técnicas'!$C$9:$H$81,3,FALSE),"")</f>
        <v/>
      </c>
      <c r="AD225" s="3019"/>
      <c r="AE225" s="3018"/>
      <c r="AF225" s="3018" t="s">
        <v>1636</v>
      </c>
      <c r="AG225" s="2848" t="str">
        <f>IFERROR(VLOOKUP(AB224,'Tablas Técnicas'!$C$9:$H$81,4,FALSE),"")</f>
        <v/>
      </c>
      <c r="AH225" s="2821"/>
      <c r="AI225" s="3030"/>
      <c r="AN225" s="2817"/>
      <c r="AR225" s="3023"/>
      <c r="AT225" s="3023"/>
      <c r="AV225" s="3023"/>
      <c r="AW225" s="3023"/>
      <c r="AX225" s="3023"/>
      <c r="AZ225" s="3023"/>
      <c r="BA225" s="3023"/>
      <c r="BB225" s="3023"/>
      <c r="BC225" s="3023"/>
    </row>
    <row r="226" spans="1:55" x14ac:dyDescent="0.2">
      <c r="A226" s="3030"/>
      <c r="B226" s="3070">
        <f t="shared" si="19"/>
        <v>7</v>
      </c>
      <c r="C226" s="5106"/>
      <c r="D226" s="3047" t="s">
        <v>9663</v>
      </c>
      <c r="E226" s="3018"/>
      <c r="F226" s="3019"/>
      <c r="G226" s="3020"/>
      <c r="H226" s="3020"/>
      <c r="I226" s="3017" t="str">
        <f>AV215</f>
        <v/>
      </c>
      <c r="J226" s="2849" t="s">
        <v>9663</v>
      </c>
      <c r="K226" s="2850"/>
      <c r="L226" s="2851"/>
      <c r="M226" s="2852"/>
      <c r="N226" s="2852"/>
      <c r="O226" s="2853" t="str">
        <f>IFERROR(VLOOKUP(J224,'Tablas Técnicas'!$C$9:$H$81,6,FALSE),"")</f>
        <v/>
      </c>
      <c r="P226" s="2854" t="s">
        <v>9663</v>
      </c>
      <c r="Q226" s="2850"/>
      <c r="R226" s="2851"/>
      <c r="S226" s="2852"/>
      <c r="T226" s="2852"/>
      <c r="U226" s="2855" t="str">
        <f>IFERROR(VLOOKUP(P224,'Tablas Técnicas'!$C$9:$H$81,6,FALSE),"")</f>
        <v/>
      </c>
      <c r="V226" s="2849" t="s">
        <v>9663</v>
      </c>
      <c r="W226" s="2850"/>
      <c r="X226" s="2851"/>
      <c r="Y226" s="2852"/>
      <c r="Z226" s="2852"/>
      <c r="AA226" s="2853" t="str">
        <f>IFERROR(VLOOKUP(V224,'Tablas Técnicas'!$C$9:$H$81,6,FALSE),"")</f>
        <v/>
      </c>
      <c r="AB226" s="2854" t="s">
        <v>9663</v>
      </c>
      <c r="AC226" s="2850"/>
      <c r="AD226" s="2851"/>
      <c r="AE226" s="2852"/>
      <c r="AF226" s="2852"/>
      <c r="AG226" s="2856" t="str">
        <f>IFERROR(VLOOKUP(AB224,'Tablas Técnicas'!$C$9:$H$81,6,FALSE),"")</f>
        <v/>
      </c>
      <c r="AH226" s="2821"/>
      <c r="AI226" s="3030"/>
      <c r="AJ226" s="2816" t="s">
        <v>9664</v>
      </c>
      <c r="AR226" s="3023"/>
      <c r="AT226" s="3023"/>
      <c r="AV226" s="3023"/>
      <c r="AW226" s="3023"/>
      <c r="AX226" s="3023"/>
      <c r="AZ226" s="3023"/>
      <c r="BA226" s="3023"/>
      <c r="BB226" s="2816"/>
      <c r="BC226" s="2816"/>
    </row>
    <row r="227" spans="1:55" x14ac:dyDescent="0.2">
      <c r="A227" s="3030"/>
      <c r="B227" s="3070">
        <f t="shared" si="19"/>
        <v>7</v>
      </c>
      <c r="C227" s="5106"/>
      <c r="D227" s="5066" t="s">
        <v>3226</v>
      </c>
      <c r="E227" s="5067"/>
      <c r="F227" s="5067"/>
      <c r="G227" s="5067"/>
      <c r="H227" s="5068"/>
      <c r="I227" s="2857" t="s">
        <v>1676</v>
      </c>
      <c r="J227" s="5066" t="s">
        <v>3226</v>
      </c>
      <c r="K227" s="5067"/>
      <c r="L227" s="5067"/>
      <c r="M227" s="5067"/>
      <c r="N227" s="5068"/>
      <c r="O227" s="2858" t="s">
        <v>1676</v>
      </c>
      <c r="P227" s="5066" t="s">
        <v>3226</v>
      </c>
      <c r="Q227" s="5067"/>
      <c r="R227" s="5067"/>
      <c r="S227" s="5067"/>
      <c r="T227" s="5068"/>
      <c r="U227" s="2858" t="s">
        <v>1676</v>
      </c>
      <c r="V227" s="5066" t="s">
        <v>3226</v>
      </c>
      <c r="W227" s="5067"/>
      <c r="X227" s="5067"/>
      <c r="Y227" s="5067"/>
      <c r="Z227" s="5068"/>
      <c r="AA227" s="2858" t="s">
        <v>1676</v>
      </c>
      <c r="AB227" s="5066" t="s">
        <v>3226</v>
      </c>
      <c r="AC227" s="5067"/>
      <c r="AD227" s="5067"/>
      <c r="AE227" s="5067"/>
      <c r="AF227" s="5068"/>
      <c r="AG227" s="2859" t="s">
        <v>1676</v>
      </c>
      <c r="AH227" s="2821"/>
      <c r="AI227" s="3030"/>
      <c r="AJ227" s="2816" t="s">
        <v>9665</v>
      </c>
      <c r="AQ227" s="2816"/>
      <c r="AR227" s="2816"/>
      <c r="AS227" s="2816"/>
      <c r="AT227" s="2816"/>
      <c r="AU227" s="2816"/>
      <c r="AV227" s="2816"/>
      <c r="AW227" s="2816"/>
      <c r="AX227" s="2816"/>
      <c r="AY227" s="2816"/>
      <c r="AZ227" s="3023"/>
      <c r="BA227" s="3023"/>
      <c r="BB227" s="3023"/>
      <c r="BC227" s="3023"/>
    </row>
    <row r="228" spans="1:55" x14ac:dyDescent="0.2">
      <c r="A228" s="3030"/>
      <c r="B228" s="3070">
        <f t="shared" si="19"/>
        <v>7</v>
      </c>
      <c r="C228" s="5106"/>
      <c r="D228" s="5081"/>
      <c r="E228" s="5082"/>
      <c r="F228" s="5082"/>
      <c r="G228" s="5082"/>
      <c r="H228" s="5082"/>
      <c r="I228" s="2860" t="str">
        <f>IF(OR(D224="",D228=""),"",MAX(1,SUMPRODUCT(--(INDEX('Tablas Técnicas'!$O$10:$X$639,,1)=D224),--(INDEX('Tablas Técnicas'!$O$10:$X$639,,2)=D228),INDEX('Tablas Técnicas'!$O$10:$X$639,,9))))</f>
        <v/>
      </c>
      <c r="J228" s="5082"/>
      <c r="K228" s="5082"/>
      <c r="L228" s="5082"/>
      <c r="M228" s="5082"/>
      <c r="N228" s="5082"/>
      <c r="O228" s="2860" t="str">
        <f>IF(OR(J224="",J228=""),"",MAX(1,SUMPRODUCT(--(INDEX('Tablas Técnicas'!$O$10:$X$639,,1)=J224),--(INDEX('Tablas Técnicas'!$O$10:$X$639,,2)=J228),INDEX('Tablas Técnicas'!$O$10:$X$639,,9))))</f>
        <v/>
      </c>
      <c r="P228" s="5081"/>
      <c r="Q228" s="5082"/>
      <c r="R228" s="5082"/>
      <c r="S228" s="5082"/>
      <c r="T228" s="5082"/>
      <c r="U228" s="2860" t="str">
        <f>IF(OR(P224="",P228=""),"",MAX(1,SUMPRODUCT(--(INDEX('Tablas Técnicas'!$O$10:$X$639,,1)=P224),--(INDEX('Tablas Técnicas'!$O$10:$X$639,,2)=P228),INDEX('Tablas Técnicas'!$O$10:$X$639,,9))))</f>
        <v/>
      </c>
      <c r="V228" s="5081"/>
      <c r="W228" s="5082"/>
      <c r="X228" s="5082"/>
      <c r="Y228" s="5082"/>
      <c r="Z228" s="5082"/>
      <c r="AA228" s="2860" t="str">
        <f>IF(OR(V224="",V228=""),"",MAX(1,SUMPRODUCT(--(INDEX('Tablas Técnicas'!$O$10:$X$639,,1)=V224),--(INDEX('Tablas Técnicas'!$O$10:$X$639,,2)=V228),INDEX('Tablas Técnicas'!$O$10:$X$639,,9))))</f>
        <v/>
      </c>
      <c r="AB228" s="5081"/>
      <c r="AC228" s="5082"/>
      <c r="AD228" s="5082"/>
      <c r="AE228" s="5082"/>
      <c r="AF228" s="5082"/>
      <c r="AG228" s="2861" t="str">
        <f>IF(OR(AB224="",AB228=""),"",MAX(1,SUMPRODUCT(--(INDEX('Tablas Técnicas'!$O$10:$X$639,,1)=AB224),--(INDEX('Tablas Técnicas'!$O$10:$X$639,,2)=AB228),INDEX('Tablas Técnicas'!$O$10:$X$639,,9))))</f>
        <v/>
      </c>
      <c r="AH228" s="2821">
        <f>P211</f>
        <v>1</v>
      </c>
      <c r="AI228" s="3030"/>
      <c r="AJ228" s="2816" t="s">
        <v>9667</v>
      </c>
      <c r="AK228" s="3023"/>
      <c r="AL228" s="3023"/>
      <c r="AM228" s="3023"/>
      <c r="AN228" s="3023"/>
      <c r="AO228" s="3023"/>
      <c r="AP228" s="2824"/>
      <c r="AQ228" s="2824"/>
      <c r="AR228" s="2824"/>
      <c r="AS228" s="2824"/>
      <c r="AT228" s="2824"/>
      <c r="AU228" s="2824"/>
      <c r="AV228" s="2824"/>
      <c r="AW228" s="2824"/>
      <c r="AX228" s="2824"/>
      <c r="AY228" s="2824"/>
      <c r="AZ228" s="3023"/>
      <c r="BA228" s="3023"/>
      <c r="BB228" s="3023"/>
      <c r="BC228" s="3023"/>
    </row>
    <row r="229" spans="1:55" x14ac:dyDescent="0.2">
      <c r="A229" s="3030"/>
      <c r="B229" s="3070">
        <f t="shared" si="19"/>
        <v>7</v>
      </c>
      <c r="C229" s="5106"/>
      <c r="D229" s="5064"/>
      <c r="E229" s="5065"/>
      <c r="F229" s="5065"/>
      <c r="G229" s="5065"/>
      <c r="H229" s="5065"/>
      <c r="I229" s="2862" t="str">
        <f>IF(OR(D224="",D229=""),"",MAX(1,SUMPRODUCT(--(INDEX('Tablas Técnicas'!$O$10:$X$639,,1)=D224),--(INDEX('Tablas Técnicas'!$O$10:$X$639,,2)=D229),INDEX('Tablas Técnicas'!$O$10:$X$639,,9))))</f>
        <v/>
      </c>
      <c r="J229" s="5065"/>
      <c r="K229" s="5065"/>
      <c r="L229" s="5065"/>
      <c r="M229" s="5065"/>
      <c r="N229" s="5065"/>
      <c r="O229" s="2862" t="str">
        <f>IF(OR(J224="",J229=""),"",MAX(1,SUMPRODUCT(--(INDEX('Tablas Técnicas'!$O$10:$X$639,,1)=J224),--(INDEX('Tablas Técnicas'!$O$10:$X$639,,2)=J229),INDEX('Tablas Técnicas'!$O$10:$X$639,,9))))</f>
        <v/>
      </c>
      <c r="P229" s="5064"/>
      <c r="Q229" s="5065"/>
      <c r="R229" s="5065"/>
      <c r="S229" s="5065"/>
      <c r="T229" s="5065"/>
      <c r="U229" s="2862" t="str">
        <f>IF(OR(P224="",P229=""),"",MAX(1,SUMPRODUCT(--(INDEX('Tablas Técnicas'!$O$10:$X$639,,1)=P224),--(INDEX('Tablas Técnicas'!$O$10:$X$639,,2)=P229),INDEX('Tablas Técnicas'!$O$10:$X$639,,9))))</f>
        <v/>
      </c>
      <c r="V229" s="5064"/>
      <c r="W229" s="5065"/>
      <c r="X229" s="5065"/>
      <c r="Y229" s="5065"/>
      <c r="Z229" s="5065"/>
      <c r="AA229" s="2862" t="str">
        <f>IF(OR(V224="",V229=""),"",MAX(1,SUMPRODUCT(--(INDEX('Tablas Técnicas'!$O$10:$X$639,,1)=V224),--(INDEX('Tablas Técnicas'!$O$10:$X$639,,2)=V229),INDEX('Tablas Técnicas'!$O$10:$X$639,,9))))</f>
        <v/>
      </c>
      <c r="AB229" s="5064"/>
      <c r="AC229" s="5065"/>
      <c r="AD229" s="5065"/>
      <c r="AE229" s="5065"/>
      <c r="AF229" s="5065"/>
      <c r="AG229" s="2863" t="str">
        <f>IF(OR(AB224="",AB229=""),"",MAX(1,SUMPRODUCT(--(INDEX('Tablas Técnicas'!$O$10:$X$639,,1)=AB224),--(INDEX('Tablas Técnicas'!$O$10:$X$639,,2)=AB229),INDEX('Tablas Técnicas'!$O$10:$X$639,,9))))</f>
        <v/>
      </c>
      <c r="AH229" s="2821">
        <f>P211</f>
        <v>1</v>
      </c>
      <c r="AI229" s="3030"/>
      <c r="AJ229" s="3023" t="s">
        <v>1646</v>
      </c>
      <c r="AK229" s="3023" t="s">
        <v>1772</v>
      </c>
      <c r="AL229" s="3023" t="s">
        <v>1651</v>
      </c>
      <c r="AM229" s="3023" t="s">
        <v>1656</v>
      </c>
      <c r="AN229" s="3023" t="s">
        <v>1664</v>
      </c>
      <c r="AO229" s="3023" t="s">
        <v>1665</v>
      </c>
      <c r="AQ229" s="2816"/>
      <c r="AR229" s="2816"/>
      <c r="AS229" s="2816"/>
      <c r="AT229" s="2816"/>
      <c r="AU229" s="2816"/>
      <c r="AV229" s="3023"/>
      <c r="AW229" s="2816"/>
      <c r="AX229" s="2816"/>
      <c r="AY229" s="2816"/>
      <c r="AZ229" s="2816"/>
      <c r="BA229" s="2816"/>
      <c r="BB229" s="2816"/>
      <c r="BC229" s="2816"/>
    </row>
    <row r="230" spans="1:55" x14ac:dyDescent="0.2">
      <c r="A230" s="3030"/>
      <c r="B230" s="3070">
        <f t="shared" si="19"/>
        <v>7</v>
      </c>
      <c r="C230" s="5106"/>
      <c r="D230" s="5064"/>
      <c r="E230" s="5065"/>
      <c r="F230" s="5065"/>
      <c r="G230" s="5065"/>
      <c r="H230" s="5065"/>
      <c r="I230" s="2862" t="str">
        <f>IF(OR(D224="",D230=""),"",MAX(1,SUMPRODUCT(--(INDEX('Tablas Técnicas'!$O$10:$X$639,,1)=D224),--(INDEX('Tablas Técnicas'!$O$10:$X$639,,2)=D230),INDEX('Tablas Técnicas'!$O$10:$X$639,,9))))</f>
        <v/>
      </c>
      <c r="J230" s="5065"/>
      <c r="K230" s="5065"/>
      <c r="L230" s="5065"/>
      <c r="M230" s="5065"/>
      <c r="N230" s="5065"/>
      <c r="O230" s="2862" t="str">
        <f>IF(OR(J224="",J230=""),"",MAX(1,SUMPRODUCT(--(INDEX('Tablas Técnicas'!$O$10:$X$639,,1)=J224),--(INDEX('Tablas Técnicas'!$O$10:$X$639,,2)=J230),INDEX('Tablas Técnicas'!$O$10:$X$639,,9))))</f>
        <v/>
      </c>
      <c r="P230" s="5064"/>
      <c r="Q230" s="5065"/>
      <c r="R230" s="5065"/>
      <c r="S230" s="5065"/>
      <c r="T230" s="5065"/>
      <c r="U230" s="2862" t="str">
        <f>IF(OR(P224="",P230=""),"",MAX(1,SUMPRODUCT(--(INDEX('Tablas Técnicas'!$O$10:$X$639,,1)=P224),--(INDEX('Tablas Técnicas'!$O$10:$X$639,,2)=P230),INDEX('Tablas Técnicas'!$O$10:$X$639,,9))))</f>
        <v/>
      </c>
      <c r="V230" s="5064"/>
      <c r="W230" s="5065"/>
      <c r="X230" s="5065"/>
      <c r="Y230" s="5065"/>
      <c r="Z230" s="5065"/>
      <c r="AA230" s="2862" t="str">
        <f>IF(OR(V224="",V230=""),"",MAX(1,SUMPRODUCT(--(INDEX('Tablas Técnicas'!$O$10:$X$639,,1)=V224),--(INDEX('Tablas Técnicas'!$O$10:$X$639,,2)=V230),INDEX('Tablas Técnicas'!$O$10:$X$639,,9))))</f>
        <v/>
      </c>
      <c r="AB230" s="5064"/>
      <c r="AC230" s="5065"/>
      <c r="AD230" s="5065"/>
      <c r="AE230" s="5065"/>
      <c r="AF230" s="5065"/>
      <c r="AG230" s="2863" t="str">
        <f>IF(OR(AB224="",AB230=""),"",MAX(1,SUMPRODUCT(--(INDEX('Tablas Técnicas'!$O$10:$X$639,,1)=AB224),--(INDEX('Tablas Técnicas'!$O$10:$X$639,,2)=AB230),INDEX('Tablas Técnicas'!$O$10:$X$639,,9))))</f>
        <v/>
      </c>
      <c r="AH230" s="2821">
        <f>P211</f>
        <v>1</v>
      </c>
      <c r="AI230" s="3030"/>
      <c r="AJ230" s="2816" t="str">
        <f>IF(V213="","",IF(SUM(V215:V219)=0,"",V213&amp;" "&amp;SUM(V215:V219)+V222&amp;IF(SUM(W215)=0,""," ("&amp;SUM(W215)&amp;")")&amp;", "))</f>
        <v/>
      </c>
      <c r="AK230" s="2816" t="str">
        <f>IF(X213="","",IF(SUM(X215:X219)=0,"",X213&amp;" "&amp;SUM(X215:X219)+X222&amp;IF(SUM(Y215)=0,""," ("&amp;SUM(Y215)&amp;")")&amp;", "))</f>
        <v/>
      </c>
      <c r="AL230" s="2816" t="str">
        <f>IF(Z213="","",IF(SUM(Z215:Z219)=0,"",Z213&amp;" "&amp;SUM(Z215:Z219)+Z222&amp;IF(SUM(AA215)=0,""," ("&amp;SUM(AA215)&amp;")")&amp;", "))</f>
        <v/>
      </c>
      <c r="AM230" s="2816" t="str">
        <f>IF(AB213="","",IF(SUM(AB215:AB219)=0,"",AB213&amp;" "&amp;SUM(AB215:AB219)+AB222&amp;IF(SUM(AC215)=0,""," ("&amp;SUM(AC215)&amp;")")&amp;", "))</f>
        <v/>
      </c>
      <c r="AN230" s="2816" t="str">
        <f>IF(AD213="","",IF(SUM(AD215:AD219)=0,"",AD213&amp;" "&amp;SUM(AD215:AD219)+AD222&amp;IF(SUM(AE215)=0,""," ("&amp;SUM(AE215)&amp;")")&amp;", "))</f>
        <v/>
      </c>
      <c r="AO230" s="2816" t="str">
        <f>IF(AF213="","",IF(SUM(AF215:AF219)=0,"",AF213&amp;" "&amp;SUM(AF215:AF219)+AF222&amp;IF(SUM(AG215)=0,""," ("&amp;SUM(AG215)&amp;")")&amp;", "))</f>
        <v/>
      </c>
      <c r="AQ230" s="2816"/>
      <c r="AR230" s="2816"/>
      <c r="AS230" s="2816"/>
      <c r="AT230" s="2816"/>
      <c r="AU230" s="2816"/>
      <c r="AV230" s="3023"/>
      <c r="AW230" s="3023"/>
      <c r="AX230" s="3023"/>
      <c r="AZ230" s="3023"/>
      <c r="BA230" s="3023"/>
      <c r="BB230" s="2816"/>
      <c r="BC230" s="2816"/>
    </row>
    <row r="231" spans="1:55" x14ac:dyDescent="0.2">
      <c r="A231" s="3030"/>
      <c r="B231" s="3070">
        <f t="shared" si="19"/>
        <v>7</v>
      </c>
      <c r="C231" s="5106"/>
      <c r="D231" s="5064"/>
      <c r="E231" s="5065"/>
      <c r="F231" s="5065"/>
      <c r="G231" s="5065"/>
      <c r="H231" s="5065"/>
      <c r="I231" s="2862" t="str">
        <f>IF(OR(D224="",D231=""),"",MAX(1,SUMPRODUCT(--(INDEX('Tablas Técnicas'!$O$10:$X$639,,1)=D224),--(INDEX('Tablas Técnicas'!$O$10:$X$639,,2)=D231),INDEX('Tablas Técnicas'!$O$10:$X$639,,9))))</f>
        <v/>
      </c>
      <c r="J231" s="5065"/>
      <c r="K231" s="5065"/>
      <c r="L231" s="5065"/>
      <c r="M231" s="5065"/>
      <c r="N231" s="5065"/>
      <c r="O231" s="2862" t="str">
        <f>IF(OR(J224="",J231=""),"",MAX(1,SUMPRODUCT(--(INDEX('Tablas Técnicas'!$O$10:$X$639,,1)=J224),--(INDEX('Tablas Técnicas'!$O$10:$X$639,,2)=J231),INDEX('Tablas Técnicas'!$O$10:$X$639,,9))))</f>
        <v/>
      </c>
      <c r="P231" s="5064"/>
      <c r="Q231" s="5065"/>
      <c r="R231" s="5065"/>
      <c r="S231" s="5065"/>
      <c r="T231" s="5065"/>
      <c r="U231" s="2862" t="str">
        <f>IF(OR(P224="",P231=""),"",MAX(1,SUMPRODUCT(--(INDEX('Tablas Técnicas'!$O$10:$X$639,,1)=P224),--(INDEX('Tablas Técnicas'!$O$10:$X$639,,2)=P231),INDEX('Tablas Técnicas'!$O$10:$X$639,,9))))</f>
        <v/>
      </c>
      <c r="V231" s="5064"/>
      <c r="W231" s="5065"/>
      <c r="X231" s="5065"/>
      <c r="Y231" s="5065"/>
      <c r="Z231" s="5065"/>
      <c r="AA231" s="2862" t="str">
        <f>IF(OR(V224="",V231=""),"",MAX(1,SUMPRODUCT(--(INDEX('Tablas Técnicas'!$O$10:$X$639,,1)=V224),--(INDEX('Tablas Técnicas'!$O$10:$X$639,,2)=V231),INDEX('Tablas Técnicas'!$O$10:$X$639,,9))))</f>
        <v/>
      </c>
      <c r="AB231" s="5064"/>
      <c r="AC231" s="5065"/>
      <c r="AD231" s="5065"/>
      <c r="AE231" s="5065"/>
      <c r="AF231" s="5065"/>
      <c r="AG231" s="2863" t="str">
        <f>IF(OR(AB224="",AB231=""),"",MAX(1,SUMPRODUCT(--(INDEX('Tablas Técnicas'!$O$10:$X$639,,1)=AB224),--(INDEX('Tablas Técnicas'!$O$10:$X$639,,2)=AB231),INDEX('Tablas Técnicas'!$O$10:$X$639,,9))))</f>
        <v/>
      </c>
      <c r="AH231" s="2821">
        <f>P211</f>
        <v>1</v>
      </c>
      <c r="AI231" s="3030"/>
      <c r="AJ231" s="2816" t="s">
        <v>10242</v>
      </c>
      <c r="AL231" s="2816">
        <f t="array" ref="AL231">MAX(0,SUM(VALUE(RIGHT(O215:O219,2)))+ABS($AC221*2/5))+IF(AM238,Y221,0)+IF(S211="Si",3*P211,0)</f>
        <v>0</v>
      </c>
      <c r="AM231" s="2816">
        <f t="array" ref="AM231">IF(ISNUMBER(SEARCH("Mantenido",K215&amp;K216&amp;K217&amp;K218&amp;K219)),MAX(0,SUM(VALUE(RIGHT($P215:$P219,2)))),0)</f>
        <v>0</v>
      </c>
      <c r="AR231" s="3023"/>
      <c r="AT231" s="3023"/>
      <c r="AV231" s="3023"/>
      <c r="AW231" s="3023"/>
      <c r="AX231" s="3023"/>
      <c r="AZ231" s="3023"/>
      <c r="BA231" s="3023"/>
      <c r="BB231" s="2816"/>
      <c r="BC231" s="2816"/>
    </row>
    <row r="232" spans="1:55" x14ac:dyDescent="0.2">
      <c r="A232" s="3030"/>
      <c r="B232" s="3070">
        <f t="shared" si="19"/>
        <v>7</v>
      </c>
      <c r="C232" s="5106"/>
      <c r="D232" s="5064"/>
      <c r="E232" s="5065"/>
      <c r="F232" s="5065"/>
      <c r="G232" s="5065"/>
      <c r="H232" s="5065"/>
      <c r="I232" s="2862" t="str">
        <f>IF(OR(D224="",D232=""),"",MAX(1,SUMPRODUCT(--(INDEX('Tablas Técnicas'!$O$10:$X$639,,1)=D224),--(INDEX('Tablas Técnicas'!$O$10:$X$639,,2)=D232),INDEX('Tablas Técnicas'!$O$10:$X$639,,9))))</f>
        <v/>
      </c>
      <c r="J232" s="5065"/>
      <c r="K232" s="5065"/>
      <c r="L232" s="5065"/>
      <c r="M232" s="5065"/>
      <c r="N232" s="5065"/>
      <c r="O232" s="2862" t="str">
        <f>IF(OR(J224="",J232=""),"",MAX(1,SUMPRODUCT(--(INDEX('Tablas Técnicas'!$O$10:$X$639,,1)=J224),--(INDEX('Tablas Técnicas'!$O$10:$X$639,,2)=J232),INDEX('Tablas Técnicas'!$O$10:$X$639,,9))))</f>
        <v/>
      </c>
      <c r="P232" s="5064"/>
      <c r="Q232" s="5065"/>
      <c r="R232" s="5065"/>
      <c r="S232" s="5065"/>
      <c r="T232" s="5065"/>
      <c r="U232" s="2862" t="str">
        <f>IF(OR(P224="",P232=""),"",MAX(1,SUMPRODUCT(--(INDEX('Tablas Técnicas'!$O$10:$X$639,,1)=P224),--(INDEX('Tablas Técnicas'!$O$10:$X$639,,2)=P232),INDEX('Tablas Técnicas'!$O$10:$X$639,,9))))</f>
        <v/>
      </c>
      <c r="V232" s="5064"/>
      <c r="W232" s="5065"/>
      <c r="X232" s="5065"/>
      <c r="Y232" s="5065"/>
      <c r="Z232" s="5065"/>
      <c r="AA232" s="2862" t="str">
        <f>IF(OR(V224="",V232=""),"",MAX(1,SUMPRODUCT(--(INDEX('Tablas Técnicas'!$O$10:$X$639,,1)=V224),--(INDEX('Tablas Técnicas'!$O$10:$X$639,,2)=V232),INDEX('Tablas Técnicas'!$O$10:$X$639,,9))))</f>
        <v/>
      </c>
      <c r="AB232" s="5064"/>
      <c r="AC232" s="5065"/>
      <c r="AD232" s="5065"/>
      <c r="AE232" s="5065"/>
      <c r="AF232" s="5065"/>
      <c r="AG232" s="2863" t="str">
        <f>IF(OR(AB224="",AB232=""),"",MAX(1,SUMPRODUCT(--(INDEX('Tablas Técnicas'!$O$10:$X$639,,1)=AB224),--(INDEX('Tablas Técnicas'!$O$10:$X$639,,2)=AB232),INDEX('Tablas Técnicas'!$O$10:$X$639,,9))))</f>
        <v/>
      </c>
      <c r="AH232" s="2821">
        <f>P211</f>
        <v>1</v>
      </c>
      <c r="AI232" s="3030"/>
      <c r="AJ232" s="2816" t="s">
        <v>9668</v>
      </c>
      <c r="AL232" s="2816">
        <f>SUM(V215:V219,X215:X219,Z215:Z219,AB215:AB219,AD215:AD219,AF215:AF219)+SUM(V222:AG222)</f>
        <v>0</v>
      </c>
      <c r="AM232" s="2816">
        <f>SUM(W215:W219,Y215:Y219,AA215:AA219,AC215:AC219,AE215:AE219,AG215:AG219)</f>
        <v>0</v>
      </c>
      <c r="AR232" s="3023"/>
      <c r="AT232" s="3023"/>
      <c r="AV232" s="3023"/>
      <c r="AW232" s="3023"/>
      <c r="AX232" s="3023"/>
      <c r="AZ232" s="3023"/>
      <c r="BA232" s="3023"/>
      <c r="BB232" s="2816"/>
      <c r="BC232" s="2816"/>
    </row>
    <row r="233" spans="1:55" x14ac:dyDescent="0.2">
      <c r="A233" s="3030"/>
      <c r="B233" s="3070">
        <f t="shared" si="19"/>
        <v>7</v>
      </c>
      <c r="C233" s="5106"/>
      <c r="D233" s="5064"/>
      <c r="E233" s="5065"/>
      <c r="F233" s="5065"/>
      <c r="G233" s="5065"/>
      <c r="H233" s="5065"/>
      <c r="I233" s="2862" t="str">
        <f>IF(OR(D224="",D233=""),"",MAX(1,SUMPRODUCT(--(INDEX('Tablas Técnicas'!$O$10:$X$639,,1)=D224),--(INDEX('Tablas Técnicas'!$O$10:$X$639,,2)=D233),INDEX('Tablas Técnicas'!$O$10:$X$639,,9))))</f>
        <v/>
      </c>
      <c r="J233" s="5065"/>
      <c r="K233" s="5065"/>
      <c r="L233" s="5065"/>
      <c r="M233" s="5065"/>
      <c r="N233" s="5065"/>
      <c r="O233" s="2862" t="str">
        <f>IF(OR(J224="",J233=""),"",MAX(1,SUMPRODUCT(--(INDEX('Tablas Técnicas'!$O$10:$X$639,,1)=J224),--(INDEX('Tablas Técnicas'!$O$10:$X$639,,2)=J233),INDEX('Tablas Técnicas'!$O$10:$X$639,,9))))</f>
        <v/>
      </c>
      <c r="P233" s="5064"/>
      <c r="Q233" s="5065"/>
      <c r="R233" s="5065"/>
      <c r="S233" s="5065"/>
      <c r="T233" s="5065"/>
      <c r="U233" s="2862" t="str">
        <f>IF(OR(P224="",P233=""),"",MAX(1,SUMPRODUCT(--(INDEX('Tablas Técnicas'!$O$10:$X$639,,1)=P224),--(INDEX('Tablas Técnicas'!$O$10:$X$639,,2)=P233),INDEX('Tablas Técnicas'!$O$10:$X$639,,9))))</f>
        <v/>
      </c>
      <c r="V233" s="5064"/>
      <c r="W233" s="5065"/>
      <c r="X233" s="5065"/>
      <c r="Y233" s="5065"/>
      <c r="Z233" s="5065"/>
      <c r="AA233" s="2862" t="str">
        <f>IF(OR(V224="",V233=""),"",MAX(1,SUMPRODUCT(--(INDEX('Tablas Técnicas'!$O$10:$X$639,,1)=V224),--(INDEX('Tablas Técnicas'!$O$10:$X$639,,2)=V233),INDEX('Tablas Técnicas'!$O$10:$X$639,,9))))</f>
        <v/>
      </c>
      <c r="AB233" s="5064"/>
      <c r="AC233" s="5065"/>
      <c r="AD233" s="5065"/>
      <c r="AE233" s="5065"/>
      <c r="AF233" s="5065"/>
      <c r="AG233" s="2863" t="str">
        <f>IF(OR(AB224="",AB233=""),"",MAX(1,SUMPRODUCT(--(INDEX('Tablas Técnicas'!$O$10:$X$639,,1)=AB224),--(INDEX('Tablas Técnicas'!$O$10:$X$639,,2)=AB233),INDEX('Tablas Técnicas'!$O$10:$X$639,,9))))</f>
        <v/>
      </c>
      <c r="AH233" s="2821">
        <f>P211</f>
        <v>1</v>
      </c>
      <c r="AI233" s="3030"/>
      <c r="AR233" s="3023"/>
      <c r="AT233" s="3023"/>
      <c r="AV233" s="3023"/>
      <c r="AW233" s="3023"/>
      <c r="AX233" s="3023"/>
      <c r="AZ233" s="3023"/>
      <c r="BA233" s="3023"/>
      <c r="BB233" s="2816"/>
      <c r="BC233" s="2816"/>
    </row>
    <row r="234" spans="1:55" x14ac:dyDescent="0.2">
      <c r="A234" s="3030"/>
      <c r="B234" s="3070">
        <f t="shared" si="19"/>
        <v>7</v>
      </c>
      <c r="C234" s="5106"/>
      <c r="D234" s="5079"/>
      <c r="E234" s="5080"/>
      <c r="F234" s="5080"/>
      <c r="G234" s="5080"/>
      <c r="H234" s="5080"/>
      <c r="I234" s="2864" t="str">
        <f>IF(OR(D224="",D234=""),"",MAX(1,SUMPRODUCT(--(INDEX('Tablas Técnicas'!$O$10:$X$639,,1)=D224),--(INDEX('Tablas Técnicas'!$O$10:$X$639,,2)=D234),INDEX('Tablas Técnicas'!$O$10:$X$639,,9))))</f>
        <v/>
      </c>
      <c r="J234" s="5080"/>
      <c r="K234" s="5080"/>
      <c r="L234" s="5080"/>
      <c r="M234" s="5080"/>
      <c r="N234" s="5080"/>
      <c r="O234" s="2864" t="str">
        <f>IF(OR(J224="",J234=""),"",MAX(1,SUMPRODUCT(--(INDEX('Tablas Técnicas'!$O$10:$X$639,,1)=J224),--(INDEX('Tablas Técnicas'!$O$10:$X$639,,2)=J234),INDEX('Tablas Técnicas'!$O$10:$X$639,,9))))</f>
        <v/>
      </c>
      <c r="P234" s="5079"/>
      <c r="Q234" s="5080"/>
      <c r="R234" s="5080"/>
      <c r="S234" s="5080"/>
      <c r="T234" s="5080"/>
      <c r="U234" s="2864" t="str">
        <f>IF(OR(P224="",P234=""),"",MAX(1,SUMPRODUCT(--(INDEX('Tablas Técnicas'!$O$10:$X$639,,1)=P224),--(INDEX('Tablas Técnicas'!$O$10:$X$639,,2)=P234),INDEX('Tablas Técnicas'!$O$10:$X$639,,9))))</f>
        <v/>
      </c>
      <c r="V234" s="5079"/>
      <c r="W234" s="5080"/>
      <c r="X234" s="5080"/>
      <c r="Y234" s="5080"/>
      <c r="Z234" s="5080"/>
      <c r="AA234" s="2864" t="str">
        <f>IF(OR(V224="",V234=""),"",MAX(1,SUMPRODUCT(--(INDEX('Tablas Técnicas'!$O$10:$X$639,,1)=V224),--(INDEX('Tablas Técnicas'!$O$10:$X$639,,2)=V234),INDEX('Tablas Técnicas'!$O$10:$X$639,,9))))</f>
        <v/>
      </c>
      <c r="AB234" s="5079"/>
      <c r="AC234" s="5080"/>
      <c r="AD234" s="5080"/>
      <c r="AE234" s="5080"/>
      <c r="AF234" s="5080"/>
      <c r="AG234" s="2865" t="str">
        <f>IF(OR(AB224="",AB234=""),"",MAX(1,SUMPRODUCT(--(INDEX('Tablas Técnicas'!$O$10:$X$639,,1)=AB224),--(INDEX('Tablas Técnicas'!$O$10:$X$639,,2)=AB234),INDEX('Tablas Técnicas'!$O$10:$X$639,,9))))</f>
        <v/>
      </c>
      <c r="AH234" s="2821">
        <f>P211</f>
        <v>1</v>
      </c>
      <c r="AI234" s="3030"/>
      <c r="AJ234" s="2816" t="s">
        <v>9669</v>
      </c>
      <c r="AR234" s="3023"/>
      <c r="AT234" s="3023"/>
      <c r="AV234" s="3023"/>
      <c r="AW234" s="3023"/>
      <c r="AX234" s="3023"/>
      <c r="AZ234" s="3023"/>
      <c r="BA234" s="3023"/>
      <c r="BB234" s="2816"/>
      <c r="BC234" s="2816"/>
    </row>
    <row r="235" spans="1:55" x14ac:dyDescent="0.2">
      <c r="A235" s="3030"/>
      <c r="B235" s="3070">
        <f t="shared" si="19"/>
        <v>7</v>
      </c>
      <c r="C235" s="5106"/>
      <c r="D235" s="5069" t="s">
        <v>1824</v>
      </c>
      <c r="E235" s="5070"/>
      <c r="F235" s="5070"/>
      <c r="G235" s="5070"/>
      <c r="H235" s="5070"/>
      <c r="I235" s="5070"/>
      <c r="J235" s="5070"/>
      <c r="K235" s="5070"/>
      <c r="L235" s="5070"/>
      <c r="M235" s="5070"/>
      <c r="N235" s="5070"/>
      <c r="O235" s="5070"/>
      <c r="P235" s="5070"/>
      <c r="Q235" s="5070"/>
      <c r="R235" s="5070"/>
      <c r="S235" s="5070"/>
      <c r="T235" s="5070"/>
      <c r="U235" s="5070"/>
      <c r="V235" s="5070"/>
      <c r="W235" s="5070"/>
      <c r="X235" s="5070"/>
      <c r="Y235" s="5070"/>
      <c r="Z235" s="5070"/>
      <c r="AA235" s="5070"/>
      <c r="AB235" s="5070"/>
      <c r="AC235" s="5070"/>
      <c r="AD235" s="5070"/>
      <c r="AE235" s="5070"/>
      <c r="AF235" s="5070"/>
      <c r="AG235" s="5071"/>
      <c r="AH235" s="2821"/>
      <c r="AI235" s="3030"/>
      <c r="AJ235" s="2816" t="s">
        <v>9670</v>
      </c>
      <c r="AM235" s="2816" t="b">
        <f t="array" ref="AM235">MAX(I228:I234,O228:O234,U228:U234,AA228:AA234,AG228:AG234,RIGHT(S220:S222,1))&gt;P211</f>
        <v>0</v>
      </c>
      <c r="AR235" s="3023"/>
      <c r="AT235" s="3023"/>
      <c r="AV235" s="3023"/>
      <c r="AW235" s="3023"/>
      <c r="AX235" s="3023"/>
      <c r="AZ235" s="3023"/>
      <c r="BA235" s="3023"/>
      <c r="BB235" s="2816" t="str">
        <f>$F219&amp;INDEX($D228:$AG234,Tablas!E$1,1+6*(Tablas!$A$4-1))</f>
        <v/>
      </c>
      <c r="BC235" s="2816" t="str">
        <f>$F219&amp;INDEX($D228:$AG234,Tablas!F$1,1+6*(Tablas!$A$4-1))</f>
        <v/>
      </c>
    </row>
    <row r="236" spans="1:55" x14ac:dyDescent="0.2">
      <c r="A236" s="3030"/>
      <c r="B236" s="3070">
        <f t="shared" si="19"/>
        <v>7</v>
      </c>
      <c r="C236" s="5106"/>
      <c r="D236" s="5072"/>
      <c r="E236" s="5073"/>
      <c r="F236" s="5073"/>
      <c r="G236" s="5073"/>
      <c r="H236" s="5073"/>
      <c r="I236" s="5073"/>
      <c r="J236" s="5073"/>
      <c r="K236" s="5073"/>
      <c r="L236" s="5073"/>
      <c r="M236" s="5073"/>
      <c r="N236" s="5073"/>
      <c r="O236" s="5073"/>
      <c r="P236" s="5073"/>
      <c r="Q236" s="5073"/>
      <c r="R236" s="5073"/>
      <c r="S236" s="5073"/>
      <c r="T236" s="5073"/>
      <c r="U236" s="5073"/>
      <c r="V236" s="5073"/>
      <c r="W236" s="5073"/>
      <c r="X236" s="5073"/>
      <c r="Y236" s="5073"/>
      <c r="Z236" s="5073"/>
      <c r="AA236" s="5073"/>
      <c r="AB236" s="5073"/>
      <c r="AC236" s="5073"/>
      <c r="AD236" s="5073"/>
      <c r="AE236" s="5073"/>
      <c r="AF236" s="5073"/>
      <c r="AG236" s="5074"/>
      <c r="AH236" s="2821"/>
      <c r="AI236" s="3030"/>
      <c r="AJ236" s="2816" t="s">
        <v>10243</v>
      </c>
      <c r="AM236" s="2816" t="b">
        <f>NOT(AND(AW215:AW219))</f>
        <v>0</v>
      </c>
      <c r="AR236" s="3023"/>
      <c r="AT236" s="3023"/>
      <c r="AV236" s="3023"/>
      <c r="AW236" s="3023"/>
      <c r="AX236" s="3023"/>
      <c r="AZ236" s="3023"/>
      <c r="BA236" s="3023"/>
      <c r="BB236" s="2816"/>
      <c r="BC236" s="2816"/>
    </row>
    <row r="237" spans="1:55" x14ac:dyDescent="0.2">
      <c r="A237" s="3030"/>
      <c r="B237" s="3070">
        <f t="shared" si="19"/>
        <v>7</v>
      </c>
      <c r="C237" s="5106"/>
      <c r="D237" s="5072"/>
      <c r="E237" s="5073"/>
      <c r="F237" s="5073"/>
      <c r="G237" s="5073"/>
      <c r="H237" s="5073"/>
      <c r="I237" s="5073"/>
      <c r="J237" s="5073"/>
      <c r="K237" s="5073"/>
      <c r="L237" s="5073"/>
      <c r="M237" s="5073"/>
      <c r="N237" s="5073"/>
      <c r="O237" s="5073"/>
      <c r="P237" s="5073"/>
      <c r="Q237" s="5073"/>
      <c r="R237" s="5073"/>
      <c r="S237" s="5073"/>
      <c r="T237" s="5073"/>
      <c r="U237" s="5073"/>
      <c r="V237" s="5073"/>
      <c r="W237" s="5073"/>
      <c r="X237" s="5073"/>
      <c r="Y237" s="5073"/>
      <c r="Z237" s="5073"/>
      <c r="AA237" s="5073"/>
      <c r="AB237" s="5073"/>
      <c r="AC237" s="5073"/>
      <c r="AD237" s="5073"/>
      <c r="AE237" s="5073"/>
      <c r="AF237" s="5073"/>
      <c r="AG237" s="5074"/>
      <c r="AH237" s="2821"/>
      <c r="AI237" s="3030"/>
      <c r="AJ237" s="2816" t="s">
        <v>10244</v>
      </c>
      <c r="AM237" s="2816" t="b">
        <f>AL231-AL232+AM231-AM232&lt;&gt;0</f>
        <v>0</v>
      </c>
      <c r="AR237" s="3023"/>
      <c r="AT237" s="3023"/>
      <c r="AV237" s="3023"/>
      <c r="AW237" s="3023"/>
      <c r="AX237" s="3023"/>
      <c r="AZ237" s="3023"/>
      <c r="BA237" s="3023"/>
      <c r="BB237" s="2816"/>
      <c r="BC237" s="2816"/>
    </row>
    <row r="238" spans="1:55" x14ac:dyDescent="0.2">
      <c r="A238" s="3030"/>
      <c r="B238" s="3070">
        <f t="shared" si="19"/>
        <v>7</v>
      </c>
      <c r="C238" s="5106"/>
      <c r="D238" s="5072"/>
      <c r="E238" s="5073"/>
      <c r="F238" s="5073"/>
      <c r="G238" s="5073"/>
      <c r="H238" s="5073"/>
      <c r="I238" s="5073"/>
      <c r="J238" s="5073"/>
      <c r="K238" s="5073"/>
      <c r="L238" s="5073"/>
      <c r="M238" s="5073"/>
      <c r="N238" s="5073"/>
      <c r="O238" s="5073"/>
      <c r="P238" s="5073"/>
      <c r="Q238" s="5073"/>
      <c r="R238" s="5073"/>
      <c r="S238" s="5073"/>
      <c r="T238" s="5073"/>
      <c r="U238" s="5073"/>
      <c r="V238" s="5073"/>
      <c r="W238" s="5073"/>
      <c r="X238" s="5073"/>
      <c r="Y238" s="5073"/>
      <c r="Z238" s="5073"/>
      <c r="AA238" s="5073"/>
      <c r="AB238" s="5073"/>
      <c r="AC238" s="5073"/>
      <c r="AD238" s="5073"/>
      <c r="AE238" s="5073"/>
      <c r="AF238" s="5073"/>
      <c r="AG238" s="5074"/>
      <c r="AH238" s="2821"/>
      <c r="AI238" s="3030"/>
      <c r="AJ238" s="2816" t="s">
        <v>10247</v>
      </c>
      <c r="AM238" s="2816" t="b">
        <f>(IF(SUM(V215:V219)&gt;0,1,0)+IF(SUM(X215:X219)&gt;0,1,0)+IF(SUM(Z215:Z219)&gt;0,1,0)+IF(SUM(AB215:AB219)&gt;0,1,0)+IF(SUM(AD215:AD219,)&gt;0,1,0)+IF(SUM(AF215:AF219)&gt;0,1,0))&lt;3</f>
        <v>1</v>
      </c>
      <c r="AQ238" s="2816"/>
      <c r="AR238" s="2817"/>
      <c r="AS238" s="2817"/>
      <c r="AT238" s="3023"/>
      <c r="AV238" s="3023"/>
      <c r="AW238" s="3023"/>
      <c r="AX238" s="3023"/>
      <c r="AZ238" s="3023"/>
      <c r="BA238" s="3023"/>
      <c r="BB238" s="2816"/>
      <c r="BC238" s="2816"/>
    </row>
    <row r="239" spans="1:55" x14ac:dyDescent="0.2">
      <c r="A239" s="3030"/>
      <c r="B239" s="3070">
        <f t="shared" ref="B239:B302" si="26">1+B206</f>
        <v>7</v>
      </c>
      <c r="C239" s="5106"/>
      <c r="D239" s="5072"/>
      <c r="E239" s="5073"/>
      <c r="F239" s="5073"/>
      <c r="G239" s="5073"/>
      <c r="H239" s="5073"/>
      <c r="I239" s="5073"/>
      <c r="J239" s="5073"/>
      <c r="K239" s="5073"/>
      <c r="L239" s="5073"/>
      <c r="M239" s="5073"/>
      <c r="N239" s="5073"/>
      <c r="O239" s="5073"/>
      <c r="P239" s="5073"/>
      <c r="Q239" s="5073"/>
      <c r="R239" s="5073"/>
      <c r="S239" s="5073"/>
      <c r="T239" s="5073"/>
      <c r="U239" s="5073"/>
      <c r="V239" s="5073"/>
      <c r="W239" s="5073"/>
      <c r="X239" s="5073"/>
      <c r="Y239" s="5073"/>
      <c r="Z239" s="5073"/>
      <c r="AA239" s="5073"/>
      <c r="AB239" s="5073"/>
      <c r="AC239" s="5073"/>
      <c r="AD239" s="5073"/>
      <c r="AE239" s="5073"/>
      <c r="AF239" s="5073"/>
      <c r="AG239" s="5074"/>
      <c r="AH239" s="2821"/>
      <c r="AI239" s="3030"/>
      <c r="AJ239" s="2816" t="s">
        <v>10246</v>
      </c>
      <c r="AM239" s="2816" t="b">
        <f>SUM(V222:AG222)&lt;&gt;Y221+ABS(AC221)*2/5+IF(S211="Si",3*P211,0)</f>
        <v>0</v>
      </c>
      <c r="AQ239" s="2816"/>
      <c r="AR239" s="2817"/>
      <c r="AS239" s="2817"/>
      <c r="AT239" s="3023"/>
      <c r="AV239" s="3023"/>
      <c r="AW239" s="2816"/>
      <c r="AX239" s="2816"/>
      <c r="AY239" s="2816"/>
      <c r="AZ239" s="2816"/>
      <c r="BA239" s="2816"/>
      <c r="BB239" s="2816"/>
      <c r="BC239" s="2817"/>
    </row>
    <row r="240" spans="1:55" x14ac:dyDescent="0.2">
      <c r="A240" s="3030"/>
      <c r="B240" s="3070">
        <f t="shared" si="26"/>
        <v>7</v>
      </c>
      <c r="C240" s="5106"/>
      <c r="D240" s="5072"/>
      <c r="E240" s="5073"/>
      <c r="F240" s="5073"/>
      <c r="G240" s="5073"/>
      <c r="H240" s="5073"/>
      <c r="I240" s="5073"/>
      <c r="J240" s="5073"/>
      <c r="K240" s="5073"/>
      <c r="L240" s="5073"/>
      <c r="M240" s="5073"/>
      <c r="N240" s="5073"/>
      <c r="O240" s="5073"/>
      <c r="P240" s="5073"/>
      <c r="Q240" s="5073"/>
      <c r="R240" s="5073"/>
      <c r="S240" s="5073"/>
      <c r="T240" s="5073"/>
      <c r="U240" s="5073"/>
      <c r="V240" s="5073"/>
      <c r="W240" s="5073"/>
      <c r="X240" s="5073"/>
      <c r="Y240" s="5073"/>
      <c r="Z240" s="5073"/>
      <c r="AA240" s="5073"/>
      <c r="AB240" s="5073"/>
      <c r="AC240" s="5073"/>
      <c r="AD240" s="5073"/>
      <c r="AE240" s="5073"/>
      <c r="AF240" s="5073"/>
      <c r="AG240" s="5074"/>
      <c r="AH240" s="2821"/>
      <c r="AI240" s="3030"/>
      <c r="AQ240" s="2816"/>
      <c r="AR240" s="2817"/>
      <c r="AS240" s="2817"/>
      <c r="AT240" s="3023"/>
      <c r="AV240" s="3023"/>
      <c r="AW240" s="2816"/>
      <c r="AX240" s="3023"/>
      <c r="AZ240" s="3023"/>
      <c r="BA240" s="3023"/>
      <c r="BB240" s="3023"/>
      <c r="BC240" s="2816"/>
    </row>
    <row r="241" spans="1:55" ht="12" thickBot="1" x14ac:dyDescent="0.25">
      <c r="A241" s="3030"/>
      <c r="B241" s="3070">
        <f t="shared" si="26"/>
        <v>7</v>
      </c>
      <c r="C241" s="5107"/>
      <c r="D241" s="5075"/>
      <c r="E241" s="5076"/>
      <c r="F241" s="5076"/>
      <c r="G241" s="5076"/>
      <c r="H241" s="5076"/>
      <c r="I241" s="5076"/>
      <c r="J241" s="5076"/>
      <c r="K241" s="5076"/>
      <c r="L241" s="5076"/>
      <c r="M241" s="5076"/>
      <c r="N241" s="5076"/>
      <c r="O241" s="5076"/>
      <c r="P241" s="5076"/>
      <c r="Q241" s="5076"/>
      <c r="R241" s="5076"/>
      <c r="S241" s="5076"/>
      <c r="T241" s="5076"/>
      <c r="U241" s="5076"/>
      <c r="V241" s="5076"/>
      <c r="W241" s="5076"/>
      <c r="X241" s="5076"/>
      <c r="Y241" s="5076"/>
      <c r="Z241" s="5076"/>
      <c r="AA241" s="5076"/>
      <c r="AB241" s="5076"/>
      <c r="AC241" s="5076"/>
      <c r="AD241" s="5076"/>
      <c r="AE241" s="5076"/>
      <c r="AF241" s="5076"/>
      <c r="AG241" s="5077"/>
      <c r="AH241" s="2821"/>
      <c r="AI241" s="3030"/>
      <c r="AQ241" s="2816"/>
      <c r="AR241" s="2817"/>
      <c r="AS241" s="2817"/>
      <c r="AT241" s="3023"/>
      <c r="AV241" s="3023"/>
      <c r="AW241" s="2816"/>
      <c r="AX241" s="3023"/>
      <c r="AZ241" s="2816"/>
      <c r="BA241" s="2816"/>
      <c r="BB241" s="2816"/>
      <c r="BC241" s="2816"/>
    </row>
    <row r="242" spans="1:55" x14ac:dyDescent="0.2">
      <c r="A242" s="3030"/>
      <c r="B242" s="3070"/>
      <c r="C242" s="5092"/>
      <c r="D242" s="5092" t="str">
        <f>IFERROR(VLOOKUP(D224,'Tablas Técnicas'!$C$9:$H$81,2,FALSE),"")</f>
        <v/>
      </c>
      <c r="E242" s="5092"/>
      <c r="F242" s="5092"/>
      <c r="G242" s="5092"/>
      <c r="H242" s="5092"/>
      <c r="I242" s="5092"/>
      <c r="J242" s="5078" t="str">
        <f>IFERROR(VLOOKUP(J224,'Tablas Técnicas'!$C$9:$H$81,2,FALSE),"")</f>
        <v/>
      </c>
      <c r="K242" s="5078"/>
      <c r="L242" s="5078"/>
      <c r="M242" s="5078"/>
      <c r="N242" s="5078"/>
      <c r="O242" s="5078"/>
      <c r="P242" s="5078" t="str">
        <f>IFERROR(VLOOKUP(P224,'Tablas Técnicas'!$C$9:$H$81,2,FALSE),"")</f>
        <v/>
      </c>
      <c r="Q242" s="5078"/>
      <c r="R242" s="5078"/>
      <c r="S242" s="5078"/>
      <c r="T242" s="5078"/>
      <c r="U242" s="5078"/>
      <c r="V242" s="5078" t="str">
        <f>IFERROR(VLOOKUP(V224,'Tablas Técnicas'!$C$9:$H$81,2,FALSE),"")</f>
        <v/>
      </c>
      <c r="W242" s="5078"/>
      <c r="X242" s="5078"/>
      <c r="Y242" s="5078"/>
      <c r="Z242" s="5078"/>
      <c r="AA242" s="5078"/>
      <c r="AB242" s="5078" t="str">
        <f>IFERROR(VLOOKUP(AB224,'Tablas Técnicas'!$C$9:$H$81,2,FALSE),"")</f>
        <v/>
      </c>
      <c r="AC242" s="5078"/>
      <c r="AD242" s="5078"/>
      <c r="AE242" s="5078"/>
      <c r="AF242" s="5078"/>
      <c r="AG242" s="5078"/>
      <c r="AH242" s="2821"/>
      <c r="AI242" s="3030"/>
      <c r="AQ242" s="2816"/>
      <c r="AR242" s="2817"/>
      <c r="AS242" s="2817"/>
      <c r="AT242" s="3023"/>
      <c r="AV242" s="3023"/>
      <c r="AW242" s="3023"/>
      <c r="AX242" s="3023"/>
      <c r="AZ242" s="3023"/>
      <c r="BA242" s="3023"/>
      <c r="BB242" s="3023"/>
      <c r="BC242" s="3023"/>
    </row>
    <row r="243" spans="1:55" ht="12" thickBot="1" x14ac:dyDescent="0.25">
      <c r="A243" s="3030"/>
      <c r="B243" s="3070"/>
      <c r="C243" s="5092"/>
      <c r="D243" s="3052"/>
      <c r="E243" s="3024"/>
      <c r="F243" s="3024"/>
      <c r="G243" s="3024"/>
      <c r="H243" s="3024"/>
      <c r="I243" s="3024"/>
      <c r="J243" s="3024"/>
      <c r="K243" s="3024"/>
      <c r="L243" s="3024"/>
      <c r="M243" s="3024"/>
      <c r="N243" s="3024"/>
      <c r="O243" s="3024"/>
      <c r="P243" s="3024"/>
      <c r="Q243" s="3024"/>
      <c r="R243" s="3024"/>
      <c r="S243" s="3024"/>
      <c r="T243" s="3024"/>
      <c r="U243" s="3024"/>
      <c r="V243" s="3054"/>
      <c r="W243" s="3054"/>
      <c r="X243" s="3054"/>
      <c r="Y243" s="3054"/>
      <c r="Z243" s="3054"/>
      <c r="AA243" s="3054"/>
      <c r="AB243" s="3054"/>
      <c r="AC243" s="3054"/>
      <c r="AD243" s="3054"/>
      <c r="AE243" s="3054"/>
      <c r="AF243" s="3024"/>
      <c r="AG243" s="3024"/>
      <c r="AH243" s="2821"/>
      <c r="AI243" s="3030"/>
      <c r="AJ243" s="2870"/>
      <c r="AK243" s="2870"/>
      <c r="AL243" s="2870"/>
      <c r="AM243" s="2870"/>
      <c r="AN243" s="2870"/>
      <c r="AO243" s="2870"/>
      <c r="AR243" s="3023"/>
      <c r="AT243" s="3023"/>
      <c r="AV243" s="3023"/>
      <c r="AW243" s="3023"/>
      <c r="AX243" s="2867"/>
      <c r="AY243" s="2867"/>
      <c r="AZ243" s="2867"/>
      <c r="BA243" s="2867"/>
      <c r="BB243" s="2867"/>
      <c r="BC243" s="2868"/>
    </row>
    <row r="244" spans="1:55" ht="11.25" customHeight="1" x14ac:dyDescent="0.2">
      <c r="A244" s="3030"/>
      <c r="B244" s="3070">
        <f t="shared" si="26"/>
        <v>8</v>
      </c>
      <c r="C244" s="5105" t="str">
        <f>"Técnica "&amp;B244</f>
        <v>Técnica 8</v>
      </c>
      <c r="D244" s="5181" t="s">
        <v>9559</v>
      </c>
      <c r="E244" s="5182"/>
      <c r="F244" s="5182"/>
      <c r="G244" s="5182"/>
      <c r="H244" s="5182"/>
      <c r="I244" s="5182"/>
      <c r="J244" s="5182"/>
      <c r="K244" s="5182"/>
      <c r="L244" s="5182"/>
      <c r="M244" s="5182"/>
      <c r="N244" s="5183"/>
      <c r="O244" s="5161" t="s">
        <v>1597</v>
      </c>
      <c r="P244" s="5163">
        <v>1</v>
      </c>
      <c r="Q244" s="5134" t="s">
        <v>9646</v>
      </c>
      <c r="R244" s="5165"/>
      <c r="S244" s="5167" t="s">
        <v>1654</v>
      </c>
      <c r="T244" s="5135" t="s">
        <v>1780</v>
      </c>
      <c r="U244" s="5174">
        <f>MAX(IF(P244=3,60,IF(P244=2,40,20)),MIN(IF(P244=3,200,IF(P244=2,100,50)),SUM(M253:M255))-10*Y254+AC254+IF(S244="Si",10*P244,0)+IF(COUNTIF(K248:M252,"Mantenido")&gt;0,P244*10)+IF(COUNTIF(K248:M252,"Sostenimiento Menor")&gt;0,P244*20)+IF(COUNTIF(K248:M252,"Sostenimiento Mayor")&gt;0,P244*30))</f>
        <v>20</v>
      </c>
      <c r="V244" s="5134" t="s">
        <v>9647</v>
      </c>
      <c r="W244" s="5135"/>
      <c r="X244" s="5138" t="str">
        <f>IFERROR(LEFT(AJ263&amp;AK263&amp;AL263&amp;AM263&amp;AN263&amp;AO263,LEN(AJ263&amp;AK263&amp;AL263&amp;AM263&amp;AN263&amp;AO263)-2),"")</f>
        <v/>
      </c>
      <c r="Y244" s="5138"/>
      <c r="Z244" s="5138"/>
      <c r="AA244" s="5138"/>
      <c r="AB244" s="5138"/>
      <c r="AC244" s="5138"/>
      <c r="AD244" s="5138"/>
      <c r="AE244" s="5138"/>
      <c r="AF244" s="5138"/>
      <c r="AG244" s="5139"/>
      <c r="AH244" s="2821"/>
      <c r="AI244" s="3030"/>
      <c r="AQ244" s="2816"/>
      <c r="AR244" s="2816"/>
      <c r="AS244" s="2816"/>
      <c r="AT244" s="2816"/>
      <c r="AU244" s="2816"/>
      <c r="AV244" s="3035"/>
      <c r="AW244" s="3035"/>
      <c r="AX244" s="2816"/>
      <c r="AY244" s="2816"/>
      <c r="AZ244" s="2824"/>
      <c r="BA244" s="3035"/>
      <c r="BB244" s="3035"/>
      <c r="BC244" s="3023"/>
    </row>
    <row r="245" spans="1:55" ht="11.25" customHeight="1" x14ac:dyDescent="0.2">
      <c r="A245" s="3030"/>
      <c r="B245" s="3070">
        <f t="shared" si="26"/>
        <v>8</v>
      </c>
      <c r="C245" s="5106"/>
      <c r="D245" s="5184"/>
      <c r="E245" s="5185"/>
      <c r="F245" s="5185"/>
      <c r="G245" s="5185"/>
      <c r="H245" s="5185"/>
      <c r="I245" s="5185"/>
      <c r="J245" s="5185"/>
      <c r="K245" s="5185"/>
      <c r="L245" s="5185"/>
      <c r="M245" s="5185"/>
      <c r="N245" s="5186"/>
      <c r="O245" s="5162"/>
      <c r="P245" s="5164"/>
      <c r="Q245" s="5136"/>
      <c r="R245" s="5166"/>
      <c r="S245" s="5164"/>
      <c r="T245" s="5137"/>
      <c r="U245" s="5175"/>
      <c r="V245" s="5136"/>
      <c r="W245" s="5137"/>
      <c r="X245" s="5140"/>
      <c r="Y245" s="5140"/>
      <c r="Z245" s="5140"/>
      <c r="AA245" s="5140"/>
      <c r="AB245" s="5140"/>
      <c r="AC245" s="5140"/>
      <c r="AD245" s="5140"/>
      <c r="AE245" s="5140"/>
      <c r="AF245" s="5140"/>
      <c r="AG245" s="5141"/>
      <c r="AH245" s="2821"/>
      <c r="AI245" s="3030"/>
      <c r="AJ245" s="2947" t="s">
        <v>10240</v>
      </c>
      <c r="AQ245" s="2816"/>
      <c r="AR245" s="2816"/>
      <c r="AS245" s="2816"/>
      <c r="AT245" s="2816"/>
      <c r="AU245" s="2816"/>
      <c r="AV245" s="3035"/>
      <c r="AW245" s="3035"/>
      <c r="AX245" s="3035"/>
      <c r="AZ245" s="3035"/>
      <c r="BA245" s="5063" t="s">
        <v>10254</v>
      </c>
      <c r="BB245" s="5063"/>
      <c r="BC245" s="3023"/>
    </row>
    <row r="246" spans="1:55" ht="12" customHeight="1" x14ac:dyDescent="0.2">
      <c r="A246" s="3030"/>
      <c r="B246" s="3070">
        <f t="shared" si="26"/>
        <v>8</v>
      </c>
      <c r="C246" s="5106"/>
      <c r="D246" s="5069" t="s">
        <v>3223</v>
      </c>
      <c r="E246" s="5070"/>
      <c r="F246" s="5070"/>
      <c r="G246" s="5070"/>
      <c r="H246" s="5070"/>
      <c r="I246" s="5070"/>
      <c r="J246" s="5070"/>
      <c r="K246" s="5070" t="str">
        <f>"Mant / SMe / Sma"</f>
        <v>Mant / SMe / Sma</v>
      </c>
      <c r="L246" s="5070"/>
      <c r="M246" s="5070"/>
      <c r="N246" s="5070" t="s">
        <v>1774</v>
      </c>
      <c r="O246" s="5145" t="s">
        <v>3221</v>
      </c>
      <c r="P246" s="5145" t="s">
        <v>9648</v>
      </c>
      <c r="Q246" s="5070" t="s">
        <v>1637</v>
      </c>
      <c r="R246" s="5070"/>
      <c r="S246" s="5070"/>
      <c r="T246" s="5070"/>
      <c r="U246" s="5070"/>
      <c r="V246" s="5108" t="s">
        <v>1646</v>
      </c>
      <c r="W246" s="5109"/>
      <c r="X246" s="5108" t="s">
        <v>1772</v>
      </c>
      <c r="Y246" s="5110"/>
      <c r="Z246" s="5109" t="s">
        <v>1651</v>
      </c>
      <c r="AA246" s="5109"/>
      <c r="AB246" s="5108" t="s">
        <v>1656</v>
      </c>
      <c r="AC246" s="5110"/>
      <c r="AD246" s="5109" t="s">
        <v>1664</v>
      </c>
      <c r="AE246" s="5109"/>
      <c r="AF246" s="5108" t="s">
        <v>1665</v>
      </c>
      <c r="AG246" s="5111"/>
      <c r="AH246" s="2821"/>
      <c r="AI246" s="3030"/>
      <c r="AL246" s="2816" t="s">
        <v>9649</v>
      </c>
      <c r="AQ246" s="2816"/>
      <c r="AR246" s="3035"/>
      <c r="AT246" s="2816" t="s">
        <v>10237</v>
      </c>
      <c r="AU246" s="2816"/>
      <c r="AV246" s="2816" t="s">
        <v>9650</v>
      </c>
      <c r="AW246" s="2816" t="s">
        <v>9651</v>
      </c>
      <c r="AX246" s="2816" t="s">
        <v>10238</v>
      </c>
      <c r="AY246" s="2816"/>
      <c r="AZ246" s="3035"/>
      <c r="BA246" s="3035" t="s">
        <v>9652</v>
      </c>
      <c r="BB246" s="2816" t="s">
        <v>9653</v>
      </c>
      <c r="BC246" s="2816" t="s">
        <v>9653</v>
      </c>
    </row>
    <row r="247" spans="1:55" x14ac:dyDescent="0.2">
      <c r="A247" s="3030"/>
      <c r="B247" s="3070">
        <f t="shared" si="26"/>
        <v>8</v>
      </c>
      <c r="C247" s="5106"/>
      <c r="D247" s="5142"/>
      <c r="E247" s="5143"/>
      <c r="F247" s="5143"/>
      <c r="G247" s="5143"/>
      <c r="H247" s="5143"/>
      <c r="I247" s="5143"/>
      <c r="J247" s="5143"/>
      <c r="K247" s="5143"/>
      <c r="L247" s="5143"/>
      <c r="M247" s="5143"/>
      <c r="N247" s="5144"/>
      <c r="O247" s="5146"/>
      <c r="P247" s="5147"/>
      <c r="Q247" s="5144"/>
      <c r="R247" s="5144"/>
      <c r="S247" s="5144"/>
      <c r="T247" s="5144"/>
      <c r="U247" s="5144"/>
      <c r="V247" s="3045" t="s">
        <v>10248</v>
      </c>
      <c r="W247" s="3031" t="s">
        <v>3227</v>
      </c>
      <c r="X247" s="3045" t="s">
        <v>10248</v>
      </c>
      <c r="Y247" s="3031" t="s">
        <v>3227</v>
      </c>
      <c r="Z247" s="3045" t="s">
        <v>10248</v>
      </c>
      <c r="AA247" s="3031" t="s">
        <v>3227</v>
      </c>
      <c r="AB247" s="3045" t="s">
        <v>10248</v>
      </c>
      <c r="AC247" s="3031" t="s">
        <v>3227</v>
      </c>
      <c r="AD247" s="3045" t="s">
        <v>10248</v>
      </c>
      <c r="AE247" s="3031" t="s">
        <v>3227</v>
      </c>
      <c r="AF247" s="3045" t="s">
        <v>10248</v>
      </c>
      <c r="AG247" s="2825" t="s">
        <v>3227</v>
      </c>
      <c r="AH247" s="2821"/>
      <c r="AI247" s="3030"/>
      <c r="AK247" s="2816" t="s">
        <v>10261</v>
      </c>
      <c r="AL247" s="2816">
        <v>1</v>
      </c>
      <c r="AM247" s="2816">
        <v>2</v>
      </c>
      <c r="AN247" s="2816">
        <v>3</v>
      </c>
      <c r="AO247" s="2816">
        <v>4</v>
      </c>
      <c r="AP247" s="2816">
        <v>5</v>
      </c>
      <c r="AQ247" s="2816">
        <v>6</v>
      </c>
      <c r="AR247" s="2816">
        <v>7</v>
      </c>
      <c r="AS247" s="2816"/>
      <c r="AT247" s="3035"/>
      <c r="AV247" s="2816"/>
      <c r="AW247" s="3035"/>
      <c r="AX247" s="3035"/>
      <c r="AZ247" s="3035"/>
      <c r="BA247" s="3035"/>
      <c r="BB247" s="3035"/>
      <c r="BC247" s="3023"/>
    </row>
    <row r="248" spans="1:55" x14ac:dyDescent="0.2">
      <c r="A248" s="3030"/>
      <c r="B248" s="3070">
        <f t="shared" si="26"/>
        <v>8</v>
      </c>
      <c r="C248" s="5106"/>
      <c r="D248" s="5124" t="s">
        <v>9654</v>
      </c>
      <c r="E248" s="5125"/>
      <c r="F248" s="5126"/>
      <c r="G248" s="5127"/>
      <c r="H248" s="5127"/>
      <c r="I248" s="5127"/>
      <c r="J248" s="5128"/>
      <c r="K248" s="5124" t="s">
        <v>1729</v>
      </c>
      <c r="L248" s="5129"/>
      <c r="M248" s="5125"/>
      <c r="N248" s="3036">
        <f>SUMPRODUCT(INDEX('Tablas Técnicas'!$O$10:$X$639,,5),--(INDEX('Tablas Técnicas'!$O$10:$X$639,,1)=F248),--(ISNUMBER(MATCH(INDEX('Tablas Técnicas'!$O$10:$X$639,,2),$AL248:$AR248,0))))</f>
        <v>0</v>
      </c>
      <c r="O248" s="3036" t="str">
        <f>V248+X248+Z248+AB248+AD248+AF248&amp;" / "&amp;SUMPRODUCT(INDEX('Tablas Técnicas'!$O$10:$X$639,,IF(D248="Primario",3,4)),--(INDEX('Tablas Técnicas'!$O$10:$X$639,,1)=F248),--(ISNUMBER(MATCH(INDEX('Tablas Técnicas'!$O$10:$X$639,,2),$AL248:$AR248,0))))+IF(AND(K248&lt;&gt;"-",K248&lt;&gt;""),SUMPRODUCT(INDEX('Tablas Técnicas'!$O$10:$X$639,,IF(K248="Mantenido",6,IF(K248="Sostenimiento menor",7,IF(K248="Sostenimiento mayor",8,0)))),--(INDEX('Tablas Técnicas'!$O$10:$X$639,,1)=F248),--(ISNUMBER(MATCH(INDEX('Tablas Técnicas'!$O$10:$X$639,,2),$AL248:$AR248,0)))),0)+AT248</f>
        <v>0 / 0</v>
      </c>
      <c r="P248" s="3036" t="str">
        <f>W248+Y248+AA248+AC248+AE248+AG248&amp;" / "&amp;IF(K248="Mantenido",SUMPRODUCT(INDEX('Tablas Técnicas'!$O$10:$X$639,,6),--(INDEX('Tablas Técnicas'!$O$10:$X$639,,1)=F248),--(ISNUMBER(MATCH(INDEX('Tablas Técnicas'!$O$10:$X$639,,2),$AL248:$AR248,0)))),0)</f>
        <v>0 / 0</v>
      </c>
      <c r="Q248" s="5130" t="str">
        <f>IFERROR(VLOOKUP(F248,'Tablas Técnicas'!$C$9:$H$81,5,FALSE),"")</f>
        <v/>
      </c>
      <c r="R248" s="5130"/>
      <c r="S248" s="5130"/>
      <c r="T248" s="5130"/>
      <c r="U248" s="5130"/>
      <c r="V248" s="2826"/>
      <c r="W248" s="2827"/>
      <c r="X248" s="2826"/>
      <c r="Y248" s="2828"/>
      <c r="Z248" s="2829"/>
      <c r="AA248" s="2827"/>
      <c r="AB248" s="2826"/>
      <c r="AC248" s="2828"/>
      <c r="AD248" s="2829"/>
      <c r="AE248" s="2827"/>
      <c r="AF248" s="2826"/>
      <c r="AG248" s="2830"/>
      <c r="AH248" s="2821"/>
      <c r="AI248" s="3030"/>
      <c r="AJ248" s="2816">
        <v>1</v>
      </c>
      <c r="AK248" s="2816">
        <f>P244</f>
        <v>1</v>
      </c>
      <c r="AL248" s="2816" t="str">
        <f>IF(INDEX($A$1:$AI$343,ROW($D$29)+($B248-1)*(ROW($D$63)-ROW($D$29))+Tablas!A$1-1,COLUMN($D$29)+($AJ248-1)*(COLUMN($J$29)-COLUMN($D$29)))="","",INDEX($A$1:$AI$343,ROW($D$29)+($B248-1)*(ROW($D$63)-ROW($D$29))+Tablas!A$1-1,COLUMN($D$29)+($AJ248-1)*(COLUMN($J$29)-COLUMN($D$29))))</f>
        <v/>
      </c>
      <c r="AM248" s="2816" t="str">
        <f>IF(INDEX($A$1:$AI$343,ROW($D$29)+($B248-1)*(ROW($D$63)-ROW($D$29))+Tablas!B$1-1,COLUMN($D$29)+($AJ248-1)*(COLUMN($J$29)-COLUMN($D$29)))="","",INDEX($A$1:$AI$343,ROW($D$29)+($B248-1)*(ROW($D$63)-ROW($D$29))+Tablas!B$1-1,COLUMN($D$29)+($AJ248-1)*(COLUMN($J$29)-COLUMN($D$29))))</f>
        <v>Descripción</v>
      </c>
      <c r="AN248" s="2816" t="str">
        <f>IF(INDEX($A$1:$AI$343,ROW($D$29)+($B248-1)*(ROW($D$63)-ROW($D$29))+Tablas!C$1-1,COLUMN($D$29)+($AJ248-1)*(COLUMN($J$29)-COLUMN($D$29)))="","",INDEX($A$1:$AI$343,ROW($D$29)+($B248-1)*(ROW($D$63)-ROW($D$29))+Tablas!C$1-1,COLUMN($D$29)+($AJ248-1)*(COLUMN($J$29)-COLUMN($D$29))))</f>
        <v/>
      </c>
      <c r="AO248" s="2816" t="str">
        <f>IF(INDEX($A$1:$AI$343,ROW($D$29)+($B248-1)*(ROW($D$63)-ROW($D$29))+Tablas!D$1-1,COLUMN($D$29)+($AJ248-1)*(COLUMN($J$29)-COLUMN($D$29)))="","",INDEX($A$1:$AI$343,ROW($D$29)+($B248-1)*(ROW($D$63)-ROW($D$29))+Tablas!D$1-1,COLUMN($D$29)+($AJ248-1)*(COLUMN($J$29)-COLUMN($D$29))))</f>
        <v/>
      </c>
      <c r="AP248" s="2816" t="str">
        <f>IF(INDEX($A$1:$AI$343,ROW($D$29)+($B248-1)*(ROW($D$63)-ROW($D$29))+Tablas!E$1-1,COLUMN($D$29)+($AJ248-1)*(COLUMN($J$29)-COLUMN($D$29)))="","",INDEX($A$1:$AI$343,ROW($D$29)+($B248-1)*(ROW($D$63)-ROW($D$29))+Tablas!E$1-1,COLUMN($D$29)+($AJ248-1)*(COLUMN($J$29)-COLUMN($D$29))))</f>
        <v/>
      </c>
      <c r="AQ248" s="2816" t="str">
        <f>IF(INDEX($A$1:$AI$343,ROW($D$29)+($B248-1)*(ROW($D$63)-ROW($D$29))+Tablas!F$1-1,COLUMN($D$29)+($AJ248-1)*(COLUMN($J$29)-COLUMN($D$29)))="","",INDEX($A$1:$AI$343,ROW($D$29)+($B248-1)*(ROW($D$63)-ROW($D$29))+Tablas!F$1-1,COLUMN($D$29)+($AJ248-1)*(COLUMN($J$29)-COLUMN($D$29))))</f>
        <v/>
      </c>
      <c r="AR248" s="2816" t="str">
        <f>IF(INDEX($A$1:$AI$343,ROW($D$29)+($B248-1)*(ROW($D$63)-ROW($D$29))+Tablas!G$1-1,COLUMN($D$29)+($AJ248-1)*(COLUMN($J$29)-COLUMN($D$29)))="","",INDEX($A$1:$AI$343,ROW($D$29)+($B248-1)*(ROW($D$63)-ROW($D$29))+Tablas!G$1-1,COLUMN($D$29)+($AJ248-1)*(COLUMN($J$29)-COLUMN($D$29))))</f>
        <v/>
      </c>
      <c r="AS248" s="2816"/>
      <c r="AT248" s="3035">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V248" s="2816" t="str">
        <f>IFERROR(VLOOKUP(F248,'Tablas Técnicas'!$C$9:$H$81,6,FALSE),"")</f>
        <v/>
      </c>
      <c r="AW248" s="3035" t="b">
        <f>OR(AV248="",ISNUMBER(SEARCH($O253,AV248)),ISNUMBER(SEARCH($Q253,AV248)),ISNUMBER(SEARCH($O254,AV248)),ISNUMBER(SEARCH($Q254,AV248)),ISNUMBER(SEARCH($O255,AV248)),ISNUMBER(SEARCH($Q255,AV248)),)</f>
        <v>1</v>
      </c>
      <c r="AX248" s="3035" t="b">
        <f>AND(P244&gt;1,OR(MAX(I261:I267)=1,MAX(I261:I267)=2))</f>
        <v>0</v>
      </c>
      <c r="AZ248" s="3035"/>
      <c r="BA248" s="2816" t="str">
        <f>IF(F248="","",F248&amp;" ("&amp;IF(AL248="","",AL248&amp;", ")&amp;IF(AM248="","",AM248&amp;", ")&amp;IF(AN248="","",AN248&amp;", ")&amp;IF(AO248="","",AO248&amp;", ")&amp;IF(AP248="","",AP248&amp;", ")&amp;IF(AQ248="","",AQ248&amp;", ")&amp;IF(AR248="","",AR248&amp;", "))</f>
        <v/>
      </c>
      <c r="BB248" s="3035" t="str">
        <f t="shared" ref="BB248:BB250" si="27">IFERROR(LEFT(BA248,LEN(BA248)-2)&amp;"), ","")</f>
        <v/>
      </c>
      <c r="BC248" s="3023" t="str">
        <f t="shared" ref="BC248:BC250" si="28">IFERROR(LEFT(BB248,LEN(BB248)-2)&amp;"), ","")</f>
        <v/>
      </c>
    </row>
    <row r="249" spans="1:55" x14ac:dyDescent="0.2">
      <c r="A249" s="3030"/>
      <c r="B249" s="3070">
        <f t="shared" si="26"/>
        <v>8</v>
      </c>
      <c r="C249" s="5106"/>
      <c r="D249" s="5090" t="s">
        <v>790</v>
      </c>
      <c r="E249" s="5091"/>
      <c r="F249" s="5112"/>
      <c r="G249" s="5113"/>
      <c r="H249" s="5113"/>
      <c r="I249" s="5113"/>
      <c r="J249" s="5114"/>
      <c r="K249" s="5115" t="s">
        <v>1729</v>
      </c>
      <c r="L249" s="5116"/>
      <c r="M249" s="5117"/>
      <c r="N249" s="3039">
        <f>SUMPRODUCT(INDEX('Tablas Técnicas'!$O$10:$X$639,,5),--(INDEX('Tablas Técnicas'!$O$10:$X$639,,1)=F249),--(ISNUMBER(MATCH(INDEX('Tablas Técnicas'!$O$10:$X$639,,2),$AL249:$AR249,0))))</f>
        <v>0</v>
      </c>
      <c r="O249" s="3039" t="str">
        <f>V249+X249+Z249+AB249+AD249+AF249&amp;" / "&amp;SUMPRODUCT(INDEX('Tablas Técnicas'!$O$10:$X$639,,IF(D249="Primario",3,4)),--(INDEX('Tablas Técnicas'!$O$10:$X$639,,1)=F249),--(ISNUMBER(MATCH(INDEX('Tablas Técnicas'!$O$10:$X$639,,2),$AL249:$AR249,0))))+IF(AND(K249&lt;&gt;"-",K249&lt;&gt;""),SUMPRODUCT(INDEX('Tablas Técnicas'!$O$10:$X$639,,IF(K249="Mantenido",6,IF(K249="Sostenimiento menor",7,IF(K249="Sostenimiento mayor",8,0)))),--(INDEX('Tablas Técnicas'!$O$10:$X$639,,1)=F249),--(ISNUMBER(MATCH(INDEX('Tablas Técnicas'!$O$10:$X$639,,2),$AL249:$AR249,0)))),0)+AT249</f>
        <v>0 / 0</v>
      </c>
      <c r="P249" s="3039" t="str">
        <f>W249+Y249+AA249+AC249+AE249+AG249&amp;" / "&amp;IF(K249="Mantenido",SUMPRODUCT(INDEX('Tablas Técnicas'!$O$10:$X$639,,6),--(INDEX('Tablas Técnicas'!$O$10:$X$639,,1)=F249),--(ISNUMBER(MATCH(INDEX('Tablas Técnicas'!$O$10:$X$639,,2),$AL249:$AR249,0)))),0)</f>
        <v>0 / 0</v>
      </c>
      <c r="Q249" s="5092" t="str">
        <f>IFERROR(VLOOKUP(F249,'Tablas Técnicas'!$C$9:$H$81,5,FALSE),"")</f>
        <v/>
      </c>
      <c r="R249" s="5092"/>
      <c r="S249" s="5092"/>
      <c r="T249" s="5092"/>
      <c r="U249" s="5092"/>
      <c r="V249" s="3034"/>
      <c r="W249" s="2831"/>
      <c r="X249" s="3034"/>
      <c r="Y249" s="3033"/>
      <c r="Z249" s="3028"/>
      <c r="AA249" s="2831"/>
      <c r="AB249" s="3034"/>
      <c r="AC249" s="3033"/>
      <c r="AD249" s="3028"/>
      <c r="AE249" s="2831"/>
      <c r="AF249" s="3034"/>
      <c r="AG249" s="2832"/>
      <c r="AH249" s="2821"/>
      <c r="AI249" s="3030"/>
      <c r="AJ249" s="2816">
        <v>2</v>
      </c>
      <c r="AK249" s="2816">
        <f>P244</f>
        <v>1</v>
      </c>
      <c r="AL249" s="2816" t="str">
        <f>IF(INDEX($A$1:$AI$343,ROW($D$29)+($B249-1)*(ROW($D$63)-ROW($D$29))+Tablas!A$1-1,COLUMN($D$29)+($AJ249-1)*(COLUMN($J$29)-COLUMN($D$29)))="","",INDEX($A$1:$AI$343,ROW($D$29)+($B249-1)*(ROW($D$63)-ROW($D$29))+Tablas!A$1-1,COLUMN($D$29)+($AJ249-1)*(COLUMN($J$29)-COLUMN($D$29))))</f>
        <v/>
      </c>
      <c r="AM249" s="2816" t="str">
        <f>IF(INDEX($A$1:$AI$343,ROW($D$29)+($B249-1)*(ROW($D$63)-ROW($D$29))+Tablas!B$1-1,COLUMN($D$29)+($AJ249-1)*(COLUMN($J$29)-COLUMN($D$29)))="","",INDEX($A$1:$AI$343,ROW($D$29)+($B249-1)*(ROW($D$63)-ROW($D$29))+Tablas!B$1-1,COLUMN($D$29)+($AJ249-1)*(COLUMN($J$29)-COLUMN($D$29))))</f>
        <v/>
      </c>
      <c r="AN249" s="2816" t="str">
        <f>IF(INDEX($A$1:$AI$343,ROW($D$29)+($B249-1)*(ROW($D$63)-ROW($D$29))+Tablas!C$1-1,COLUMN($D$29)+($AJ249-1)*(COLUMN($J$29)-COLUMN($D$29)))="","",INDEX($A$1:$AI$343,ROW($D$29)+($B249-1)*(ROW($D$63)-ROW($D$29))+Tablas!C$1-1,COLUMN($D$29)+($AJ249-1)*(COLUMN($J$29)-COLUMN($D$29))))</f>
        <v/>
      </c>
      <c r="AO249" s="2816" t="str">
        <f>IF(INDEX($A$1:$AI$343,ROW($D$29)+($B249-1)*(ROW($D$63)-ROW($D$29))+Tablas!D$1-1,COLUMN($D$29)+($AJ249-1)*(COLUMN($J$29)-COLUMN($D$29)))="","",INDEX($A$1:$AI$343,ROW($D$29)+($B249-1)*(ROW($D$63)-ROW($D$29))+Tablas!D$1-1,COLUMN($D$29)+($AJ249-1)*(COLUMN($J$29)-COLUMN($D$29))))</f>
        <v/>
      </c>
      <c r="AP249" s="2816" t="str">
        <f>IF(INDEX($A$1:$AI$343,ROW($D$29)+($B249-1)*(ROW($D$63)-ROW($D$29))+Tablas!E$1-1,COLUMN($D$29)+($AJ249-1)*(COLUMN($J$29)-COLUMN($D$29)))="","",INDEX($A$1:$AI$343,ROW($D$29)+($B249-1)*(ROW($D$63)-ROW($D$29))+Tablas!E$1-1,COLUMN($D$29)+($AJ249-1)*(COLUMN($J$29)-COLUMN($D$29))))</f>
        <v/>
      </c>
      <c r="AQ249" s="2816" t="str">
        <f>IF(INDEX($A$1:$AI$343,ROW($D$29)+($B249-1)*(ROW($D$63)-ROW($D$29))+Tablas!F$1-1,COLUMN($D$29)+($AJ249-1)*(COLUMN($J$29)-COLUMN($D$29)))="","",INDEX($A$1:$AI$343,ROW($D$29)+($B249-1)*(ROW($D$63)-ROW($D$29))+Tablas!F$1-1,COLUMN($D$29)+($AJ249-1)*(COLUMN($J$29)-COLUMN($D$29))))</f>
        <v/>
      </c>
      <c r="AR249" s="2816" t="str">
        <f>IF(INDEX($A$1:$AI$343,ROW($D$29)+($B249-1)*(ROW($D$63)-ROW($D$29))+Tablas!G$1-1,COLUMN($D$29)+($AJ249-1)*(COLUMN($J$29)-COLUMN($D$29)))="","",INDEX($A$1:$AI$343,ROW($D$29)+($B249-1)*(ROW($D$63)-ROW($D$29))+Tablas!G$1-1,COLUMN($D$29)+($AJ249-1)*(COLUMN($J$29)-COLUMN($D$29))))</f>
        <v/>
      </c>
      <c r="AS249" s="2816"/>
      <c r="AT249" s="3035">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V249" s="2816" t="str">
        <f>IFERROR(VLOOKUP(F249,'Tablas Técnicas'!$C$9:$H$81,6,FALSE),"")</f>
        <v/>
      </c>
      <c r="AW249" s="3035" t="b">
        <f>OR(AX233="",OR(ISNUMBER(SEARCH($O253,AV249)),ISNUMBER(SEARCH($Q253,AV249)),ISNUMBER(SEARCH($O254,AV249)),ISNUMBER(SEARCH($Q254,AV249)),ISNUMBER(SEARCH($O255,AV249)),ISNUMBER(SEARCH($Q255,AV249)),))</f>
        <v>1</v>
      </c>
      <c r="AX249" s="3035" t="b">
        <f>AND(P244&gt;1,OR(MAX(O261:O267)=1,MAX(O261:O267)=2))</f>
        <v>0</v>
      </c>
      <c r="AZ249" s="3035"/>
      <c r="BA249" s="2816" t="str">
        <f>IF(F249="","",F249&amp;" ("&amp;IF(AL249="","",AL249&amp;", ")&amp;IF(AM249="","",AM249&amp;", ")&amp;IF(AN249="","",AN249&amp;", ")&amp;IF(AO249="","",AO249&amp;", ")&amp;IF(AP249="","",AP249&amp;", ")&amp;IF(AQ249="","",AQ249&amp;", ")&amp;IF(AR249="","",AR249&amp;", "))</f>
        <v/>
      </c>
      <c r="BB249" s="3035" t="str">
        <f t="shared" si="27"/>
        <v/>
      </c>
      <c r="BC249" s="3023" t="str">
        <f t="shared" si="28"/>
        <v/>
      </c>
    </row>
    <row r="250" spans="1:55" x14ac:dyDescent="0.2">
      <c r="A250" s="3030"/>
      <c r="B250" s="3070">
        <f t="shared" si="26"/>
        <v>8</v>
      </c>
      <c r="C250" s="5106"/>
      <c r="D250" s="5131" t="s">
        <v>790</v>
      </c>
      <c r="E250" s="5132"/>
      <c r="F250" s="5118"/>
      <c r="G250" s="5119"/>
      <c r="H250" s="5119"/>
      <c r="I250" s="5119"/>
      <c r="J250" s="5120"/>
      <c r="K250" s="5121" t="s">
        <v>1729</v>
      </c>
      <c r="L250" s="5122"/>
      <c r="M250" s="5123"/>
      <c r="N250" s="3040">
        <f>SUMPRODUCT(INDEX('Tablas Técnicas'!$O$10:$X$639,,5),--(INDEX('Tablas Técnicas'!$O$10:$X$639,,1)=F250),--(ISNUMBER(MATCH(INDEX('Tablas Técnicas'!$O$10:$X$639,,2),$AL250:$AR250,0))))</f>
        <v>0</v>
      </c>
      <c r="O250" s="3040" t="str">
        <f>V250+X250+Z250+AB250+AD250+AF250&amp;" / "&amp;SUMPRODUCT(INDEX('Tablas Técnicas'!$O$10:$X$639,,IF(D250="Primario",3,4)),--(INDEX('Tablas Técnicas'!$O$10:$X$639,,1)=F250),--(ISNUMBER(MATCH(INDEX('Tablas Técnicas'!$O$10:$X$639,,2),$AL250:$AR250,0))))+IF(AND(K250&lt;&gt;"-",K250&lt;&gt;""),SUMPRODUCT(INDEX('Tablas Técnicas'!$O$10:$X$639,,IF(K250="Mantenido",6,IF(K250="Sostenimiento menor",7,IF(K250="Sostenimiento mayor",8,0)))),--(INDEX('Tablas Técnicas'!$O$10:$X$639,,1)=F250),--(ISNUMBER(MATCH(INDEX('Tablas Técnicas'!$O$10:$X$639,,2),$AL250:$AR250,0)))),0)+AT250</f>
        <v>0 / 0</v>
      </c>
      <c r="P250" s="3040" t="str">
        <f>W250+Y250+AA250+AC250+AE250+AG250&amp;" / "&amp;IF(K250="Mantenido",SUMPRODUCT(INDEX('Tablas Técnicas'!$O$10:$X$639,,6),--(INDEX('Tablas Técnicas'!$O$10:$X$639,,1)=F250),--(ISNUMBER(MATCH(INDEX('Tablas Técnicas'!$O$10:$X$639,,2),$AL250:$AR250,0)))),0)</f>
        <v>0 / 0</v>
      </c>
      <c r="Q250" s="5133" t="str">
        <f>IFERROR(VLOOKUP(F250,'Tablas Técnicas'!$C$9:$H$81,5,FALSE),"")</f>
        <v/>
      </c>
      <c r="R250" s="5133"/>
      <c r="S250" s="5133"/>
      <c r="T250" s="5133"/>
      <c r="U250" s="5133"/>
      <c r="V250" s="2833"/>
      <c r="W250" s="2834"/>
      <c r="X250" s="3038"/>
      <c r="Y250" s="3037"/>
      <c r="Z250" s="3029"/>
      <c r="AA250" s="2834"/>
      <c r="AB250" s="3038"/>
      <c r="AC250" s="3037"/>
      <c r="AD250" s="3029"/>
      <c r="AE250" s="2834"/>
      <c r="AF250" s="3038"/>
      <c r="AG250" s="2835"/>
      <c r="AH250" s="2821"/>
      <c r="AI250" s="3030"/>
      <c r="AJ250" s="2816">
        <v>3</v>
      </c>
      <c r="AK250" s="2816">
        <f>P244</f>
        <v>1</v>
      </c>
      <c r="AL250" s="2816" t="str">
        <f>IF(INDEX($A$1:$AI$343,ROW($D$29)+($B250-1)*(ROW($D$63)-ROW($D$29))+Tablas!A$1-1,COLUMN($D$29)+($AJ250-1)*(COLUMN($J$29)-COLUMN($D$29)))="","",INDEX($A$1:$AI$343,ROW($D$29)+($B250-1)*(ROW($D$63)-ROW($D$29))+Tablas!A$1-1,COLUMN($D$29)+($AJ250-1)*(COLUMN($J$29)-COLUMN($D$29))))</f>
        <v/>
      </c>
      <c r="AM250" s="2816" t="str">
        <f>IF(INDEX($A$1:$AI$343,ROW($D$29)+($B250-1)*(ROW($D$63)-ROW($D$29))+Tablas!B$1-1,COLUMN($D$29)+($AJ250-1)*(COLUMN($J$29)-COLUMN($D$29)))="","",INDEX($A$1:$AI$343,ROW($D$29)+($B250-1)*(ROW($D$63)-ROW($D$29))+Tablas!B$1-1,COLUMN($D$29)+($AJ250-1)*(COLUMN($J$29)-COLUMN($D$29))))</f>
        <v/>
      </c>
      <c r="AN250" s="2816" t="str">
        <f>IF(INDEX($A$1:$AI$343,ROW($D$29)+($B250-1)*(ROW($D$63)-ROW($D$29))+Tablas!C$1-1,COLUMN($D$29)+($AJ250-1)*(COLUMN($J$29)-COLUMN($D$29)))="","",INDEX($A$1:$AI$343,ROW($D$29)+($B250-1)*(ROW($D$63)-ROW($D$29))+Tablas!C$1-1,COLUMN($D$29)+($AJ250-1)*(COLUMN($J$29)-COLUMN($D$29))))</f>
        <v/>
      </c>
      <c r="AO250" s="2816" t="str">
        <f>IF(INDEX($A$1:$AI$343,ROW($D$29)+($B250-1)*(ROW($D$63)-ROW($D$29))+Tablas!D$1-1,COLUMN($D$29)+($AJ250-1)*(COLUMN($J$29)-COLUMN($D$29)))="","",INDEX($A$1:$AI$343,ROW($D$29)+($B250-1)*(ROW($D$63)-ROW($D$29))+Tablas!D$1-1,COLUMN($D$29)+($AJ250-1)*(COLUMN($J$29)-COLUMN($D$29))))</f>
        <v/>
      </c>
      <c r="AP250" s="2816" t="str">
        <f>IF(INDEX($A$1:$AI$343,ROW($D$29)+($B250-1)*(ROW($D$63)-ROW($D$29))+Tablas!E$1-1,COLUMN($D$29)+($AJ250-1)*(COLUMN($J$29)-COLUMN($D$29)))="","",INDEX($A$1:$AI$343,ROW($D$29)+($B250-1)*(ROW($D$63)-ROW($D$29))+Tablas!E$1-1,COLUMN($D$29)+($AJ250-1)*(COLUMN($J$29)-COLUMN($D$29))))</f>
        <v/>
      </c>
      <c r="AQ250" s="2816" t="str">
        <f>IF(INDEX($A$1:$AI$343,ROW($D$29)+($B250-1)*(ROW($D$63)-ROW($D$29))+Tablas!F$1-1,COLUMN($D$29)+($AJ250-1)*(COLUMN($J$29)-COLUMN($D$29)))="","",INDEX($A$1:$AI$343,ROW($D$29)+($B250-1)*(ROW($D$63)-ROW($D$29))+Tablas!F$1-1,COLUMN($D$29)+($AJ250-1)*(COLUMN($J$29)-COLUMN($D$29))))</f>
        <v/>
      </c>
      <c r="AR250" s="2816" t="str">
        <f>IF(INDEX($A$1:$AI$343,ROW($D$29)+($B250-1)*(ROW($D$63)-ROW($D$29))+Tablas!G$1-1,COLUMN($D$29)+($AJ250-1)*(COLUMN($J$29)-COLUMN($D$29)))="","",INDEX($A$1:$AI$343,ROW($D$29)+($B250-1)*(ROW($D$63)-ROW($D$29))+Tablas!G$1-1,COLUMN($D$29)+($AJ250-1)*(COLUMN($J$29)-COLUMN($D$29))))</f>
        <v/>
      </c>
      <c r="AS250" s="2816"/>
      <c r="AT250" s="3035">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V250" s="2816" t="str">
        <f>IFERROR(VLOOKUP(F250,'Tablas Técnicas'!$C$9:$H$81,6,FALSE),"")</f>
        <v/>
      </c>
      <c r="AW250" s="3035" t="b">
        <f>OR(AV250="",OR(ISNUMBER(SEARCH($O253,AV250)),ISNUMBER(SEARCH($Q253,AV250)),ISNUMBER(SEARCH($O254,AV250)),ISNUMBER(SEARCH($Q254,AV250)),ISNUMBER(SEARCH($O255,AV250)),ISNUMBER(SEARCH($Q255,AV250)),))</f>
        <v>1</v>
      </c>
      <c r="AX250" s="3035" t="b">
        <f>AND(P244&gt;1,OR(MAX(U261:U267)=1,MAX(U261:U267)=2))</f>
        <v>0</v>
      </c>
      <c r="AZ250" s="3035"/>
      <c r="BA250" s="2816" t="str">
        <f>IF(F250="","",F250&amp;" ("&amp;IF(AL250="","",AL250&amp;", ")&amp;IF(AM250="","",AM250&amp;", ")&amp;IF(AN250="","",AN250&amp;", ")&amp;IF(AO250="","",AO250&amp;", ")&amp;IF(AP250="","",AP250&amp;", ")&amp;IF(AQ250="","",AQ250&amp;", ")&amp;IF(AR250="","",AR250&amp;", "))</f>
        <v/>
      </c>
      <c r="BB250" s="3035" t="str">
        <f t="shared" si="27"/>
        <v/>
      </c>
      <c r="BC250" s="3023" t="str">
        <f t="shared" si="28"/>
        <v/>
      </c>
    </row>
    <row r="251" spans="1:55" x14ac:dyDescent="0.2">
      <c r="A251" s="3030"/>
      <c r="B251" s="3070">
        <f t="shared" si="26"/>
        <v>8</v>
      </c>
      <c r="C251" s="5106"/>
      <c r="D251" s="5090" t="s">
        <v>790</v>
      </c>
      <c r="E251" s="5091"/>
      <c r="F251" s="5112"/>
      <c r="G251" s="5113"/>
      <c r="H251" s="5113"/>
      <c r="I251" s="5113"/>
      <c r="J251" s="5114"/>
      <c r="K251" s="5115" t="s">
        <v>1729</v>
      </c>
      <c r="L251" s="5116"/>
      <c r="M251" s="5117"/>
      <c r="N251" s="3039">
        <f>SUMPRODUCT(INDEX('Tablas Técnicas'!$O$10:$X$639,,5),--(INDEX('Tablas Técnicas'!$O$10:$X$639,,1)=F251),--(ISNUMBER(MATCH(INDEX('Tablas Técnicas'!$O$10:$X$639,,2),$AL251:$AR251,0))))</f>
        <v>0</v>
      </c>
      <c r="O251" s="3039" t="str">
        <f>V251+X251+Z251+AB251+AD251+AF251&amp;" / "&amp;SUMPRODUCT(INDEX('Tablas Técnicas'!$O$10:$X$639,,IF(D251="Primario",3,4)),--(INDEX('Tablas Técnicas'!$O$10:$X$639,,1)=F251),--(ISNUMBER(MATCH(INDEX('Tablas Técnicas'!$O$10:$X$639,,2),$AL251:$AR251,0))))+IF(AND(K251&lt;&gt;"-",K251&lt;&gt;""),SUMPRODUCT(INDEX('Tablas Técnicas'!$O$10:$X$639,,IF(K251="Mantenido",6,IF(K251="Sostenimiento menor",7,IF(K251="Sostenimiento mayor",8,0)))),--(INDEX('Tablas Técnicas'!$O$10:$X$639,,1)=F251),--(ISNUMBER(MATCH(INDEX('Tablas Técnicas'!$O$10:$X$639,,2),$AL251:$AR251,0)))),0)+AT251</f>
        <v>0 / 0</v>
      </c>
      <c r="P251" s="3039" t="str">
        <f>W251+Y251+AA251+AC251+AE251+AG251&amp;" / "&amp;IF(K251="Mantenido",SUMPRODUCT(INDEX('Tablas Técnicas'!$O$10:$X$639,,6),--(INDEX('Tablas Técnicas'!$O$10:$X$639,,1)=F251),--(ISNUMBER(MATCH(INDEX('Tablas Técnicas'!$O$10:$X$639,,2),$AL251:$AR251,0)))),0)</f>
        <v>0 / 0</v>
      </c>
      <c r="Q251" s="5092" t="str">
        <f>IFERROR(VLOOKUP(F251,'Tablas Técnicas'!$C$9:$H$81,5,FALSE),"")</f>
        <v/>
      </c>
      <c r="R251" s="5092"/>
      <c r="S251" s="5092"/>
      <c r="T251" s="5092"/>
      <c r="U251" s="5092"/>
      <c r="V251" s="3034"/>
      <c r="W251" s="2831"/>
      <c r="X251" s="3034"/>
      <c r="Y251" s="3033"/>
      <c r="Z251" s="3028"/>
      <c r="AA251" s="2831"/>
      <c r="AB251" s="3034"/>
      <c r="AC251" s="3033"/>
      <c r="AD251" s="3028"/>
      <c r="AE251" s="2831"/>
      <c r="AF251" s="3034"/>
      <c r="AG251" s="2832"/>
      <c r="AH251" s="2821"/>
      <c r="AI251" s="3030"/>
      <c r="AJ251" s="2816">
        <v>4</v>
      </c>
      <c r="AK251" s="2816">
        <f>P244</f>
        <v>1</v>
      </c>
      <c r="AL251" s="2816" t="str">
        <f>IF(INDEX($A$1:$AI$343,ROW($D$29)+($B251-1)*(ROW($D$63)-ROW($D$29))+Tablas!A$1-1,COLUMN($D$29)+($AJ251-1)*(COLUMN($J$29)-COLUMN($D$29)))="","",INDEX($A$1:$AI$343,ROW($D$29)+($B251-1)*(ROW($D$63)-ROW($D$29))+Tablas!A$1-1,COLUMN($D$29)+($AJ251-1)*(COLUMN($J$29)-COLUMN($D$29))))</f>
        <v/>
      </c>
      <c r="AM251" s="2816" t="str">
        <f>IF(INDEX($A$1:$AI$343,ROW($D$29)+($B251-1)*(ROW($D$63)-ROW($D$29))+Tablas!B$1-1,COLUMN($D$29)+($AJ251-1)*(COLUMN($J$29)-COLUMN($D$29)))="","",INDEX($A$1:$AI$343,ROW($D$29)+($B251-1)*(ROW($D$63)-ROW($D$29))+Tablas!B$1-1,COLUMN($D$29)+($AJ251-1)*(COLUMN($J$29)-COLUMN($D$29))))</f>
        <v/>
      </c>
      <c r="AN251" s="2816" t="str">
        <f>IF(INDEX($A$1:$AI$343,ROW($D$29)+($B251-1)*(ROW($D$63)-ROW($D$29))+Tablas!C$1-1,COLUMN($D$29)+($AJ251-1)*(COLUMN($J$29)-COLUMN($D$29)))="","",INDEX($A$1:$AI$343,ROW($D$29)+($B251-1)*(ROW($D$63)-ROW($D$29))+Tablas!C$1-1,COLUMN($D$29)+($AJ251-1)*(COLUMN($J$29)-COLUMN($D$29))))</f>
        <v/>
      </c>
      <c r="AO251" s="2816" t="str">
        <f>IF(INDEX($A$1:$AI$343,ROW($D$29)+($B251-1)*(ROW($D$63)-ROW($D$29))+Tablas!D$1-1,COLUMN($D$29)+($AJ251-1)*(COLUMN($J$29)-COLUMN($D$29)))="","",INDEX($A$1:$AI$343,ROW($D$29)+($B251-1)*(ROW($D$63)-ROW($D$29))+Tablas!D$1-1,COLUMN($D$29)+($AJ251-1)*(COLUMN($J$29)-COLUMN($D$29))))</f>
        <v/>
      </c>
      <c r="AP251" s="2816" t="str">
        <f>IF(INDEX($A$1:$AI$343,ROW($D$29)+($B251-1)*(ROW($D$63)-ROW($D$29))+Tablas!E$1-1,COLUMN($D$29)+($AJ251-1)*(COLUMN($J$29)-COLUMN($D$29)))="","",INDEX($A$1:$AI$343,ROW($D$29)+($B251-1)*(ROW($D$63)-ROW($D$29))+Tablas!E$1-1,COLUMN($D$29)+($AJ251-1)*(COLUMN($J$29)-COLUMN($D$29))))</f>
        <v/>
      </c>
      <c r="AQ251" s="2816" t="str">
        <f>IF(INDEX($A$1:$AI$343,ROW($D$29)+($B251-1)*(ROW($D$63)-ROW($D$29))+Tablas!F$1-1,COLUMN($D$29)+($AJ251-1)*(COLUMN($J$29)-COLUMN($D$29)))="","",INDEX($A$1:$AI$343,ROW($D$29)+($B251-1)*(ROW($D$63)-ROW($D$29))+Tablas!F$1-1,COLUMN($D$29)+($AJ251-1)*(COLUMN($J$29)-COLUMN($D$29))))</f>
        <v/>
      </c>
      <c r="AR251" s="2816" t="str">
        <f>IF(INDEX($A$1:$AI$343,ROW($D$29)+($B251-1)*(ROW($D$63)-ROW($D$29))+Tablas!G$1-1,COLUMN($D$29)+($AJ251-1)*(COLUMN($J$29)-COLUMN($D$29)))="","",INDEX($A$1:$AI$343,ROW($D$29)+($B251-1)*(ROW($D$63)-ROW($D$29))+Tablas!G$1-1,COLUMN($D$29)+($AJ251-1)*(COLUMN($J$29)-COLUMN($D$29))))</f>
        <v/>
      </c>
      <c r="AS251" s="2816"/>
      <c r="AT251" s="3035">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V251" s="2816" t="str">
        <f>IFERROR(VLOOKUP(F251,'Tablas Técnicas'!$C$9:$H$81,6,FALSE),"")</f>
        <v/>
      </c>
      <c r="AW251" s="3035" t="b">
        <f>OR(AV251="",OR(ISNUMBER(SEARCH($O253,AV251)),ISNUMBER(SEARCH($Q253,AV251)),ISNUMBER(SEARCH($O254,AV251)),ISNUMBER(SEARCH($Q254,AV251)),ISNUMBER(SEARCH($O255,AV251)),ISNUMBER(SEARCH($Q255,AV251)),))</f>
        <v>1</v>
      </c>
      <c r="AX251" s="3035" t="b">
        <f>AND(P244&gt;1,OR(MAX(AA261:AA267)=1,MAX(AA261:AA267)=2))</f>
        <v>0</v>
      </c>
      <c r="AZ251" s="3035"/>
      <c r="BA251" s="2816" t="str">
        <f>IF(F251="","",F251&amp;" ("&amp;IF(AL251="","",AL251&amp;", ")&amp;IF(AM251="","",AM251&amp;", ")&amp;IF(AN251="","",AN251&amp;", ")&amp;IF(AO251="","",AO251&amp;", ")&amp;IF(AP251="","",AP251&amp;", ")&amp;IF(AQ251="","",AQ251&amp;", ")&amp;IF(AR251="","",AR251&amp;", "))</f>
        <v/>
      </c>
      <c r="BB251" s="3035" t="str">
        <f>IFERROR(LEFT(BA251,LEN(BA251)-2)&amp;"), ","")</f>
        <v/>
      </c>
      <c r="BC251" s="3023" t="str">
        <f>IFERROR(LEFT(BB251,LEN(BB251)-2)&amp;"), ","")</f>
        <v/>
      </c>
    </row>
    <row r="252" spans="1:55" x14ac:dyDescent="0.2">
      <c r="A252" s="3030"/>
      <c r="B252" s="3070">
        <f t="shared" si="26"/>
        <v>8</v>
      </c>
      <c r="C252" s="5106"/>
      <c r="D252" s="5093" t="s">
        <v>790</v>
      </c>
      <c r="E252" s="5094"/>
      <c r="F252" s="5084"/>
      <c r="G252" s="5085"/>
      <c r="H252" s="5085"/>
      <c r="I252" s="5085"/>
      <c r="J252" s="5086"/>
      <c r="K252" s="5087" t="s">
        <v>1729</v>
      </c>
      <c r="L252" s="5088"/>
      <c r="M252" s="5089"/>
      <c r="N252" s="3032">
        <f>SUMPRODUCT(INDEX('Tablas Técnicas'!$O$10:$X$639,,5),--(INDEX('Tablas Técnicas'!$O$10:$X$639,,1)=F252),--(ISNUMBER(MATCH(INDEX('Tablas Técnicas'!$O$10:$X$639,,2),$AL252:$AR252,0))))</f>
        <v>0</v>
      </c>
      <c r="O252" s="3032" t="str">
        <f>V252+X252+Z252+AB252+AD252+AF252&amp;" / "&amp;SUMPRODUCT(INDEX('Tablas Técnicas'!$O$10:$X$639,,IF(D252="Primario",3,4)),--(INDEX('Tablas Técnicas'!$O$10:$X$639,,1)=F252),--(ISNUMBER(MATCH(INDEX('Tablas Técnicas'!$O$10:$X$639,,2),$AL252:$AR252,0))))+IF(AND(K252&lt;&gt;"-",K252&lt;&gt;""),SUMPRODUCT(INDEX('Tablas Técnicas'!$O$10:$X$639,,IF(K252="Mantenido",6,IF(K252="Sostenimiento menor",7,IF(K252="Sostenimiento mayor",8,0)))),--(INDEX('Tablas Técnicas'!$O$10:$X$639,,1)=F252),--(ISNUMBER(MATCH(INDEX('Tablas Técnicas'!$O$10:$X$639,,2),$AL252:$AR252,0)))),0)+AT252</f>
        <v>0 / 0</v>
      </c>
      <c r="P252" s="3032" t="str">
        <f>W252+Y252+AA252+AC252+AE252+AG252&amp;" / "&amp;IF(K252="Mantenido",SUMPRODUCT(INDEX('Tablas Técnicas'!$O$10:$X$639,,6),--(INDEX('Tablas Técnicas'!$O$10:$X$639,,1)=F252),--(ISNUMBER(MATCH(INDEX('Tablas Técnicas'!$O$10:$X$639,,2),$AL252:$AR252,0)))),0)</f>
        <v>0 / 0</v>
      </c>
      <c r="Q252" s="5095" t="str">
        <f>IFERROR(VLOOKUP(F252,'Tablas Técnicas'!$C$9:$H$81,5,FALSE),"")</f>
        <v/>
      </c>
      <c r="R252" s="5095"/>
      <c r="S252" s="5095"/>
      <c r="T252" s="5095"/>
      <c r="U252" s="5095"/>
      <c r="V252" s="2836"/>
      <c r="W252" s="2837"/>
      <c r="X252" s="2836"/>
      <c r="Y252" s="2838"/>
      <c r="Z252" s="2839"/>
      <c r="AA252" s="2837"/>
      <c r="AB252" s="2836"/>
      <c r="AC252" s="2838"/>
      <c r="AD252" s="2839"/>
      <c r="AE252" s="2837"/>
      <c r="AF252" s="2836"/>
      <c r="AG252" s="2840"/>
      <c r="AH252" s="2821"/>
      <c r="AI252" s="3030"/>
      <c r="AJ252" s="2816">
        <v>5</v>
      </c>
      <c r="AK252" s="2816">
        <f>P244</f>
        <v>1</v>
      </c>
      <c r="AL252" s="2816" t="str">
        <f>IF(INDEX($A$1:$AI$343,ROW($D$29)+($B252-1)*(ROW($D$63)-ROW($D$29))+Tablas!A$1-1,COLUMN($D$29)+($AJ252-1)*(COLUMN($J$29)-COLUMN($D$29)))="","",INDEX($A$1:$AI$343,ROW($D$29)+($B252-1)*(ROW($D$63)-ROW($D$29))+Tablas!A$1-1,COLUMN($D$29)+($AJ252-1)*(COLUMN($J$29)-COLUMN($D$29))))</f>
        <v/>
      </c>
      <c r="AM252" s="2816" t="str">
        <f>IF(INDEX($A$1:$AI$343,ROW($D$29)+($B252-1)*(ROW($D$63)-ROW($D$29))+Tablas!B$1-1,COLUMN($D$29)+($AJ252-1)*(COLUMN($J$29)-COLUMN($D$29)))="","",INDEX($A$1:$AI$343,ROW($D$29)+($B252-1)*(ROW($D$63)-ROW($D$29))+Tablas!B$1-1,COLUMN($D$29)+($AJ252-1)*(COLUMN($J$29)-COLUMN($D$29))))</f>
        <v/>
      </c>
      <c r="AN252" s="2816" t="str">
        <f>IF(INDEX($A$1:$AI$343,ROW($D$29)+($B252-1)*(ROW($D$63)-ROW($D$29))+Tablas!C$1-1,COLUMN($D$29)+($AJ252-1)*(COLUMN($J$29)-COLUMN($D$29)))="","",INDEX($A$1:$AI$343,ROW($D$29)+($B252-1)*(ROW($D$63)-ROW($D$29))+Tablas!C$1-1,COLUMN($D$29)+($AJ252-1)*(COLUMN($J$29)-COLUMN($D$29))))</f>
        <v/>
      </c>
      <c r="AO252" s="2816" t="str">
        <f>IF(INDEX($A$1:$AI$343,ROW($D$29)+($B252-1)*(ROW($D$63)-ROW($D$29))+Tablas!D$1-1,COLUMN($D$29)+($AJ252-1)*(COLUMN($J$29)-COLUMN($D$29)))="","",INDEX($A$1:$AI$343,ROW($D$29)+($B252-1)*(ROW($D$63)-ROW($D$29))+Tablas!D$1-1,COLUMN($D$29)+($AJ252-1)*(COLUMN($J$29)-COLUMN($D$29))))</f>
        <v/>
      </c>
      <c r="AP252" s="2816" t="str">
        <f>IF(INDEX($A$1:$AI$343,ROW($D$29)+($B252-1)*(ROW($D$63)-ROW($D$29))+Tablas!E$1-1,COLUMN($D$29)+($AJ252-1)*(COLUMN($J$29)-COLUMN($D$29)))="","",INDEX($A$1:$AI$343,ROW($D$29)+($B252-1)*(ROW($D$63)-ROW($D$29))+Tablas!E$1-1,COLUMN($D$29)+($AJ252-1)*(COLUMN($J$29)-COLUMN($D$29))))</f>
        <v/>
      </c>
      <c r="AQ252" s="2816" t="str">
        <f>IF(INDEX($A$1:$AI$343,ROW($D$29)+($B252-1)*(ROW($D$63)-ROW($D$29))+Tablas!F$1-1,COLUMN($D$29)+($AJ252-1)*(COLUMN($J$29)-COLUMN($D$29)))="","",INDEX($A$1:$AI$343,ROW($D$29)+($B252-1)*(ROW($D$63)-ROW($D$29))+Tablas!F$1-1,COLUMN($D$29)+($AJ252-1)*(COLUMN($J$29)-COLUMN($D$29))))</f>
        <v/>
      </c>
      <c r="AR252" s="2816" t="str">
        <f>IF(INDEX($A$1:$AI$343,ROW($D$29)+($B252-1)*(ROW($D$63)-ROW($D$29))+Tablas!G$1-1,COLUMN($D$29)+($AJ252-1)*(COLUMN($J$29)-COLUMN($D$29)))="","",INDEX($A$1:$AI$343,ROW($D$29)+($B252-1)*(ROW($D$63)-ROW($D$29))+Tablas!G$1-1,COLUMN($D$29)+($AJ252-1)*(COLUMN($J$29)-COLUMN($D$29))))</f>
        <v/>
      </c>
      <c r="AS252" s="2816"/>
      <c r="AT252" s="3035">
        <f>IF(AND(ISNUMBER(FIND(V$14&amp;"+",$Q252)),V252&gt;0),MID($Q252,FIND(V$14&amp;"+",$Q252)+4,1),0)+IF(AND(ISNUMBER(FIND(X$14&amp;"+",$Q252)),X252&gt;0),MID($Q252,FIND(X$14&amp;"+",$Q252)+4,1),0)+IF(AND(ISNUMBER(FIND(Z$14&amp;"+",$Q252)),Z252&gt;0),MID($Q252,FIND(Z$14&amp;"+",$Q252)+4,1),0)+IF(AND(ISNUMBER(FIND(AB$14&amp;"+",$Q252)),AB252&gt;0),MID($Q252,FIND(AB$14&amp;"+",$Q252)+4,1),0)+IF(AND(ISNUMBER(FIND(AD$14&amp;"+",$Q252)),AD252&gt;0),MID($Q252,FIND(AD$14&amp;"+",$Q252)+4,1),0)+IF(AND(ISNUMBER(FIND(AF$14&amp;"+",$Q252)),AF252&gt;0),MID($Q252,FIND(AF$14&amp;"+",$Q252)+4,1),0)</f>
        <v>0</v>
      </c>
      <c r="AV252" s="2816" t="str">
        <f>IFERROR(VLOOKUP(F252,'Tablas Técnicas'!$C$9:$H$81,6,FALSE),"")</f>
        <v/>
      </c>
      <c r="AW252" s="3035" t="b">
        <f>OR(AV252="",OR(ISNUMBER(SEARCH($O253,AV252)),ISNUMBER(SEARCH($Q253,AV252)),ISNUMBER(SEARCH($O254,AV252)),ISNUMBER(SEARCH($Q254,AV252)),ISNUMBER(SEARCH($O255,AV252)),ISNUMBER(SEARCH($Q255,AV252)),))</f>
        <v>1</v>
      </c>
      <c r="AX252" s="3035" t="b">
        <f>AND(P244&gt;1,OR(MAX(AG261:AG267)=1,MAX(AG261:AG267)=2))</f>
        <v>0</v>
      </c>
      <c r="AZ252" s="3035"/>
      <c r="BA252" s="2816" t="str">
        <f>IF(F252="","",F252&amp;" ("&amp;IF(AL252="","",AL252&amp;", ")&amp;IF(AM252="","",AM252&amp;", ")&amp;IF(AN252="","",AN252&amp;", ")&amp;IF(AO252="","",AO252&amp;", ")&amp;IF(AP252="","",AP252&amp;", ")&amp;IF(AQ252="","",AQ252&amp;", ")&amp;IF(AR252="","",AR252&amp;", "))</f>
        <v/>
      </c>
      <c r="BB252" s="3035" t="str">
        <f t="shared" ref="BB252" si="29">IFERROR(LEFT(BA252,LEN(BA252)-2)&amp;"), ","")</f>
        <v/>
      </c>
      <c r="BC252" s="3023" t="str">
        <f t="shared" ref="BC252" si="30">IFERROR(LEFT(BB252,LEN(BB252)-2)&amp;"), ","")</f>
        <v/>
      </c>
    </row>
    <row r="253" spans="1:55" x14ac:dyDescent="0.2">
      <c r="A253" s="3030"/>
      <c r="B253" s="3070">
        <f t="shared" si="26"/>
        <v>8</v>
      </c>
      <c r="C253" s="5106"/>
      <c r="D253" s="5096" t="s">
        <v>3218</v>
      </c>
      <c r="E253" s="5097"/>
      <c r="F253" s="5102"/>
      <c r="G253" s="5103"/>
      <c r="H253" s="5103"/>
      <c r="I253" s="5103"/>
      <c r="J253" s="5104"/>
      <c r="K253" s="5128"/>
      <c r="L253" s="5176"/>
      <c r="M253" s="5177"/>
      <c r="N253" s="2841" t="str">
        <f>IF(F253="","",SUMPRODUCT(--(INDEX('Tablas Técnicas'!$C$114:$F$200,,1)=F253),--(INDEX('Tablas Técnicas'!$C$114:$F$200,,2)=K253),INDEX('Tablas Técnicas'!$C$114:$F$200,,3)))</f>
        <v/>
      </c>
      <c r="O253" s="5178"/>
      <c r="P253" s="5179"/>
      <c r="Q253" s="5180"/>
      <c r="R253" s="5179"/>
      <c r="S253" s="3036" t="str">
        <f>IF(K253="","","Nivel: "&amp;MAX(1,SUMPRODUCT(--(INDEX('Tablas Técnicas'!$C$114:$F$200,,1)=F253),--(INDEX('Tablas Técnicas'!$C$114:$F$200,,2)=K253),INDEX('Tablas Técnicas'!$C$114:$F$200,,4))))</f>
        <v/>
      </c>
      <c r="T253" s="2842"/>
      <c r="U253" s="2843" t="str">
        <f>IFERROR("("&amp;VLOOKUP(F253,'Tablas Técnicas'!$C$86:$E$108,3,FALSE)&amp;")","")</f>
        <v/>
      </c>
      <c r="V253" s="5195" t="s">
        <v>10245</v>
      </c>
      <c r="W253" s="5196"/>
      <c r="X253" s="5196"/>
      <c r="Y253" s="5196"/>
      <c r="Z253" s="5196"/>
      <c r="AA253" s="5196"/>
      <c r="AB253" s="5196"/>
      <c r="AC253" s="5196"/>
      <c r="AD253" s="5196"/>
      <c r="AE253" s="5196"/>
      <c r="AF253" s="5196"/>
      <c r="AG253" s="5197"/>
      <c r="AH253" s="2821"/>
      <c r="AI253" s="3030"/>
      <c r="AJ253" s="2816">
        <v>1</v>
      </c>
      <c r="AK253" s="2816">
        <f>P244</f>
        <v>1</v>
      </c>
      <c r="AL253" s="2816" t="e">
        <f>VLOOKUP(F253,'Tablas Técnicas'!$C$86:$E$108,2,FALSE)</f>
        <v>#N/A</v>
      </c>
      <c r="AN253" s="2817"/>
      <c r="AR253" s="2816"/>
      <c r="AS253" s="2816"/>
      <c r="AT253" s="2816"/>
      <c r="AU253" s="2816"/>
      <c r="AV253" s="3035"/>
      <c r="AW253" s="3035" t="b">
        <f>F253="Atadura Elemental"</f>
        <v>0</v>
      </c>
      <c r="AX253" s="3035"/>
      <c r="AZ253" s="3035"/>
      <c r="BA253" s="3035"/>
      <c r="BB253" s="2816" t="str">
        <f>IF(F253="","",F253&amp;IF(K253="",""," ("&amp;IF(F253="Atadura Elemental",O253&amp;IF(Q253="","",", "&amp;Q253),K253)&amp;")")&amp;", ")</f>
        <v/>
      </c>
      <c r="BC253" s="2816" t="str">
        <f>IF(F253="","",F253&amp;IF(K253="",""," ("&amp;IF(F253="Atadura Elemental",O253&amp;IF(Q253="","",", "&amp;Q253),K253)&amp;")")&amp;", ")</f>
        <v/>
      </c>
    </row>
    <row r="254" spans="1:55" ht="11.25" customHeight="1" x14ac:dyDescent="0.2">
      <c r="A254" s="3030"/>
      <c r="B254" s="3070">
        <f t="shared" si="26"/>
        <v>8</v>
      </c>
      <c r="C254" s="5106"/>
      <c r="D254" s="5098"/>
      <c r="E254" s="5099"/>
      <c r="F254" s="5171"/>
      <c r="G254" s="5172"/>
      <c r="H254" s="5172"/>
      <c r="I254" s="5172"/>
      <c r="J254" s="5173"/>
      <c r="K254" s="5114"/>
      <c r="L254" s="5156"/>
      <c r="M254" s="5157"/>
      <c r="N254" s="2844" t="str">
        <f>IF(F254="","",SUMPRODUCT(--(INDEX('Tablas Técnicas'!$C$114:$F$200,,1)=F254),--(INDEX('Tablas Técnicas'!$C$114:$F$200,,2)=K254),INDEX('Tablas Técnicas'!$C$114:$F$200,,3)))</f>
        <v/>
      </c>
      <c r="O254" s="5158"/>
      <c r="P254" s="5159"/>
      <c r="Q254" s="5160"/>
      <c r="R254" s="5159"/>
      <c r="S254" s="3039" t="str">
        <f>IF(K254="","","Nivel: "&amp;MAX(1,SUMPRODUCT(--(INDEX('Tablas Técnicas'!$C$114:$F$200,,1)=F254),--(INDEX('Tablas Técnicas'!$C$114:$F$200,,2)=K254),INDEX('Tablas Técnicas'!$C$114:$F$200,,4))))</f>
        <v/>
      </c>
      <c r="T254" s="3015"/>
      <c r="U254" s="3016" t="str">
        <f>IFERROR("("&amp;VLOOKUP(F254,'Tablas Técnicas'!$C$86:$E$108,3,FALSE)&amp;")","")</f>
        <v/>
      </c>
      <c r="V254" s="5198" t="s">
        <v>9659</v>
      </c>
      <c r="W254" s="5199"/>
      <c r="X254" s="5200"/>
      <c r="Y254" s="3025">
        <v>0</v>
      </c>
      <c r="Z254" s="5201" t="s">
        <v>9660</v>
      </c>
      <c r="AA254" s="5202"/>
      <c r="AB254" s="5203"/>
      <c r="AC254" s="3025">
        <v>0</v>
      </c>
      <c r="AD254" s="5204" t="str">
        <f>"Ki repartido / total: "&amp;AL265&amp;IF(AM264=0,""," ("&amp;AM264&amp;")")&amp;" / "&amp;AL264&amp;IF(AM265=0,""," ("&amp;AM265&amp;")")</f>
        <v>Ki repartido / total: 0 / 0</v>
      </c>
      <c r="AE254" s="5205"/>
      <c r="AF254" s="5205"/>
      <c r="AG254" s="5206"/>
      <c r="AH254" s="2821"/>
      <c r="AI254" s="3030"/>
      <c r="AJ254" s="2816">
        <v>2</v>
      </c>
      <c r="AK254" s="2816">
        <f>P244</f>
        <v>1</v>
      </c>
      <c r="AL254" s="2816" t="e">
        <f>VLOOKUP(F254,'Tablas Técnicas'!$C$86:$E$108,2,FALSE)</f>
        <v>#N/A</v>
      </c>
      <c r="AN254" s="2817"/>
      <c r="AR254" s="2816"/>
      <c r="AS254" s="2816"/>
      <c r="AT254" s="2816"/>
      <c r="AU254" s="2816"/>
      <c r="AV254" s="3035"/>
      <c r="AW254" s="3035" t="b">
        <f>F254="Atadura Elemental"</f>
        <v>0</v>
      </c>
      <c r="AX254" s="3035"/>
      <c r="AZ254" s="3035"/>
      <c r="BA254" s="3035"/>
      <c r="BB254" s="2816" t="str">
        <f>IF(F254="","",F254&amp;IF(K254="",""," ("&amp;IF(F254="Atadura Elemental",O254&amp;IF(Q254="","",", "&amp;Q254),K254)&amp;")")&amp;", ")</f>
        <v/>
      </c>
      <c r="BC254" s="2816" t="str">
        <f>IF(F254="","",F254&amp;IF(K254="",""," ("&amp;IF(F254="Atadura Elemental",O254&amp;IF(Q254="","",", "&amp;Q254),K254)&amp;")")&amp;", ")</f>
        <v/>
      </c>
    </row>
    <row r="255" spans="1:55" x14ac:dyDescent="0.2">
      <c r="A255" s="3030"/>
      <c r="B255" s="3070">
        <f t="shared" si="26"/>
        <v>8</v>
      </c>
      <c r="C255" s="5106"/>
      <c r="D255" s="5100"/>
      <c r="E255" s="5101"/>
      <c r="F255" s="5168"/>
      <c r="G255" s="5169"/>
      <c r="H255" s="5169"/>
      <c r="I255" s="5169"/>
      <c r="J255" s="5170"/>
      <c r="K255" s="5148"/>
      <c r="L255" s="5149"/>
      <c r="M255" s="5150"/>
      <c r="N255" s="2845" t="str">
        <f>IF(F255="","",SUMPRODUCT(--(INDEX('Tablas Técnicas'!$C$114:$F$200,,1)=F255),--(INDEX('Tablas Técnicas'!$C$114:$F$200,,2)=K255),INDEX('Tablas Técnicas'!$C$114:$F$200,,3)))</f>
        <v/>
      </c>
      <c r="O255" s="5151"/>
      <c r="P255" s="5152"/>
      <c r="Q255" s="5153"/>
      <c r="R255" s="5152"/>
      <c r="S255" s="3032" t="str">
        <f>IF(K255="","","Nivel: "&amp;MAX(1,SUMPRODUCT(--(INDEX('Tablas Técnicas'!$C$114:$F$200,,1)=F255),--(INDEX('Tablas Técnicas'!$C$114:$F$200,,2)=K255),INDEX('Tablas Técnicas'!$C$114:$F$200,,4))))</f>
        <v/>
      </c>
      <c r="T255" s="2846"/>
      <c r="U255" s="3017" t="str">
        <f>IFERROR("("&amp;VLOOKUP(F255,'Tablas Técnicas'!$C$86:$E$108,3,FALSE)&amp;")","")</f>
        <v/>
      </c>
      <c r="V255" s="5154"/>
      <c r="W255" s="5154"/>
      <c r="X255" s="5154"/>
      <c r="Y255" s="5154"/>
      <c r="Z255" s="5154"/>
      <c r="AA255" s="5154"/>
      <c r="AB255" s="5154"/>
      <c r="AC255" s="5154"/>
      <c r="AD255" s="5154"/>
      <c r="AE255" s="5154"/>
      <c r="AF255" s="5154"/>
      <c r="AG255" s="5155"/>
      <c r="AH255" s="2821"/>
      <c r="AI255" s="3030"/>
      <c r="AJ255" s="2816">
        <v>3</v>
      </c>
      <c r="AK255" s="2816">
        <f>P244</f>
        <v>1</v>
      </c>
      <c r="AL255" s="2816" t="e">
        <f>VLOOKUP(F255,'Tablas Técnicas'!$C$86:$E$108,2,FALSE)</f>
        <v>#N/A</v>
      </c>
      <c r="AN255" s="2817"/>
      <c r="AR255" s="3035"/>
      <c r="AT255" s="3035"/>
      <c r="AV255" s="3035"/>
      <c r="AW255" s="3035" t="b">
        <f>F255="Atadura Elemental"</f>
        <v>0</v>
      </c>
      <c r="AX255" s="3035"/>
      <c r="AZ255" s="3035"/>
      <c r="BA255" s="3035"/>
      <c r="BB255" s="2816" t="str">
        <f>IF(F255="","",F255&amp;IF(K255="",""," ("&amp;IF(F255="Atadura Elemental",O255&amp;IF(Q255="","",", "&amp;Q255),K255)&amp;")")&amp;", ")</f>
        <v/>
      </c>
      <c r="BC255" s="2816" t="str">
        <f>IF(F255="","",F255&amp;IF(K255="",""," ("&amp;IF(F255="Atadura Elemental",O255&amp;IF(Q255="","",", "&amp;Q255),K255)&amp;")")&amp;", ")</f>
        <v/>
      </c>
    </row>
    <row r="256" spans="1:55" x14ac:dyDescent="0.2">
      <c r="A256" s="3030"/>
      <c r="B256" s="3070">
        <f t="shared" si="26"/>
        <v>8</v>
      </c>
      <c r="C256" s="5106"/>
      <c r="D256" s="5069" t="s">
        <v>10241</v>
      </c>
      <c r="E256" s="5070"/>
      <c r="F256" s="5070"/>
      <c r="G256" s="5070"/>
      <c r="H256" s="5070"/>
      <c r="I256" s="5070"/>
      <c r="J256" s="5070"/>
      <c r="K256" s="5070"/>
      <c r="L256" s="5070"/>
      <c r="M256" s="5070"/>
      <c r="N256" s="5070"/>
      <c r="O256" s="5070"/>
      <c r="P256" s="5070"/>
      <c r="Q256" s="5070"/>
      <c r="R256" s="5070"/>
      <c r="S256" s="5070"/>
      <c r="T256" s="5070"/>
      <c r="U256" s="5070"/>
      <c r="V256" s="5070"/>
      <c r="W256" s="5070"/>
      <c r="X256" s="5070"/>
      <c r="Y256" s="5070"/>
      <c r="Z256" s="5070"/>
      <c r="AA256" s="5070"/>
      <c r="AB256" s="5070"/>
      <c r="AC256" s="5070"/>
      <c r="AD256" s="5070"/>
      <c r="AE256" s="5070"/>
      <c r="AF256" s="5070"/>
      <c r="AG256" s="5071"/>
      <c r="AH256" s="2821"/>
      <c r="AI256" s="3030"/>
      <c r="AN256" s="2817" t="s">
        <v>9661</v>
      </c>
      <c r="AO256" s="2816" t="e">
        <f>LEFT(BB248&amp;BB249&amp;BB250&amp;BB251&amp;BB252,LEN(BB248&amp;BB249&amp;BB250&amp;BB251&amp;BB252)-2)</f>
        <v>#VALUE!</v>
      </c>
      <c r="AR256" s="3035"/>
      <c r="AT256" s="2817"/>
      <c r="AU256" s="2817"/>
      <c r="AV256" s="3035"/>
      <c r="AW256" s="3035"/>
      <c r="AX256" s="3035"/>
      <c r="AZ256" s="3035"/>
      <c r="BA256" s="3035"/>
      <c r="BB256" s="3035"/>
      <c r="BC256" s="3023"/>
    </row>
    <row r="257" spans="1:55" x14ac:dyDescent="0.2">
      <c r="A257" s="3030"/>
      <c r="B257" s="3070">
        <f t="shared" si="26"/>
        <v>8</v>
      </c>
      <c r="C257" s="5106"/>
      <c r="D257" s="5066" t="str">
        <f>IF(F248="","",F248)</f>
        <v/>
      </c>
      <c r="E257" s="5067"/>
      <c r="F257" s="5067"/>
      <c r="G257" s="5067"/>
      <c r="H257" s="5067"/>
      <c r="I257" s="5068"/>
      <c r="J257" s="5066" t="str">
        <f>IF(F249="","",F249)</f>
        <v/>
      </c>
      <c r="K257" s="5067"/>
      <c r="L257" s="5067"/>
      <c r="M257" s="5067"/>
      <c r="N257" s="5067"/>
      <c r="O257" s="5068"/>
      <c r="P257" s="5067" t="str">
        <f>IF(F250="","",F250)</f>
        <v/>
      </c>
      <c r="Q257" s="5067"/>
      <c r="R257" s="5067"/>
      <c r="S257" s="5067"/>
      <c r="T257" s="5067"/>
      <c r="U257" s="5068"/>
      <c r="V257" s="5066" t="str">
        <f>IF(F251="","",F251)</f>
        <v/>
      </c>
      <c r="W257" s="5067"/>
      <c r="X257" s="5067"/>
      <c r="Y257" s="5067"/>
      <c r="Z257" s="5067"/>
      <c r="AA257" s="5068"/>
      <c r="AB257" s="5067" t="str">
        <f>IF(F252="","",F252)</f>
        <v/>
      </c>
      <c r="AC257" s="5067"/>
      <c r="AD257" s="5067"/>
      <c r="AE257" s="5067"/>
      <c r="AF257" s="5067"/>
      <c r="AG257" s="5083"/>
      <c r="AH257" s="2821"/>
      <c r="AI257" s="3030"/>
      <c r="AN257" s="2817" t="s">
        <v>9662</v>
      </c>
      <c r="AO257" s="2816" t="e">
        <f>LEFT(BB253&amp;BB254&amp;BB255,LEN(BB253&amp;BB254&amp;BB255)-2)</f>
        <v>#VALUE!</v>
      </c>
      <c r="AR257" s="3035"/>
      <c r="AT257" s="2817"/>
      <c r="AU257" s="2817"/>
      <c r="AV257" s="3035"/>
      <c r="AW257" s="3035"/>
      <c r="AX257" s="3035"/>
      <c r="AZ257" s="3035"/>
      <c r="BA257" s="3035"/>
      <c r="BB257" s="3035"/>
      <c r="BC257" s="3023"/>
    </row>
    <row r="258" spans="1:55" x14ac:dyDescent="0.2">
      <c r="A258" s="3030"/>
      <c r="B258" s="3070">
        <f t="shared" si="26"/>
        <v>8</v>
      </c>
      <c r="C258" s="5106"/>
      <c r="D258" s="3046" t="s">
        <v>2121</v>
      </c>
      <c r="E258" s="3040" t="str">
        <f>IFERROR(VLOOKUP(D257,'Tablas Técnicas'!$C$9:$H$81,3,FALSE),"")</f>
        <v/>
      </c>
      <c r="F258" s="3019"/>
      <c r="G258" s="3018"/>
      <c r="H258" s="3018" t="s">
        <v>1636</v>
      </c>
      <c r="I258" s="3040" t="str">
        <f>IFERROR(VLOOKUP(D257,'Tablas Técnicas'!$C$9:$H$81,4,FALSE),"")</f>
        <v/>
      </c>
      <c r="J258" s="3046" t="s">
        <v>2121</v>
      </c>
      <c r="K258" s="3040" t="str">
        <f>IFERROR(VLOOKUP(J257,'Tablas Técnicas'!$C$9:$H$81,3,FALSE),"")</f>
        <v/>
      </c>
      <c r="L258" s="3019"/>
      <c r="M258" s="3018"/>
      <c r="N258" s="3018" t="s">
        <v>1636</v>
      </c>
      <c r="O258" s="2847" t="str">
        <f>IFERROR(VLOOKUP(J257,'Tablas Técnicas'!$C$9:$H$81,4,FALSE),"")</f>
        <v/>
      </c>
      <c r="P258" s="3018" t="s">
        <v>2121</v>
      </c>
      <c r="Q258" s="3040" t="str">
        <f>IFERROR(VLOOKUP(P257,'Tablas Técnicas'!$C$9:$H$81,3,FALSE),"")</f>
        <v/>
      </c>
      <c r="R258" s="3019"/>
      <c r="S258" s="3018"/>
      <c r="T258" s="3018" t="s">
        <v>1636</v>
      </c>
      <c r="U258" s="3040" t="str">
        <f>IFERROR(VLOOKUP(P257,'Tablas Técnicas'!$C$9:$H$81,4,FALSE),"")</f>
        <v/>
      </c>
      <c r="V258" s="3046" t="s">
        <v>2121</v>
      </c>
      <c r="W258" s="3040" t="str">
        <f>IFERROR(VLOOKUP(V257,'Tablas Técnicas'!$C$9:$H$81,3,FALSE),"")</f>
        <v/>
      </c>
      <c r="X258" s="3019"/>
      <c r="Y258" s="3018"/>
      <c r="Z258" s="3018" t="s">
        <v>1636</v>
      </c>
      <c r="AA258" s="2847" t="str">
        <f>IFERROR(VLOOKUP(V257,'Tablas Técnicas'!$C$9:$H$81,4,FALSE),"")</f>
        <v/>
      </c>
      <c r="AB258" s="3018" t="s">
        <v>2121</v>
      </c>
      <c r="AC258" s="3040" t="str">
        <f>IFERROR(VLOOKUP(AB257,'Tablas Técnicas'!$C$9:$H$81,3,FALSE),"")</f>
        <v/>
      </c>
      <c r="AD258" s="3019"/>
      <c r="AE258" s="3018"/>
      <c r="AF258" s="3018" t="s">
        <v>1636</v>
      </c>
      <c r="AG258" s="2848" t="str">
        <f>IFERROR(VLOOKUP(AB257,'Tablas Técnicas'!$C$9:$H$81,4,FALSE),"")</f>
        <v/>
      </c>
      <c r="AH258" s="2821"/>
      <c r="AI258" s="3030"/>
      <c r="AN258" s="2817"/>
      <c r="AR258" s="3035"/>
      <c r="AT258" s="3035"/>
      <c r="AV258" s="3035"/>
      <c r="AW258" s="3035"/>
      <c r="AX258" s="3035"/>
      <c r="AZ258" s="3035"/>
      <c r="BA258" s="3035"/>
      <c r="BB258" s="3035"/>
      <c r="BC258" s="3023"/>
    </row>
    <row r="259" spans="1:55" x14ac:dyDescent="0.2">
      <c r="A259" s="3030"/>
      <c r="B259" s="3070">
        <f t="shared" si="26"/>
        <v>8</v>
      </c>
      <c r="C259" s="5106"/>
      <c r="D259" s="3047" t="s">
        <v>9663</v>
      </c>
      <c r="E259" s="3018"/>
      <c r="F259" s="3019"/>
      <c r="G259" s="3020"/>
      <c r="H259" s="3020"/>
      <c r="I259" s="3017" t="str">
        <f>AV248</f>
        <v/>
      </c>
      <c r="J259" s="2849" t="s">
        <v>9663</v>
      </c>
      <c r="K259" s="2850"/>
      <c r="L259" s="2851"/>
      <c r="M259" s="2852"/>
      <c r="N259" s="2852"/>
      <c r="O259" s="2853" t="str">
        <f>IFERROR(VLOOKUP(J257,'Tablas Técnicas'!$C$9:$H$81,6,FALSE),"")</f>
        <v/>
      </c>
      <c r="P259" s="2854" t="s">
        <v>9663</v>
      </c>
      <c r="Q259" s="2850"/>
      <c r="R259" s="2851"/>
      <c r="S259" s="2852"/>
      <c r="T259" s="2852"/>
      <c r="U259" s="2855" t="str">
        <f>IFERROR(VLOOKUP(P257,'Tablas Técnicas'!$C$9:$H$81,6,FALSE),"")</f>
        <v/>
      </c>
      <c r="V259" s="2849" t="s">
        <v>9663</v>
      </c>
      <c r="W259" s="2850"/>
      <c r="X259" s="2851"/>
      <c r="Y259" s="2852"/>
      <c r="Z259" s="2852"/>
      <c r="AA259" s="2853" t="str">
        <f>IFERROR(VLOOKUP(V257,'Tablas Técnicas'!$C$9:$H$81,6,FALSE),"")</f>
        <v/>
      </c>
      <c r="AB259" s="2854" t="s">
        <v>9663</v>
      </c>
      <c r="AC259" s="2850"/>
      <c r="AD259" s="2851"/>
      <c r="AE259" s="2852"/>
      <c r="AF259" s="2852"/>
      <c r="AG259" s="2856" t="str">
        <f>IFERROR(VLOOKUP(AB257,'Tablas Técnicas'!$C$9:$H$81,6,FALSE),"")</f>
        <v/>
      </c>
      <c r="AH259" s="2821"/>
      <c r="AI259" s="3030"/>
      <c r="AJ259" s="2816" t="s">
        <v>9664</v>
      </c>
      <c r="AR259" s="3035"/>
      <c r="AT259" s="3035"/>
      <c r="AV259" s="3035"/>
      <c r="AW259" s="3035"/>
      <c r="AX259" s="3035"/>
      <c r="AZ259" s="3035"/>
      <c r="BA259" s="3035"/>
      <c r="BB259" s="2816"/>
      <c r="BC259" s="2816"/>
    </row>
    <row r="260" spans="1:55" x14ac:dyDescent="0.2">
      <c r="A260" s="3030"/>
      <c r="B260" s="3070">
        <f t="shared" si="26"/>
        <v>8</v>
      </c>
      <c r="C260" s="5106"/>
      <c r="D260" s="5066" t="s">
        <v>3226</v>
      </c>
      <c r="E260" s="5067"/>
      <c r="F260" s="5067"/>
      <c r="G260" s="5067"/>
      <c r="H260" s="5068"/>
      <c r="I260" s="2857" t="s">
        <v>1676</v>
      </c>
      <c r="J260" s="5066" t="s">
        <v>3226</v>
      </c>
      <c r="K260" s="5067"/>
      <c r="L260" s="5067"/>
      <c r="M260" s="5067"/>
      <c r="N260" s="5068"/>
      <c r="O260" s="2858" t="s">
        <v>1676</v>
      </c>
      <c r="P260" s="5066" t="s">
        <v>3226</v>
      </c>
      <c r="Q260" s="5067"/>
      <c r="R260" s="5067"/>
      <c r="S260" s="5067"/>
      <c r="T260" s="5068"/>
      <c r="U260" s="2858" t="s">
        <v>1676</v>
      </c>
      <c r="V260" s="5066" t="s">
        <v>3226</v>
      </c>
      <c r="W260" s="5067"/>
      <c r="X260" s="5067"/>
      <c r="Y260" s="5067"/>
      <c r="Z260" s="5068"/>
      <c r="AA260" s="2858" t="s">
        <v>1676</v>
      </c>
      <c r="AB260" s="5066" t="s">
        <v>3226</v>
      </c>
      <c r="AC260" s="5067"/>
      <c r="AD260" s="5067"/>
      <c r="AE260" s="5067"/>
      <c r="AF260" s="5068"/>
      <c r="AG260" s="2859" t="s">
        <v>1676</v>
      </c>
      <c r="AH260" s="2821"/>
      <c r="AI260" s="3030"/>
      <c r="AJ260" s="2816" t="s">
        <v>9665</v>
      </c>
      <c r="AQ260" s="2816"/>
      <c r="AR260" s="2816"/>
      <c r="AS260" s="2816"/>
      <c r="AT260" s="2816"/>
      <c r="AU260" s="2816"/>
      <c r="AV260" s="2816"/>
      <c r="AW260" s="2816"/>
      <c r="AX260" s="2816"/>
      <c r="AY260" s="2816"/>
      <c r="AZ260" s="3035"/>
      <c r="BA260" s="3035"/>
      <c r="BB260" s="3035"/>
      <c r="BC260" s="3023"/>
    </row>
    <row r="261" spans="1:55" x14ac:dyDescent="0.2">
      <c r="A261" s="3030"/>
      <c r="B261" s="3070">
        <f t="shared" si="26"/>
        <v>8</v>
      </c>
      <c r="C261" s="5106"/>
      <c r="D261" s="5081"/>
      <c r="E261" s="5082"/>
      <c r="F261" s="5082"/>
      <c r="G261" s="5082"/>
      <c r="H261" s="5082"/>
      <c r="I261" s="2860" t="str">
        <f>IF(OR(D257="",D261=""),"",MAX(1,SUMPRODUCT(--(INDEX('Tablas Técnicas'!$O$10:$X$639,,1)=D257),--(INDEX('Tablas Técnicas'!$O$10:$X$639,,2)=D261),INDEX('Tablas Técnicas'!$O$10:$X$639,,9))))</f>
        <v/>
      </c>
      <c r="J261" s="5082"/>
      <c r="K261" s="5082"/>
      <c r="L261" s="5082"/>
      <c r="M261" s="5082"/>
      <c r="N261" s="5082"/>
      <c r="O261" s="2860" t="str">
        <f>IF(OR(J257="",J261=""),"",MAX(1,SUMPRODUCT(--(INDEX('Tablas Técnicas'!$O$10:$X$639,,1)=J257),--(INDEX('Tablas Técnicas'!$O$10:$X$639,,2)=J261),INDEX('Tablas Técnicas'!$O$10:$X$639,,9))))</f>
        <v/>
      </c>
      <c r="P261" s="5081"/>
      <c r="Q261" s="5082"/>
      <c r="R261" s="5082"/>
      <c r="S261" s="5082"/>
      <c r="T261" s="5082"/>
      <c r="U261" s="2860" t="str">
        <f>IF(OR(P257="",P261=""),"",MAX(1,SUMPRODUCT(--(INDEX('Tablas Técnicas'!$O$10:$X$639,,1)=P257),--(INDEX('Tablas Técnicas'!$O$10:$X$639,,2)=P261),INDEX('Tablas Técnicas'!$O$10:$X$639,,9))))</f>
        <v/>
      </c>
      <c r="V261" s="5081"/>
      <c r="W261" s="5082"/>
      <c r="X261" s="5082"/>
      <c r="Y261" s="5082"/>
      <c r="Z261" s="5082"/>
      <c r="AA261" s="2860" t="str">
        <f>IF(OR(V257="",V261=""),"",MAX(1,SUMPRODUCT(--(INDEX('Tablas Técnicas'!$O$10:$X$639,,1)=V257),--(INDEX('Tablas Técnicas'!$O$10:$X$639,,2)=V261),INDEX('Tablas Técnicas'!$O$10:$X$639,,9))))</f>
        <v/>
      </c>
      <c r="AB261" s="5081"/>
      <c r="AC261" s="5082"/>
      <c r="AD261" s="5082"/>
      <c r="AE261" s="5082"/>
      <c r="AF261" s="5082"/>
      <c r="AG261" s="2861" t="str">
        <f>IF(OR(AB257="",AB261=""),"",MAX(1,SUMPRODUCT(--(INDEX('Tablas Técnicas'!$O$10:$X$639,,1)=AB257),--(INDEX('Tablas Técnicas'!$O$10:$X$639,,2)=AB261),INDEX('Tablas Técnicas'!$O$10:$X$639,,9))))</f>
        <v/>
      </c>
      <c r="AH261" s="2821">
        <f>P244</f>
        <v>1</v>
      </c>
      <c r="AI261" s="3030"/>
      <c r="AJ261" s="2816" t="s">
        <v>9667</v>
      </c>
      <c r="AK261" s="3035"/>
      <c r="AL261" s="3035"/>
      <c r="AM261" s="3035"/>
      <c r="AN261" s="3035"/>
      <c r="AO261" s="3035"/>
      <c r="AP261" s="2824"/>
      <c r="AQ261" s="2824"/>
      <c r="AR261" s="2824"/>
      <c r="AS261" s="2824"/>
      <c r="AT261" s="2824"/>
      <c r="AU261" s="2824"/>
      <c r="AV261" s="2824"/>
      <c r="AW261" s="2824"/>
      <c r="AX261" s="2824"/>
      <c r="AY261" s="2824"/>
      <c r="AZ261" s="3035"/>
      <c r="BA261" s="3035"/>
      <c r="BB261" s="3035"/>
      <c r="BC261" s="3023"/>
    </row>
    <row r="262" spans="1:55" x14ac:dyDescent="0.2">
      <c r="A262" s="3030"/>
      <c r="B262" s="3070">
        <f t="shared" si="26"/>
        <v>8</v>
      </c>
      <c r="C262" s="5106"/>
      <c r="D262" s="5064"/>
      <c r="E262" s="5065"/>
      <c r="F262" s="5065"/>
      <c r="G262" s="5065"/>
      <c r="H262" s="5065"/>
      <c r="I262" s="2862" t="str">
        <f>IF(OR(D257="",D262=""),"",MAX(1,SUMPRODUCT(--(INDEX('Tablas Técnicas'!$O$10:$X$639,,1)=D257),--(INDEX('Tablas Técnicas'!$O$10:$X$639,,2)=D262),INDEX('Tablas Técnicas'!$O$10:$X$639,,9))))</f>
        <v/>
      </c>
      <c r="J262" s="5065"/>
      <c r="K262" s="5065"/>
      <c r="L262" s="5065"/>
      <c r="M262" s="5065"/>
      <c r="N262" s="5065"/>
      <c r="O262" s="2862" t="str">
        <f>IF(OR(J257="",J262=""),"",MAX(1,SUMPRODUCT(--(INDEX('Tablas Técnicas'!$O$10:$X$639,,1)=J257),--(INDEX('Tablas Técnicas'!$O$10:$X$639,,2)=J262),INDEX('Tablas Técnicas'!$O$10:$X$639,,9))))</f>
        <v/>
      </c>
      <c r="P262" s="5064"/>
      <c r="Q262" s="5065"/>
      <c r="R262" s="5065"/>
      <c r="S262" s="5065"/>
      <c r="T262" s="5065"/>
      <c r="U262" s="2862" t="str">
        <f>IF(OR(P257="",P262=""),"",MAX(1,SUMPRODUCT(--(INDEX('Tablas Técnicas'!$O$10:$X$639,,1)=P257),--(INDEX('Tablas Técnicas'!$O$10:$X$639,,2)=P262),INDEX('Tablas Técnicas'!$O$10:$X$639,,9))))</f>
        <v/>
      </c>
      <c r="V262" s="5064"/>
      <c r="W262" s="5065"/>
      <c r="X262" s="5065"/>
      <c r="Y262" s="5065"/>
      <c r="Z262" s="5065"/>
      <c r="AA262" s="2862" t="str">
        <f>IF(OR(V257="",V262=""),"",MAX(1,SUMPRODUCT(--(INDEX('Tablas Técnicas'!$O$10:$X$639,,1)=V257),--(INDEX('Tablas Técnicas'!$O$10:$X$639,,2)=V262),INDEX('Tablas Técnicas'!$O$10:$X$639,,9))))</f>
        <v/>
      </c>
      <c r="AB262" s="5064"/>
      <c r="AC262" s="5065"/>
      <c r="AD262" s="5065"/>
      <c r="AE262" s="5065"/>
      <c r="AF262" s="5065"/>
      <c r="AG262" s="2863" t="str">
        <f>IF(OR(AB257="",AB262=""),"",MAX(1,SUMPRODUCT(--(INDEX('Tablas Técnicas'!$O$10:$X$639,,1)=AB257),--(INDEX('Tablas Técnicas'!$O$10:$X$639,,2)=AB262),INDEX('Tablas Técnicas'!$O$10:$X$639,,9))))</f>
        <v/>
      </c>
      <c r="AH262" s="2821">
        <f>P244</f>
        <v>1</v>
      </c>
      <c r="AI262" s="3030"/>
      <c r="AJ262" s="3035" t="s">
        <v>1646</v>
      </c>
      <c r="AK262" s="3035" t="s">
        <v>1772</v>
      </c>
      <c r="AL262" s="3035" t="s">
        <v>1651</v>
      </c>
      <c r="AM262" s="3035" t="s">
        <v>1656</v>
      </c>
      <c r="AN262" s="3035" t="s">
        <v>1664</v>
      </c>
      <c r="AO262" s="3035" t="s">
        <v>1665</v>
      </c>
      <c r="AQ262" s="2816"/>
      <c r="AR262" s="2816"/>
      <c r="AS262" s="2816"/>
      <c r="AT262" s="2816"/>
      <c r="AU262" s="2816"/>
      <c r="AV262" s="3035"/>
      <c r="AW262" s="2816"/>
      <c r="AX262" s="2816"/>
      <c r="AY262" s="2816"/>
      <c r="AZ262" s="2816"/>
      <c r="BA262" s="2816"/>
      <c r="BB262" s="2816"/>
      <c r="BC262" s="2816"/>
    </row>
    <row r="263" spans="1:55" x14ac:dyDescent="0.2">
      <c r="A263" s="3030"/>
      <c r="B263" s="3070">
        <f t="shared" si="26"/>
        <v>8</v>
      </c>
      <c r="C263" s="5106"/>
      <c r="D263" s="5064"/>
      <c r="E263" s="5065"/>
      <c r="F263" s="5065"/>
      <c r="G263" s="5065"/>
      <c r="H263" s="5065"/>
      <c r="I263" s="2862" t="str">
        <f>IF(OR(D257="",D263=""),"",MAX(1,SUMPRODUCT(--(INDEX('Tablas Técnicas'!$O$10:$X$639,,1)=D257),--(INDEX('Tablas Técnicas'!$O$10:$X$639,,2)=D263),INDEX('Tablas Técnicas'!$O$10:$X$639,,9))))</f>
        <v/>
      </c>
      <c r="J263" s="5065"/>
      <c r="K263" s="5065"/>
      <c r="L263" s="5065"/>
      <c r="M263" s="5065"/>
      <c r="N263" s="5065"/>
      <c r="O263" s="2862" t="str">
        <f>IF(OR(J257="",J263=""),"",MAX(1,SUMPRODUCT(--(INDEX('Tablas Técnicas'!$O$10:$X$639,,1)=J257),--(INDEX('Tablas Técnicas'!$O$10:$X$639,,2)=J263),INDEX('Tablas Técnicas'!$O$10:$X$639,,9))))</f>
        <v/>
      </c>
      <c r="P263" s="5064"/>
      <c r="Q263" s="5065"/>
      <c r="R263" s="5065"/>
      <c r="S263" s="5065"/>
      <c r="T263" s="5065"/>
      <c r="U263" s="2862" t="str">
        <f>IF(OR(P257="",P263=""),"",MAX(1,SUMPRODUCT(--(INDEX('Tablas Técnicas'!$O$10:$X$639,,1)=P257),--(INDEX('Tablas Técnicas'!$O$10:$X$639,,2)=P263),INDEX('Tablas Técnicas'!$O$10:$X$639,,9))))</f>
        <v/>
      </c>
      <c r="V263" s="5064"/>
      <c r="W263" s="5065"/>
      <c r="X263" s="5065"/>
      <c r="Y263" s="5065"/>
      <c r="Z263" s="5065"/>
      <c r="AA263" s="2862" t="str">
        <f>IF(OR(V257="",V263=""),"",MAX(1,SUMPRODUCT(--(INDEX('Tablas Técnicas'!$O$10:$X$639,,1)=V257),--(INDEX('Tablas Técnicas'!$O$10:$X$639,,2)=V263),INDEX('Tablas Técnicas'!$O$10:$X$639,,9))))</f>
        <v/>
      </c>
      <c r="AB263" s="5064"/>
      <c r="AC263" s="5065"/>
      <c r="AD263" s="5065"/>
      <c r="AE263" s="5065"/>
      <c r="AF263" s="5065"/>
      <c r="AG263" s="2863" t="str">
        <f>IF(OR(AB257="",AB263=""),"",MAX(1,SUMPRODUCT(--(INDEX('Tablas Técnicas'!$O$10:$X$639,,1)=AB257),--(INDEX('Tablas Técnicas'!$O$10:$X$639,,2)=AB263),INDEX('Tablas Técnicas'!$O$10:$X$639,,9))))</f>
        <v/>
      </c>
      <c r="AH263" s="2821">
        <f>P244</f>
        <v>1</v>
      </c>
      <c r="AI263" s="3030"/>
      <c r="AJ263" s="2816" t="str">
        <f>IF(V246="","",IF(SUM(V248:V252)=0,"",V246&amp;" "&amp;SUM(V248:V252)+V255&amp;IF(SUM(W248)=0,""," ("&amp;SUM(W248)&amp;")")&amp;", "))</f>
        <v/>
      </c>
      <c r="AK263" s="2816" t="str">
        <f>IF(X246="","",IF(SUM(X248:X252)=0,"",X246&amp;" "&amp;SUM(X248:X252)+X255&amp;IF(SUM(Y248)=0,""," ("&amp;SUM(Y248)&amp;")")&amp;", "))</f>
        <v/>
      </c>
      <c r="AL263" s="2816" t="str">
        <f>IF(Z246="","",IF(SUM(Z248:Z252)=0,"",Z246&amp;" "&amp;SUM(Z248:Z252)+Z255&amp;IF(SUM(AA248)=0,""," ("&amp;SUM(AA248)&amp;")")&amp;", "))</f>
        <v/>
      </c>
      <c r="AM263" s="2816" t="str">
        <f>IF(AB246="","",IF(SUM(AB248:AB252)=0,"",AB246&amp;" "&amp;SUM(AB248:AB252)+AB255&amp;IF(SUM(AC248)=0,""," ("&amp;SUM(AC248)&amp;")")&amp;", "))</f>
        <v/>
      </c>
      <c r="AN263" s="2816" t="str">
        <f>IF(AD246="","",IF(SUM(AD248:AD252)=0,"",AD246&amp;" "&amp;SUM(AD248:AD252)+AD255&amp;IF(SUM(AE248)=0,""," ("&amp;SUM(AE248)&amp;")")&amp;", "))</f>
        <v/>
      </c>
      <c r="AO263" s="2816" t="str">
        <f>IF(AF246="","",IF(SUM(AF248:AF252)=0,"",AF246&amp;" "&amp;SUM(AF248:AF252)+AF255&amp;IF(SUM(AG248)=0,""," ("&amp;SUM(AG248)&amp;")")&amp;", "))</f>
        <v/>
      </c>
      <c r="AQ263" s="2816"/>
      <c r="AR263" s="2816"/>
      <c r="AS263" s="2816"/>
      <c r="AT263" s="2816"/>
      <c r="AU263" s="2816"/>
      <c r="AV263" s="3035"/>
      <c r="AW263" s="3035"/>
      <c r="AX263" s="3035"/>
      <c r="AZ263" s="3035"/>
      <c r="BA263" s="3035"/>
      <c r="BB263" s="2816"/>
      <c r="BC263" s="2816"/>
    </row>
    <row r="264" spans="1:55" x14ac:dyDescent="0.2">
      <c r="A264" s="3030"/>
      <c r="B264" s="3070">
        <f t="shared" si="26"/>
        <v>8</v>
      </c>
      <c r="C264" s="5106"/>
      <c r="D264" s="5064"/>
      <c r="E264" s="5065"/>
      <c r="F264" s="5065"/>
      <c r="G264" s="5065"/>
      <c r="H264" s="5065"/>
      <c r="I264" s="2862" t="str">
        <f>IF(OR(D257="",D264=""),"",MAX(1,SUMPRODUCT(--(INDEX('Tablas Técnicas'!$O$10:$X$639,,1)=D257),--(INDEX('Tablas Técnicas'!$O$10:$X$639,,2)=D264),INDEX('Tablas Técnicas'!$O$10:$X$639,,9))))</f>
        <v/>
      </c>
      <c r="J264" s="5065"/>
      <c r="K264" s="5065"/>
      <c r="L264" s="5065"/>
      <c r="M264" s="5065"/>
      <c r="N264" s="5065"/>
      <c r="O264" s="2862" t="str">
        <f>IF(OR(J257="",J264=""),"",MAX(1,SUMPRODUCT(--(INDEX('Tablas Técnicas'!$O$10:$X$639,,1)=J257),--(INDEX('Tablas Técnicas'!$O$10:$X$639,,2)=J264),INDEX('Tablas Técnicas'!$O$10:$X$639,,9))))</f>
        <v/>
      </c>
      <c r="P264" s="5064"/>
      <c r="Q264" s="5065"/>
      <c r="R264" s="5065"/>
      <c r="S264" s="5065"/>
      <c r="T264" s="5065"/>
      <c r="U264" s="2862" t="str">
        <f>IF(OR(P257="",P264=""),"",MAX(1,SUMPRODUCT(--(INDEX('Tablas Técnicas'!$O$10:$X$639,,1)=P257),--(INDEX('Tablas Técnicas'!$O$10:$X$639,,2)=P264),INDEX('Tablas Técnicas'!$O$10:$X$639,,9))))</f>
        <v/>
      </c>
      <c r="V264" s="5064"/>
      <c r="W264" s="5065"/>
      <c r="X264" s="5065"/>
      <c r="Y264" s="5065"/>
      <c r="Z264" s="5065"/>
      <c r="AA264" s="2862" t="str">
        <f>IF(OR(V257="",V264=""),"",MAX(1,SUMPRODUCT(--(INDEX('Tablas Técnicas'!$O$10:$X$639,,1)=V257),--(INDEX('Tablas Técnicas'!$O$10:$X$639,,2)=V264),INDEX('Tablas Técnicas'!$O$10:$X$639,,9))))</f>
        <v/>
      </c>
      <c r="AB264" s="5064"/>
      <c r="AC264" s="5065"/>
      <c r="AD264" s="5065"/>
      <c r="AE264" s="5065"/>
      <c r="AF264" s="5065"/>
      <c r="AG264" s="2863" t="str">
        <f>IF(OR(AB257="",AB264=""),"",MAX(1,SUMPRODUCT(--(INDEX('Tablas Técnicas'!$O$10:$X$639,,1)=AB257),--(INDEX('Tablas Técnicas'!$O$10:$X$639,,2)=AB264),INDEX('Tablas Técnicas'!$O$10:$X$639,,9))))</f>
        <v/>
      </c>
      <c r="AH264" s="2821">
        <f>P244</f>
        <v>1</v>
      </c>
      <c r="AI264" s="3030"/>
      <c r="AJ264" s="2816" t="s">
        <v>10242</v>
      </c>
      <c r="AL264" s="2816">
        <f t="array" ref="AL264">MAX(0,SUM(VALUE(RIGHT(O248:O252,2)))+ABS($AC254*2/5))+IF(AM271,Y254,0)+IF(S244="Si",3*P244,0)</f>
        <v>0</v>
      </c>
      <c r="AM264" s="2816">
        <f t="array" ref="AM264">IF(ISNUMBER(SEARCH("Mantenido",K248&amp;K249&amp;K250&amp;K251&amp;K252)),MAX(0,SUM(VALUE(RIGHT($P248:$P252,2)))),0)</f>
        <v>0</v>
      </c>
      <c r="AR264" s="3035"/>
      <c r="AT264" s="3035"/>
      <c r="AV264" s="3035"/>
      <c r="AW264" s="3035"/>
      <c r="AX264" s="3035"/>
      <c r="AZ264" s="3035"/>
      <c r="BA264" s="3035"/>
      <c r="BB264" s="2816"/>
      <c r="BC264" s="2816"/>
    </row>
    <row r="265" spans="1:55" x14ac:dyDescent="0.2">
      <c r="A265" s="3030"/>
      <c r="B265" s="3070">
        <f t="shared" si="26"/>
        <v>8</v>
      </c>
      <c r="C265" s="5106"/>
      <c r="D265" s="5064"/>
      <c r="E265" s="5065"/>
      <c r="F265" s="5065"/>
      <c r="G265" s="5065"/>
      <c r="H265" s="5065"/>
      <c r="I265" s="2862" t="str">
        <f>IF(OR(D257="",D265=""),"",MAX(1,SUMPRODUCT(--(INDEX('Tablas Técnicas'!$O$10:$X$639,,1)=D257),--(INDEX('Tablas Técnicas'!$O$10:$X$639,,2)=D265),INDEX('Tablas Técnicas'!$O$10:$X$639,,9))))</f>
        <v/>
      </c>
      <c r="J265" s="5065"/>
      <c r="K265" s="5065"/>
      <c r="L265" s="5065"/>
      <c r="M265" s="5065"/>
      <c r="N265" s="5065"/>
      <c r="O265" s="2862" t="str">
        <f>IF(OR(J257="",J265=""),"",MAX(1,SUMPRODUCT(--(INDEX('Tablas Técnicas'!$O$10:$X$639,,1)=J257),--(INDEX('Tablas Técnicas'!$O$10:$X$639,,2)=J265),INDEX('Tablas Técnicas'!$O$10:$X$639,,9))))</f>
        <v/>
      </c>
      <c r="P265" s="5064"/>
      <c r="Q265" s="5065"/>
      <c r="R265" s="5065"/>
      <c r="S265" s="5065"/>
      <c r="T265" s="5065"/>
      <c r="U265" s="2862" t="str">
        <f>IF(OR(P257="",P265=""),"",MAX(1,SUMPRODUCT(--(INDEX('Tablas Técnicas'!$O$10:$X$639,,1)=P257),--(INDEX('Tablas Técnicas'!$O$10:$X$639,,2)=P265),INDEX('Tablas Técnicas'!$O$10:$X$639,,9))))</f>
        <v/>
      </c>
      <c r="V265" s="5064"/>
      <c r="W265" s="5065"/>
      <c r="X265" s="5065"/>
      <c r="Y265" s="5065"/>
      <c r="Z265" s="5065"/>
      <c r="AA265" s="2862" t="str">
        <f>IF(OR(V257="",V265=""),"",MAX(1,SUMPRODUCT(--(INDEX('Tablas Técnicas'!$O$10:$X$639,,1)=V257),--(INDEX('Tablas Técnicas'!$O$10:$X$639,,2)=V265),INDEX('Tablas Técnicas'!$O$10:$X$639,,9))))</f>
        <v/>
      </c>
      <c r="AB265" s="5064"/>
      <c r="AC265" s="5065"/>
      <c r="AD265" s="5065"/>
      <c r="AE265" s="5065"/>
      <c r="AF265" s="5065"/>
      <c r="AG265" s="2863" t="str">
        <f>IF(OR(AB257="",AB265=""),"",MAX(1,SUMPRODUCT(--(INDEX('Tablas Técnicas'!$O$10:$X$639,,1)=AB257),--(INDEX('Tablas Técnicas'!$O$10:$X$639,,2)=AB265),INDEX('Tablas Técnicas'!$O$10:$X$639,,9))))</f>
        <v/>
      </c>
      <c r="AH265" s="2821">
        <f>P244</f>
        <v>1</v>
      </c>
      <c r="AI265" s="3030"/>
      <c r="AJ265" s="2816" t="s">
        <v>9668</v>
      </c>
      <c r="AL265" s="2816">
        <f>SUM(V248:V252,X248:X252,Z248:Z252,AB248:AB252,AD248:AD252,AF248:AF252)+SUM(V255:AG255)</f>
        <v>0</v>
      </c>
      <c r="AM265" s="2816">
        <f>SUM(W248:W252,Y248:Y252,AA248:AA252,AC248:AC252,AE248:AE252,AG248:AG252)</f>
        <v>0</v>
      </c>
      <c r="AR265" s="3035"/>
      <c r="AT265" s="3035"/>
      <c r="AV265" s="3035"/>
      <c r="AW265" s="3035"/>
      <c r="AX265" s="3035"/>
      <c r="AZ265" s="3035"/>
      <c r="BA265" s="3035"/>
      <c r="BB265" s="2816"/>
      <c r="BC265" s="2816"/>
    </row>
    <row r="266" spans="1:55" x14ac:dyDescent="0.2">
      <c r="A266" s="3030"/>
      <c r="B266" s="3070">
        <f t="shared" si="26"/>
        <v>8</v>
      </c>
      <c r="C266" s="5106"/>
      <c r="D266" s="5064"/>
      <c r="E266" s="5065"/>
      <c r="F266" s="5065"/>
      <c r="G266" s="5065"/>
      <c r="H266" s="5065"/>
      <c r="I266" s="2862" t="str">
        <f>IF(OR(D257="",D266=""),"",MAX(1,SUMPRODUCT(--(INDEX('Tablas Técnicas'!$O$10:$X$639,,1)=D257),--(INDEX('Tablas Técnicas'!$O$10:$X$639,,2)=D266),INDEX('Tablas Técnicas'!$O$10:$X$639,,9))))</f>
        <v/>
      </c>
      <c r="J266" s="5065"/>
      <c r="K266" s="5065"/>
      <c r="L266" s="5065"/>
      <c r="M266" s="5065"/>
      <c r="N266" s="5065"/>
      <c r="O266" s="2862" t="str">
        <f>IF(OR(J257="",J266=""),"",MAX(1,SUMPRODUCT(--(INDEX('Tablas Técnicas'!$O$10:$X$639,,1)=J257),--(INDEX('Tablas Técnicas'!$O$10:$X$639,,2)=J266),INDEX('Tablas Técnicas'!$O$10:$X$639,,9))))</f>
        <v/>
      </c>
      <c r="P266" s="5064"/>
      <c r="Q266" s="5065"/>
      <c r="R266" s="5065"/>
      <c r="S266" s="5065"/>
      <c r="T266" s="5065"/>
      <c r="U266" s="2862" t="str">
        <f>IF(OR(P257="",P266=""),"",MAX(1,SUMPRODUCT(--(INDEX('Tablas Técnicas'!$O$10:$X$639,,1)=P257),--(INDEX('Tablas Técnicas'!$O$10:$X$639,,2)=P266),INDEX('Tablas Técnicas'!$O$10:$X$639,,9))))</f>
        <v/>
      </c>
      <c r="V266" s="5064"/>
      <c r="W266" s="5065"/>
      <c r="X266" s="5065"/>
      <c r="Y266" s="5065"/>
      <c r="Z266" s="5065"/>
      <c r="AA266" s="2862" t="str">
        <f>IF(OR(V257="",V266=""),"",MAX(1,SUMPRODUCT(--(INDEX('Tablas Técnicas'!$O$10:$X$639,,1)=V257),--(INDEX('Tablas Técnicas'!$O$10:$X$639,,2)=V266),INDEX('Tablas Técnicas'!$O$10:$X$639,,9))))</f>
        <v/>
      </c>
      <c r="AB266" s="5064"/>
      <c r="AC266" s="5065"/>
      <c r="AD266" s="5065"/>
      <c r="AE266" s="5065"/>
      <c r="AF266" s="5065"/>
      <c r="AG266" s="2863" t="str">
        <f>IF(OR(AB257="",AB266=""),"",MAX(1,SUMPRODUCT(--(INDEX('Tablas Técnicas'!$O$10:$X$639,,1)=AB257),--(INDEX('Tablas Técnicas'!$O$10:$X$639,,2)=AB266),INDEX('Tablas Técnicas'!$O$10:$X$639,,9))))</f>
        <v/>
      </c>
      <c r="AH266" s="2821">
        <f>P244</f>
        <v>1</v>
      </c>
      <c r="AI266" s="3030"/>
      <c r="AR266" s="3035"/>
      <c r="AT266" s="3035"/>
      <c r="AV266" s="3035"/>
      <c r="AW266" s="3035"/>
      <c r="AX266" s="3035"/>
      <c r="AZ266" s="3035"/>
      <c r="BA266" s="3035"/>
      <c r="BB266" s="2816"/>
      <c r="BC266" s="2816"/>
    </row>
    <row r="267" spans="1:55" x14ac:dyDescent="0.2">
      <c r="A267" s="3030"/>
      <c r="B267" s="3070">
        <f t="shared" si="26"/>
        <v>8</v>
      </c>
      <c r="C267" s="5106"/>
      <c r="D267" s="5079"/>
      <c r="E267" s="5080"/>
      <c r="F267" s="5080"/>
      <c r="G267" s="5080"/>
      <c r="H267" s="5080"/>
      <c r="I267" s="2864" t="str">
        <f>IF(OR(D257="",D267=""),"",MAX(1,SUMPRODUCT(--(INDEX('Tablas Técnicas'!$O$10:$X$639,,1)=D257),--(INDEX('Tablas Técnicas'!$O$10:$X$639,,2)=D267),INDEX('Tablas Técnicas'!$O$10:$X$639,,9))))</f>
        <v/>
      </c>
      <c r="J267" s="5080"/>
      <c r="K267" s="5080"/>
      <c r="L267" s="5080"/>
      <c r="M267" s="5080"/>
      <c r="N267" s="5080"/>
      <c r="O267" s="2864" t="str">
        <f>IF(OR(J257="",J267=""),"",MAX(1,SUMPRODUCT(--(INDEX('Tablas Técnicas'!$O$10:$X$639,,1)=J257),--(INDEX('Tablas Técnicas'!$O$10:$X$639,,2)=J267),INDEX('Tablas Técnicas'!$O$10:$X$639,,9))))</f>
        <v/>
      </c>
      <c r="P267" s="5079"/>
      <c r="Q267" s="5080"/>
      <c r="R267" s="5080"/>
      <c r="S267" s="5080"/>
      <c r="T267" s="5080"/>
      <c r="U267" s="2864" t="str">
        <f>IF(OR(P257="",P267=""),"",MAX(1,SUMPRODUCT(--(INDEX('Tablas Técnicas'!$O$10:$X$639,,1)=P257),--(INDEX('Tablas Técnicas'!$O$10:$X$639,,2)=P267),INDEX('Tablas Técnicas'!$O$10:$X$639,,9))))</f>
        <v/>
      </c>
      <c r="V267" s="5079"/>
      <c r="W267" s="5080"/>
      <c r="X267" s="5080"/>
      <c r="Y267" s="5080"/>
      <c r="Z267" s="5080"/>
      <c r="AA267" s="2864" t="str">
        <f>IF(OR(V257="",V267=""),"",MAX(1,SUMPRODUCT(--(INDEX('Tablas Técnicas'!$O$10:$X$639,,1)=V257),--(INDEX('Tablas Técnicas'!$O$10:$X$639,,2)=V267),INDEX('Tablas Técnicas'!$O$10:$X$639,,9))))</f>
        <v/>
      </c>
      <c r="AB267" s="5079"/>
      <c r="AC267" s="5080"/>
      <c r="AD267" s="5080"/>
      <c r="AE267" s="5080"/>
      <c r="AF267" s="5080"/>
      <c r="AG267" s="2865" t="str">
        <f>IF(OR(AB257="",AB267=""),"",MAX(1,SUMPRODUCT(--(INDEX('Tablas Técnicas'!$O$10:$X$639,,1)=AB257),--(INDEX('Tablas Técnicas'!$O$10:$X$639,,2)=AB267),INDEX('Tablas Técnicas'!$O$10:$X$639,,9))))</f>
        <v/>
      </c>
      <c r="AH267" s="2821">
        <f>P244</f>
        <v>1</v>
      </c>
      <c r="AI267" s="3030"/>
      <c r="AJ267" s="2816" t="s">
        <v>9669</v>
      </c>
      <c r="AN267" s="2817" t="s">
        <v>10256</v>
      </c>
      <c r="AO267" s="2816" t="s">
        <v>10255</v>
      </c>
      <c r="AQ267" s="2816"/>
      <c r="AR267" s="2816" t="b">
        <f>AND(D248="Primario",COUNTIF(D248:E252,"Primario")&gt;1)</f>
        <v>0</v>
      </c>
      <c r="AS267" s="2816"/>
      <c r="AT267" s="3035"/>
      <c r="AV267" s="3035"/>
      <c r="AW267" s="3035"/>
      <c r="AX267" s="3035"/>
      <c r="AZ267" s="3035"/>
      <c r="BA267" s="3035"/>
      <c r="BB267" s="2816"/>
      <c r="BC267" s="2816"/>
    </row>
    <row r="268" spans="1:55" x14ac:dyDescent="0.2">
      <c r="A268" s="3030"/>
      <c r="B268" s="3070">
        <f t="shared" si="26"/>
        <v>8</v>
      </c>
      <c r="C268" s="5106"/>
      <c r="D268" s="5069" t="s">
        <v>1824</v>
      </c>
      <c r="E268" s="5070"/>
      <c r="F268" s="5070"/>
      <c r="G268" s="5070"/>
      <c r="H268" s="5070"/>
      <c r="I268" s="5070"/>
      <c r="J268" s="5070"/>
      <c r="K268" s="5070"/>
      <c r="L268" s="5070"/>
      <c r="M268" s="5070"/>
      <c r="N268" s="5070"/>
      <c r="O268" s="5070"/>
      <c r="P268" s="5070"/>
      <c r="Q268" s="5070"/>
      <c r="R268" s="5070"/>
      <c r="S268" s="5070"/>
      <c r="T268" s="5070"/>
      <c r="U268" s="5070"/>
      <c r="V268" s="5070"/>
      <c r="W268" s="5070"/>
      <c r="X268" s="5070"/>
      <c r="Y268" s="5070"/>
      <c r="Z268" s="5070"/>
      <c r="AA268" s="5070"/>
      <c r="AB268" s="5070"/>
      <c r="AC268" s="5070"/>
      <c r="AD268" s="5070"/>
      <c r="AE268" s="5070"/>
      <c r="AF268" s="5070"/>
      <c r="AG268" s="5071"/>
      <c r="AH268" s="2821"/>
      <c r="AI268" s="3030"/>
      <c r="AJ268" s="2816" t="s">
        <v>9670</v>
      </c>
      <c r="AM268" s="2816" t="b">
        <f t="array" ref="AM268">MAX(I261:I267,O261:O267,U261:U267,AA261:AA267,AG261:AG267,RIGHT(S253:S255,1))&gt;P244</f>
        <v>0</v>
      </c>
      <c r="AN268" s="2817" t="s">
        <v>10257</v>
      </c>
      <c r="AO268" s="2816" t="s">
        <v>10255</v>
      </c>
      <c r="AR268" s="2816" t="b">
        <f>AND(D249="Primario",COUNTIF(D248:E252,"Primario")&gt;1)</f>
        <v>0</v>
      </c>
      <c r="AS268" s="2816"/>
      <c r="AT268" s="3035"/>
      <c r="AV268" s="3035"/>
      <c r="AW268" s="3035"/>
      <c r="AX268" s="3035"/>
      <c r="AZ268" s="3035"/>
      <c r="BA268" s="3035"/>
      <c r="BB268" s="2816" t="str">
        <f>$F252&amp;INDEX($D261:$AG267,Tablas!E$1,1+6*(Tablas!$A$4-1))</f>
        <v/>
      </c>
      <c r="BC268" s="2816" t="str">
        <f>$F252&amp;INDEX($D261:$AG267,Tablas!F$1,1+6*(Tablas!$A$4-1))</f>
        <v/>
      </c>
    </row>
    <row r="269" spans="1:55" x14ac:dyDescent="0.2">
      <c r="A269" s="3030"/>
      <c r="B269" s="3070">
        <f t="shared" si="26"/>
        <v>8</v>
      </c>
      <c r="C269" s="5106"/>
      <c r="D269" s="5072"/>
      <c r="E269" s="5073"/>
      <c r="F269" s="5073"/>
      <c r="G269" s="5073"/>
      <c r="H269" s="5073"/>
      <c r="I269" s="5073"/>
      <c r="J269" s="5073"/>
      <c r="K269" s="5073"/>
      <c r="L269" s="5073"/>
      <c r="M269" s="5073"/>
      <c r="N269" s="5073"/>
      <c r="O269" s="5073"/>
      <c r="P269" s="5073"/>
      <c r="Q269" s="5073"/>
      <c r="R269" s="5073"/>
      <c r="S269" s="5073"/>
      <c r="T269" s="5073"/>
      <c r="U269" s="5073"/>
      <c r="V269" s="5073"/>
      <c r="W269" s="5073"/>
      <c r="X269" s="5073"/>
      <c r="Y269" s="5073"/>
      <c r="Z269" s="5073"/>
      <c r="AA269" s="5073"/>
      <c r="AB269" s="5073"/>
      <c r="AC269" s="5073"/>
      <c r="AD269" s="5073"/>
      <c r="AE269" s="5073"/>
      <c r="AF269" s="5073"/>
      <c r="AG269" s="5074"/>
      <c r="AH269" s="2821"/>
      <c r="AI269" s="3030"/>
      <c r="AJ269" s="2816" t="s">
        <v>10243</v>
      </c>
      <c r="AM269" s="2816" t="b">
        <f>NOT(AND(AW248:AW252))</f>
        <v>0</v>
      </c>
      <c r="AN269" s="2817" t="s">
        <v>10258</v>
      </c>
      <c r="AO269" s="2816" t="s">
        <v>10255</v>
      </c>
      <c r="AR269" s="2816" t="b">
        <f>AND(D250="Primario",COUNTIF(D248:E252,"Primario")&gt;1)</f>
        <v>0</v>
      </c>
      <c r="AS269" s="2816"/>
      <c r="AT269" s="3035"/>
      <c r="AV269" s="3035"/>
      <c r="AW269" s="3035"/>
      <c r="AX269" s="3035"/>
      <c r="AZ269" s="3035"/>
      <c r="BA269" s="3035"/>
      <c r="BB269" s="2816"/>
      <c r="BC269" s="2816"/>
    </row>
    <row r="270" spans="1:55" x14ac:dyDescent="0.2">
      <c r="A270" s="3030"/>
      <c r="B270" s="3070">
        <f t="shared" si="26"/>
        <v>8</v>
      </c>
      <c r="C270" s="5106"/>
      <c r="D270" s="5072"/>
      <c r="E270" s="5073"/>
      <c r="F270" s="5073"/>
      <c r="G270" s="5073"/>
      <c r="H270" s="5073"/>
      <c r="I270" s="5073"/>
      <c r="J270" s="5073"/>
      <c r="K270" s="5073"/>
      <c r="L270" s="5073"/>
      <c r="M270" s="5073"/>
      <c r="N270" s="5073"/>
      <c r="O270" s="5073"/>
      <c r="P270" s="5073"/>
      <c r="Q270" s="5073"/>
      <c r="R270" s="5073"/>
      <c r="S270" s="5073"/>
      <c r="T270" s="5073"/>
      <c r="U270" s="5073"/>
      <c r="V270" s="5073"/>
      <c r="W270" s="5073"/>
      <c r="X270" s="5073"/>
      <c r="Y270" s="5073"/>
      <c r="Z270" s="5073"/>
      <c r="AA270" s="5073"/>
      <c r="AB270" s="5073"/>
      <c r="AC270" s="5073"/>
      <c r="AD270" s="5073"/>
      <c r="AE270" s="5073"/>
      <c r="AF270" s="5073"/>
      <c r="AG270" s="5074"/>
      <c r="AH270" s="2821"/>
      <c r="AI270" s="3030"/>
      <c r="AJ270" s="2816" t="s">
        <v>10244</v>
      </c>
      <c r="AM270" s="2816" t="b">
        <f>AL264-AL265+AM264-AM265&lt;&gt;0</f>
        <v>0</v>
      </c>
      <c r="AN270" s="2817" t="s">
        <v>10259</v>
      </c>
      <c r="AO270" s="2816" t="s">
        <v>10255</v>
      </c>
      <c r="AR270" s="2816" t="b">
        <f>AND(D251="Primario",COUNTIF(D248:E252,"Primario")&gt;1)</f>
        <v>0</v>
      </c>
      <c r="AS270" s="2816"/>
      <c r="AT270" s="3035"/>
      <c r="AV270" s="3035"/>
      <c r="AW270" s="3035"/>
      <c r="AX270" s="3035"/>
      <c r="AZ270" s="3035"/>
      <c r="BA270" s="3035"/>
      <c r="BB270" s="2816"/>
      <c r="BC270" s="2816"/>
    </row>
    <row r="271" spans="1:55" x14ac:dyDescent="0.2">
      <c r="A271" s="3030"/>
      <c r="B271" s="3070">
        <f t="shared" si="26"/>
        <v>8</v>
      </c>
      <c r="C271" s="5106"/>
      <c r="D271" s="5072"/>
      <c r="E271" s="5073"/>
      <c r="F271" s="5073"/>
      <c r="G271" s="5073"/>
      <c r="H271" s="5073"/>
      <c r="I271" s="5073"/>
      <c r="J271" s="5073"/>
      <c r="K271" s="5073"/>
      <c r="L271" s="5073"/>
      <c r="M271" s="5073"/>
      <c r="N271" s="5073"/>
      <c r="O271" s="5073"/>
      <c r="P271" s="5073"/>
      <c r="Q271" s="5073"/>
      <c r="R271" s="5073"/>
      <c r="S271" s="5073"/>
      <c r="T271" s="5073"/>
      <c r="U271" s="5073"/>
      <c r="V271" s="5073"/>
      <c r="W271" s="5073"/>
      <c r="X271" s="5073"/>
      <c r="Y271" s="5073"/>
      <c r="Z271" s="5073"/>
      <c r="AA271" s="5073"/>
      <c r="AB271" s="5073"/>
      <c r="AC271" s="5073"/>
      <c r="AD271" s="5073"/>
      <c r="AE271" s="5073"/>
      <c r="AF271" s="5073"/>
      <c r="AG271" s="5074"/>
      <c r="AH271" s="2821"/>
      <c r="AI271" s="3030"/>
      <c r="AJ271" s="2816" t="s">
        <v>10247</v>
      </c>
      <c r="AM271" s="2816" t="b">
        <f>(IF(SUM(V248:V252)&gt;0,1,0)+IF(SUM(X248:X252)&gt;0,1,0)+IF(SUM(Z248:Z252)&gt;0,1,0)+IF(SUM(AB248:AB252)&gt;0,1,0)+IF(SUM(AD248:AD252,)&gt;0,1,0)+IF(SUM(AF248:AF252)&gt;0,1,0))&lt;3</f>
        <v>1</v>
      </c>
      <c r="AN271" s="2817" t="s">
        <v>10260</v>
      </c>
      <c r="AO271" s="2816" t="s">
        <v>10255</v>
      </c>
      <c r="AQ271" s="2816"/>
      <c r="AR271" s="2816" t="b">
        <f>AND(D252="Primario",COUNTIF(D248:E252,"Primario")&gt;1)</f>
        <v>0</v>
      </c>
      <c r="AS271" s="2816"/>
      <c r="AT271" s="3035"/>
      <c r="AV271" s="3035"/>
      <c r="AW271" s="3035"/>
      <c r="AX271" s="3035"/>
      <c r="AZ271" s="3035"/>
      <c r="BA271" s="3035"/>
      <c r="BB271" s="2816"/>
      <c r="BC271" s="2816"/>
    </row>
    <row r="272" spans="1:55" x14ac:dyDescent="0.2">
      <c r="A272" s="3030"/>
      <c r="B272" s="3070">
        <f t="shared" si="26"/>
        <v>8</v>
      </c>
      <c r="C272" s="5106"/>
      <c r="D272" s="5072"/>
      <c r="E272" s="5073"/>
      <c r="F272" s="5073"/>
      <c r="G272" s="5073"/>
      <c r="H272" s="5073"/>
      <c r="I272" s="5073"/>
      <c r="J272" s="5073"/>
      <c r="K272" s="5073"/>
      <c r="L272" s="5073"/>
      <c r="M272" s="5073"/>
      <c r="N272" s="5073"/>
      <c r="O272" s="5073"/>
      <c r="P272" s="5073"/>
      <c r="Q272" s="5073"/>
      <c r="R272" s="5073"/>
      <c r="S272" s="5073"/>
      <c r="T272" s="5073"/>
      <c r="U272" s="5073"/>
      <c r="V272" s="5073"/>
      <c r="W272" s="5073"/>
      <c r="X272" s="5073"/>
      <c r="Y272" s="5073"/>
      <c r="Z272" s="5073"/>
      <c r="AA272" s="5073"/>
      <c r="AB272" s="5073"/>
      <c r="AC272" s="5073"/>
      <c r="AD272" s="5073"/>
      <c r="AE272" s="5073"/>
      <c r="AF272" s="5073"/>
      <c r="AG272" s="5074"/>
      <c r="AH272" s="2821"/>
      <c r="AI272" s="3030"/>
      <c r="AJ272" s="2816" t="s">
        <v>10246</v>
      </c>
      <c r="AM272" s="2816" t="b">
        <f>SUM(V255:AG255)&lt;&gt;Y254+ABS(AC254)*2/5+IF(S244="Si",3*P244,0)</f>
        <v>0</v>
      </c>
      <c r="AQ272" s="2816"/>
      <c r="AR272" s="2817"/>
      <c r="AS272" s="2817"/>
      <c r="AT272" s="3035"/>
      <c r="AV272" s="3035"/>
      <c r="AW272" s="2816"/>
      <c r="AX272" s="2816"/>
      <c r="AY272" s="2816"/>
      <c r="AZ272" s="2816"/>
      <c r="BA272" s="2816"/>
      <c r="BB272" s="2816"/>
      <c r="BC272" s="2817"/>
    </row>
    <row r="273" spans="1:55" x14ac:dyDescent="0.2">
      <c r="A273" s="3030"/>
      <c r="B273" s="3070">
        <f t="shared" si="26"/>
        <v>8</v>
      </c>
      <c r="C273" s="5106"/>
      <c r="D273" s="5072"/>
      <c r="E273" s="5073"/>
      <c r="F273" s="5073"/>
      <c r="G273" s="5073"/>
      <c r="H273" s="5073"/>
      <c r="I273" s="5073"/>
      <c r="J273" s="5073"/>
      <c r="K273" s="5073"/>
      <c r="L273" s="5073"/>
      <c r="M273" s="5073"/>
      <c r="N273" s="5073"/>
      <c r="O273" s="5073"/>
      <c r="P273" s="5073"/>
      <c r="Q273" s="5073"/>
      <c r="R273" s="5073"/>
      <c r="S273" s="5073"/>
      <c r="T273" s="5073"/>
      <c r="U273" s="5073"/>
      <c r="V273" s="5073"/>
      <c r="W273" s="5073"/>
      <c r="X273" s="5073"/>
      <c r="Y273" s="5073"/>
      <c r="Z273" s="5073"/>
      <c r="AA273" s="5073"/>
      <c r="AB273" s="5073"/>
      <c r="AC273" s="5073"/>
      <c r="AD273" s="5073"/>
      <c r="AE273" s="5073"/>
      <c r="AF273" s="5073"/>
      <c r="AG273" s="5074"/>
      <c r="AH273" s="2821"/>
      <c r="AI273" s="3030"/>
      <c r="AQ273" s="2816"/>
      <c r="AR273" s="2817"/>
      <c r="AS273" s="2817"/>
      <c r="AT273" s="3035"/>
      <c r="AV273" s="3035"/>
      <c r="AW273" s="2816"/>
      <c r="AX273" s="3035"/>
      <c r="AZ273" s="3035"/>
      <c r="BA273" s="3035"/>
      <c r="BB273" s="3035"/>
      <c r="BC273" s="2816"/>
    </row>
    <row r="274" spans="1:55" ht="12" thickBot="1" x14ac:dyDescent="0.25">
      <c r="A274" s="3030"/>
      <c r="B274" s="3070">
        <f t="shared" si="26"/>
        <v>8</v>
      </c>
      <c r="C274" s="5107"/>
      <c r="D274" s="5075"/>
      <c r="E274" s="5076"/>
      <c r="F274" s="5076"/>
      <c r="G274" s="5076"/>
      <c r="H274" s="5076"/>
      <c r="I274" s="5076"/>
      <c r="J274" s="5076"/>
      <c r="K274" s="5076"/>
      <c r="L274" s="5076"/>
      <c r="M274" s="5076"/>
      <c r="N274" s="5076"/>
      <c r="O274" s="5076"/>
      <c r="P274" s="5076"/>
      <c r="Q274" s="5076"/>
      <c r="R274" s="5076"/>
      <c r="S274" s="5076"/>
      <c r="T274" s="5076"/>
      <c r="U274" s="5076"/>
      <c r="V274" s="5076"/>
      <c r="W274" s="5076"/>
      <c r="X274" s="5076"/>
      <c r="Y274" s="5076"/>
      <c r="Z274" s="5076"/>
      <c r="AA274" s="5076"/>
      <c r="AB274" s="5076"/>
      <c r="AC274" s="5076"/>
      <c r="AD274" s="5076"/>
      <c r="AE274" s="5076"/>
      <c r="AF274" s="5076"/>
      <c r="AG274" s="5077"/>
      <c r="AH274" s="2821"/>
      <c r="AI274" s="3030"/>
      <c r="AQ274" s="2816"/>
      <c r="AR274" s="2817"/>
      <c r="AS274" s="2817"/>
      <c r="AT274" s="3035"/>
      <c r="AV274" s="3035"/>
      <c r="AW274" s="2816"/>
      <c r="AX274" s="3035"/>
      <c r="AZ274" s="2816"/>
      <c r="BA274" s="2816"/>
      <c r="BB274" s="2816"/>
      <c r="BC274" s="2816"/>
    </row>
    <row r="275" spans="1:55" x14ac:dyDescent="0.2">
      <c r="A275" s="3030"/>
      <c r="B275" s="3070"/>
      <c r="C275" s="5092"/>
      <c r="D275" s="5092" t="str">
        <f>IFERROR(VLOOKUP(D257,'Tablas Técnicas'!$C$9:$H$81,2,FALSE),"")</f>
        <v/>
      </c>
      <c r="E275" s="5092"/>
      <c r="F275" s="5092"/>
      <c r="G275" s="5092"/>
      <c r="H275" s="5092"/>
      <c r="I275" s="5092"/>
      <c r="J275" s="5078" t="str">
        <f>IFERROR(VLOOKUP(J257,'Tablas Técnicas'!$C$9:$H$81,2,FALSE),"")</f>
        <v/>
      </c>
      <c r="K275" s="5078"/>
      <c r="L275" s="5078"/>
      <c r="M275" s="5078"/>
      <c r="N275" s="5078"/>
      <c r="O275" s="5078"/>
      <c r="P275" s="5078" t="str">
        <f>IFERROR(VLOOKUP(P257,'Tablas Técnicas'!$C$9:$H$81,2,FALSE),"")</f>
        <v/>
      </c>
      <c r="Q275" s="5078"/>
      <c r="R275" s="5078"/>
      <c r="S275" s="5078"/>
      <c r="T275" s="5078"/>
      <c r="U275" s="5078"/>
      <c r="V275" s="5078" t="str">
        <f>IFERROR(VLOOKUP(V257,'Tablas Técnicas'!$C$9:$H$81,2,FALSE),"")</f>
        <v/>
      </c>
      <c r="W275" s="5078"/>
      <c r="X275" s="5078"/>
      <c r="Y275" s="5078"/>
      <c r="Z275" s="5078"/>
      <c r="AA275" s="5078"/>
      <c r="AB275" s="5078" t="str">
        <f>IFERROR(VLOOKUP(AB257,'Tablas Técnicas'!$C$9:$H$81,2,FALSE),"")</f>
        <v/>
      </c>
      <c r="AC275" s="5078"/>
      <c r="AD275" s="5078"/>
      <c r="AE275" s="5078"/>
      <c r="AF275" s="5078"/>
      <c r="AG275" s="5078"/>
      <c r="AH275" s="2821"/>
      <c r="AI275" s="3030"/>
      <c r="AQ275" s="2816"/>
      <c r="AR275" s="2817"/>
      <c r="AS275" s="2817"/>
      <c r="AT275" s="3023"/>
      <c r="AV275" s="3023"/>
      <c r="AW275" s="3023"/>
      <c r="AX275" s="3023"/>
      <c r="AZ275" s="3023"/>
      <c r="BA275" s="3023"/>
      <c r="BB275" s="3023"/>
      <c r="BC275" s="3023"/>
    </row>
    <row r="276" spans="1:55" ht="12" thickBot="1" x14ac:dyDescent="0.25">
      <c r="A276" s="3030"/>
      <c r="B276" s="3070"/>
      <c r="C276" s="5092"/>
      <c r="D276" s="3052"/>
      <c r="E276" s="3024"/>
      <c r="F276" s="3024"/>
      <c r="G276" s="3024"/>
      <c r="H276" s="3024"/>
      <c r="I276" s="3024"/>
      <c r="J276" s="3024"/>
      <c r="K276" s="3024"/>
      <c r="L276" s="3024"/>
      <c r="M276" s="3024"/>
      <c r="N276" s="3024"/>
      <c r="O276" s="3024"/>
      <c r="P276" s="3024"/>
      <c r="Q276" s="3024"/>
      <c r="R276" s="3024"/>
      <c r="S276" s="3024"/>
      <c r="T276" s="3024"/>
      <c r="U276" s="3024"/>
      <c r="V276" s="3054"/>
      <c r="W276" s="3054"/>
      <c r="X276" s="3054"/>
      <c r="Y276" s="3054"/>
      <c r="Z276" s="3054"/>
      <c r="AA276" s="3054"/>
      <c r="AB276" s="3054"/>
      <c r="AC276" s="3054"/>
      <c r="AD276" s="3054"/>
      <c r="AE276" s="3054"/>
      <c r="AF276" s="3024"/>
      <c r="AG276" s="3024"/>
      <c r="AH276" s="2821"/>
      <c r="AI276" s="3030"/>
      <c r="AJ276" s="2870"/>
      <c r="AK276" s="2870"/>
      <c r="AL276" s="2870"/>
      <c r="AM276" s="2870"/>
      <c r="AN276" s="2870"/>
      <c r="AO276" s="2870"/>
      <c r="AR276" s="3023"/>
      <c r="AT276" s="3023"/>
      <c r="AV276" s="3023"/>
      <c r="AW276" s="3023"/>
      <c r="AX276" s="2867"/>
      <c r="AY276" s="2867"/>
      <c r="AZ276" s="2867"/>
      <c r="BA276" s="2867"/>
      <c r="BB276" s="2867"/>
      <c r="BC276" s="2868"/>
    </row>
    <row r="277" spans="1:55" ht="11.25" customHeight="1" x14ac:dyDescent="0.2">
      <c r="A277" s="3030"/>
      <c r="B277" s="3070">
        <f t="shared" si="26"/>
        <v>9</v>
      </c>
      <c r="C277" s="5105" t="str">
        <f>"Técnica "&amp;B277</f>
        <v>Técnica 9</v>
      </c>
      <c r="D277" s="5181" t="s">
        <v>9559</v>
      </c>
      <c r="E277" s="5182"/>
      <c r="F277" s="5182"/>
      <c r="G277" s="5182"/>
      <c r="H277" s="5182"/>
      <c r="I277" s="5182"/>
      <c r="J277" s="5182"/>
      <c r="K277" s="5182"/>
      <c r="L277" s="5182"/>
      <c r="M277" s="5182"/>
      <c r="N277" s="5183"/>
      <c r="O277" s="5161" t="s">
        <v>1597</v>
      </c>
      <c r="P277" s="5163">
        <v>1</v>
      </c>
      <c r="Q277" s="5134" t="s">
        <v>9646</v>
      </c>
      <c r="R277" s="5165"/>
      <c r="S277" s="5167" t="s">
        <v>1654</v>
      </c>
      <c r="T277" s="5135" t="s">
        <v>1780</v>
      </c>
      <c r="U277" s="5174">
        <f>MAX(IF(P277=3,60,IF(P277=2,40,20)),MIN(IF(P277=3,200,IF(P277=2,100,50)),SUM(M286:M288))-10*Y287+AC287+IF(S277="Si",10*P277,0)+IF(COUNTIF(K281:M285,"Mantenido")&gt;0,P277*10)+IF(COUNTIF(K281:M285,"Sostenimiento Menor")&gt;0,P277*20)+IF(COUNTIF(K281:M285,"Sostenimiento Mayor")&gt;0,P277*30))</f>
        <v>20</v>
      </c>
      <c r="V277" s="5134" t="s">
        <v>9647</v>
      </c>
      <c r="W277" s="5135"/>
      <c r="X277" s="5138" t="str">
        <f>IFERROR(LEFT(AJ296&amp;AK296&amp;AL296&amp;AM296&amp;AN296&amp;AO296,LEN(AJ296&amp;AK296&amp;AL296&amp;AM296&amp;AN296&amp;AO296)-2),"")</f>
        <v/>
      </c>
      <c r="Y277" s="5138"/>
      <c r="Z277" s="5138"/>
      <c r="AA277" s="5138"/>
      <c r="AB277" s="5138"/>
      <c r="AC277" s="5138"/>
      <c r="AD277" s="5138"/>
      <c r="AE277" s="5138"/>
      <c r="AF277" s="5138"/>
      <c r="AG277" s="5139"/>
      <c r="AH277" s="2821"/>
      <c r="AI277" s="3030"/>
      <c r="AQ277" s="2816"/>
      <c r="AR277" s="2816"/>
      <c r="AS277" s="2816"/>
      <c r="AT277" s="2816"/>
      <c r="AU277" s="2816"/>
      <c r="AV277" s="3035"/>
      <c r="AW277" s="3035"/>
      <c r="AX277" s="2816"/>
      <c r="AY277" s="2816"/>
      <c r="AZ277" s="2824"/>
      <c r="BA277" s="3035"/>
      <c r="BB277" s="3035"/>
      <c r="BC277" s="3023"/>
    </row>
    <row r="278" spans="1:55" ht="11.25" customHeight="1" x14ac:dyDescent="0.2">
      <c r="A278" s="3030"/>
      <c r="B278" s="3070">
        <f t="shared" si="26"/>
        <v>9</v>
      </c>
      <c r="C278" s="5106"/>
      <c r="D278" s="5184"/>
      <c r="E278" s="5185"/>
      <c r="F278" s="5185"/>
      <c r="G278" s="5185"/>
      <c r="H278" s="5185"/>
      <c r="I278" s="5185"/>
      <c r="J278" s="5185"/>
      <c r="K278" s="5185"/>
      <c r="L278" s="5185"/>
      <c r="M278" s="5185"/>
      <c r="N278" s="5186"/>
      <c r="O278" s="5162"/>
      <c r="P278" s="5164"/>
      <c r="Q278" s="5136"/>
      <c r="R278" s="5166"/>
      <c r="S278" s="5164"/>
      <c r="T278" s="5137"/>
      <c r="U278" s="5175"/>
      <c r="V278" s="5136"/>
      <c r="W278" s="5137"/>
      <c r="X278" s="5140"/>
      <c r="Y278" s="5140"/>
      <c r="Z278" s="5140"/>
      <c r="AA278" s="5140"/>
      <c r="AB278" s="5140"/>
      <c r="AC278" s="5140"/>
      <c r="AD278" s="5140"/>
      <c r="AE278" s="5140"/>
      <c r="AF278" s="5140"/>
      <c r="AG278" s="5141"/>
      <c r="AH278" s="2821"/>
      <c r="AI278" s="3030"/>
      <c r="AJ278" s="2947" t="s">
        <v>10240</v>
      </c>
      <c r="AQ278" s="2816"/>
      <c r="AR278" s="2816"/>
      <c r="AS278" s="2816"/>
      <c r="AT278" s="2816"/>
      <c r="AU278" s="2816"/>
      <c r="AV278" s="3035"/>
      <c r="AW278" s="3035"/>
      <c r="AX278" s="3035"/>
      <c r="AZ278" s="3035"/>
      <c r="BA278" s="5063" t="s">
        <v>10254</v>
      </c>
      <c r="BB278" s="5063"/>
      <c r="BC278" s="3023"/>
    </row>
    <row r="279" spans="1:55" ht="12" customHeight="1" x14ac:dyDescent="0.2">
      <c r="A279" s="3030"/>
      <c r="B279" s="3070">
        <f t="shared" si="26"/>
        <v>9</v>
      </c>
      <c r="C279" s="5106"/>
      <c r="D279" s="5069" t="s">
        <v>3223</v>
      </c>
      <c r="E279" s="5070"/>
      <c r="F279" s="5070"/>
      <c r="G279" s="5070"/>
      <c r="H279" s="5070"/>
      <c r="I279" s="5070"/>
      <c r="J279" s="5070"/>
      <c r="K279" s="5070" t="str">
        <f>"Mant / SMe / Sma"</f>
        <v>Mant / SMe / Sma</v>
      </c>
      <c r="L279" s="5070"/>
      <c r="M279" s="5070"/>
      <c r="N279" s="5070" t="s">
        <v>1774</v>
      </c>
      <c r="O279" s="5145" t="s">
        <v>3221</v>
      </c>
      <c r="P279" s="5145" t="s">
        <v>9648</v>
      </c>
      <c r="Q279" s="5070" t="s">
        <v>1637</v>
      </c>
      <c r="R279" s="5070"/>
      <c r="S279" s="5070"/>
      <c r="T279" s="5070"/>
      <c r="U279" s="5070"/>
      <c r="V279" s="5108" t="s">
        <v>1646</v>
      </c>
      <c r="W279" s="5109"/>
      <c r="X279" s="5108" t="s">
        <v>1772</v>
      </c>
      <c r="Y279" s="5110"/>
      <c r="Z279" s="5109" t="s">
        <v>1651</v>
      </c>
      <c r="AA279" s="5109"/>
      <c r="AB279" s="5108" t="s">
        <v>1656</v>
      </c>
      <c r="AC279" s="5110"/>
      <c r="AD279" s="5109" t="s">
        <v>1664</v>
      </c>
      <c r="AE279" s="5109"/>
      <c r="AF279" s="5108" t="s">
        <v>1665</v>
      </c>
      <c r="AG279" s="5111"/>
      <c r="AH279" s="2821"/>
      <c r="AI279" s="3030"/>
      <c r="AL279" s="2816" t="s">
        <v>9649</v>
      </c>
      <c r="AQ279" s="2816"/>
      <c r="AR279" s="3035"/>
      <c r="AT279" s="2816" t="s">
        <v>10237</v>
      </c>
      <c r="AU279" s="2816"/>
      <c r="AV279" s="2816" t="s">
        <v>9650</v>
      </c>
      <c r="AW279" s="2816" t="s">
        <v>9651</v>
      </c>
      <c r="AX279" s="2816" t="s">
        <v>10238</v>
      </c>
      <c r="AY279" s="2816"/>
      <c r="AZ279" s="3035"/>
      <c r="BA279" s="3035" t="s">
        <v>9652</v>
      </c>
      <c r="BB279" s="2816" t="s">
        <v>9653</v>
      </c>
      <c r="BC279" s="2816" t="s">
        <v>9653</v>
      </c>
    </row>
    <row r="280" spans="1:55" x14ac:dyDescent="0.2">
      <c r="A280" s="3030"/>
      <c r="B280" s="3070">
        <f t="shared" si="26"/>
        <v>9</v>
      </c>
      <c r="C280" s="5106"/>
      <c r="D280" s="5142"/>
      <c r="E280" s="5143"/>
      <c r="F280" s="5143"/>
      <c r="G280" s="5143"/>
      <c r="H280" s="5143"/>
      <c r="I280" s="5143"/>
      <c r="J280" s="5143"/>
      <c r="K280" s="5143"/>
      <c r="L280" s="5143"/>
      <c r="M280" s="5143"/>
      <c r="N280" s="5144"/>
      <c r="O280" s="5146"/>
      <c r="P280" s="5147"/>
      <c r="Q280" s="5144"/>
      <c r="R280" s="5144"/>
      <c r="S280" s="5144"/>
      <c r="T280" s="5144"/>
      <c r="U280" s="5144"/>
      <c r="V280" s="3045" t="s">
        <v>10248</v>
      </c>
      <c r="W280" s="3031" t="s">
        <v>3227</v>
      </c>
      <c r="X280" s="3045" t="s">
        <v>10248</v>
      </c>
      <c r="Y280" s="3031" t="s">
        <v>3227</v>
      </c>
      <c r="Z280" s="3045" t="s">
        <v>10248</v>
      </c>
      <c r="AA280" s="3031" t="s">
        <v>3227</v>
      </c>
      <c r="AB280" s="3045" t="s">
        <v>10248</v>
      </c>
      <c r="AC280" s="3031" t="s">
        <v>3227</v>
      </c>
      <c r="AD280" s="3045" t="s">
        <v>10248</v>
      </c>
      <c r="AE280" s="3031" t="s">
        <v>3227</v>
      </c>
      <c r="AF280" s="3045" t="s">
        <v>10248</v>
      </c>
      <c r="AG280" s="2825" t="s">
        <v>3227</v>
      </c>
      <c r="AH280" s="2821"/>
      <c r="AI280" s="3030"/>
      <c r="AK280" s="2816" t="s">
        <v>10261</v>
      </c>
      <c r="AL280" s="2816">
        <v>1</v>
      </c>
      <c r="AM280" s="2816">
        <v>2</v>
      </c>
      <c r="AN280" s="2816">
        <v>3</v>
      </c>
      <c r="AO280" s="2816">
        <v>4</v>
      </c>
      <c r="AP280" s="2816">
        <v>5</v>
      </c>
      <c r="AQ280" s="2816">
        <v>6</v>
      </c>
      <c r="AR280" s="2816">
        <v>7</v>
      </c>
      <c r="AS280" s="2816"/>
      <c r="AT280" s="3035"/>
      <c r="AV280" s="2816"/>
      <c r="AW280" s="3035"/>
      <c r="AX280" s="3035"/>
      <c r="AZ280" s="3035"/>
      <c r="BA280" s="3035"/>
      <c r="BB280" s="3035"/>
      <c r="BC280" s="3023"/>
    </row>
    <row r="281" spans="1:55" x14ac:dyDescent="0.2">
      <c r="A281" s="3030"/>
      <c r="B281" s="3070">
        <f t="shared" si="26"/>
        <v>9</v>
      </c>
      <c r="C281" s="5106"/>
      <c r="D281" s="5124" t="s">
        <v>9654</v>
      </c>
      <c r="E281" s="5125"/>
      <c r="F281" s="5126"/>
      <c r="G281" s="5127"/>
      <c r="H281" s="5127"/>
      <c r="I281" s="5127"/>
      <c r="J281" s="5128"/>
      <c r="K281" s="5124" t="s">
        <v>1729</v>
      </c>
      <c r="L281" s="5129"/>
      <c r="M281" s="5125"/>
      <c r="N281" s="3036">
        <f>SUMPRODUCT(INDEX('Tablas Técnicas'!$O$10:$X$639,,5),--(INDEX('Tablas Técnicas'!$O$10:$X$639,,1)=F281),--(ISNUMBER(MATCH(INDEX('Tablas Técnicas'!$O$10:$X$639,,2),$AL281:$AR281,0))))</f>
        <v>0</v>
      </c>
      <c r="O281" s="3036" t="str">
        <f>V281+X281+Z281+AB281+AD281+AF281&amp;" / "&amp;SUMPRODUCT(INDEX('Tablas Técnicas'!$O$10:$X$639,,IF(D281="Primario",3,4)),--(INDEX('Tablas Técnicas'!$O$10:$X$639,,1)=F281),--(ISNUMBER(MATCH(INDEX('Tablas Técnicas'!$O$10:$X$639,,2),$AL281:$AR281,0))))+IF(AND(K281&lt;&gt;"-",K281&lt;&gt;""),SUMPRODUCT(INDEX('Tablas Técnicas'!$O$10:$X$639,,IF(K281="Mantenido",6,IF(K281="Sostenimiento menor",7,IF(K281="Sostenimiento mayor",8,0)))),--(INDEX('Tablas Técnicas'!$O$10:$X$639,,1)=F281),--(ISNUMBER(MATCH(INDEX('Tablas Técnicas'!$O$10:$X$639,,2),$AL281:$AR281,0)))),0)+AT281</f>
        <v>0 / 0</v>
      </c>
      <c r="P281" s="3036" t="str">
        <f>W281+Y281+AA281+AC281+AE281+AG281&amp;" / "&amp;IF(K281="Mantenido",SUMPRODUCT(INDEX('Tablas Técnicas'!$O$10:$X$639,,6),--(INDEX('Tablas Técnicas'!$O$10:$X$639,,1)=F281),--(ISNUMBER(MATCH(INDEX('Tablas Técnicas'!$O$10:$X$639,,2),$AL281:$AR281,0)))),0)</f>
        <v>0 / 0</v>
      </c>
      <c r="Q281" s="5130" t="str">
        <f>IFERROR(VLOOKUP(F281,'Tablas Técnicas'!$C$9:$H$81,5,FALSE),"")</f>
        <v/>
      </c>
      <c r="R281" s="5130"/>
      <c r="S281" s="5130"/>
      <c r="T281" s="5130"/>
      <c r="U281" s="5130"/>
      <c r="V281" s="2826"/>
      <c r="W281" s="2827"/>
      <c r="X281" s="2826"/>
      <c r="Y281" s="2828"/>
      <c r="Z281" s="2829"/>
      <c r="AA281" s="2827"/>
      <c r="AB281" s="2826"/>
      <c r="AC281" s="2828"/>
      <c r="AD281" s="2829"/>
      <c r="AE281" s="2827"/>
      <c r="AF281" s="2826"/>
      <c r="AG281" s="2830"/>
      <c r="AH281" s="2821"/>
      <c r="AI281" s="3030"/>
      <c r="AJ281" s="2816">
        <v>1</v>
      </c>
      <c r="AK281" s="2816">
        <f>P277</f>
        <v>1</v>
      </c>
      <c r="AL281" s="2816" t="str">
        <f>IF(INDEX($A$1:$AI$343,ROW($D$29)+($B281-1)*(ROW($D$63)-ROW($D$29))+Tablas!A$1-1,COLUMN($D$29)+($AJ281-1)*(COLUMN($J$29)-COLUMN($D$29)))="","",INDEX($A$1:$AI$343,ROW($D$29)+($B281-1)*(ROW($D$63)-ROW($D$29))+Tablas!A$1-1,COLUMN($D$29)+($AJ281-1)*(COLUMN($J$29)-COLUMN($D$29))))</f>
        <v>Descripción</v>
      </c>
      <c r="AM281" s="2816" t="str">
        <f>IF(INDEX($A$1:$AI$343,ROW($D$29)+($B281-1)*(ROW($D$63)-ROW($D$29))+Tablas!B$1-1,COLUMN($D$29)+($AJ281-1)*(COLUMN($J$29)-COLUMN($D$29)))="","",INDEX($A$1:$AI$343,ROW($D$29)+($B281-1)*(ROW($D$63)-ROW($D$29))+Tablas!B$1-1,COLUMN($D$29)+($AJ281-1)*(COLUMN($J$29)-COLUMN($D$29))))</f>
        <v/>
      </c>
      <c r="AN281" s="2816" t="str">
        <f>IF(INDEX($A$1:$AI$343,ROW($D$29)+($B281-1)*(ROW($D$63)-ROW($D$29))+Tablas!C$1-1,COLUMN($D$29)+($AJ281-1)*(COLUMN($J$29)-COLUMN($D$29)))="","",INDEX($A$1:$AI$343,ROW($D$29)+($B281-1)*(ROW($D$63)-ROW($D$29))+Tablas!C$1-1,COLUMN($D$29)+($AJ281-1)*(COLUMN($J$29)-COLUMN($D$29))))</f>
        <v/>
      </c>
      <c r="AO281" s="2816" t="str">
        <f>IF(INDEX($A$1:$AI$343,ROW($D$29)+($B281-1)*(ROW($D$63)-ROW($D$29))+Tablas!D$1-1,COLUMN($D$29)+($AJ281-1)*(COLUMN($J$29)-COLUMN($D$29)))="","",INDEX($A$1:$AI$343,ROW($D$29)+($B281-1)*(ROW($D$63)-ROW($D$29))+Tablas!D$1-1,COLUMN($D$29)+($AJ281-1)*(COLUMN($J$29)-COLUMN($D$29))))</f>
        <v/>
      </c>
      <c r="AP281" s="2816" t="str">
        <f>IF(INDEX($A$1:$AI$343,ROW($D$29)+($B281-1)*(ROW($D$63)-ROW($D$29))+Tablas!E$1-1,COLUMN($D$29)+($AJ281-1)*(COLUMN($J$29)-COLUMN($D$29)))="","",INDEX($A$1:$AI$343,ROW($D$29)+($B281-1)*(ROW($D$63)-ROW($D$29))+Tablas!E$1-1,COLUMN($D$29)+($AJ281-1)*(COLUMN($J$29)-COLUMN($D$29))))</f>
        <v/>
      </c>
      <c r="AQ281" s="2816" t="str">
        <f>IF(INDEX($A$1:$AI$343,ROW($D$29)+($B281-1)*(ROW($D$63)-ROW($D$29))+Tablas!F$1-1,COLUMN($D$29)+($AJ281-1)*(COLUMN($J$29)-COLUMN($D$29)))="","",INDEX($A$1:$AI$343,ROW($D$29)+($B281-1)*(ROW($D$63)-ROW($D$29))+Tablas!F$1-1,COLUMN($D$29)+($AJ281-1)*(COLUMN($J$29)-COLUMN($D$29))))</f>
        <v/>
      </c>
      <c r="AR281" s="2816" t="str">
        <f>IF(INDEX($A$1:$AI$343,ROW($D$29)+($B281-1)*(ROW($D$63)-ROW($D$29))+Tablas!G$1-1,COLUMN($D$29)+($AJ281-1)*(COLUMN($J$29)-COLUMN($D$29)))="","",INDEX($A$1:$AI$343,ROW($D$29)+($B281-1)*(ROW($D$63)-ROW($D$29))+Tablas!G$1-1,COLUMN($D$29)+($AJ281-1)*(COLUMN($J$29)-COLUMN($D$29))))</f>
        <v/>
      </c>
      <c r="AS281" s="2816"/>
      <c r="AT281" s="3035">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V281" s="2816" t="str">
        <f>IFERROR(VLOOKUP(F281,'Tablas Técnicas'!$C$9:$H$81,6,FALSE),"")</f>
        <v/>
      </c>
      <c r="AW281" s="3035" t="b">
        <f>OR(AV281="",ISNUMBER(SEARCH($O286,AV281)),ISNUMBER(SEARCH($Q286,AV281)),ISNUMBER(SEARCH($O287,AV281)),ISNUMBER(SEARCH($Q287,AV281)),ISNUMBER(SEARCH($O288,AV281)),ISNUMBER(SEARCH($Q288,AV281)),)</f>
        <v>1</v>
      </c>
      <c r="AX281" s="3035" t="b">
        <f>AND(P277&gt;1,OR(MAX(I294:I300)=1,MAX(I294:I300)=2))</f>
        <v>0</v>
      </c>
      <c r="AZ281" s="3035"/>
      <c r="BA281" s="2816" t="str">
        <f>IF(F281="","",F281&amp;" ("&amp;IF(AL281="","",AL281&amp;", ")&amp;IF(AM281="","",AM281&amp;", ")&amp;IF(AN281="","",AN281&amp;", ")&amp;IF(AO281="","",AO281&amp;", ")&amp;IF(AP281="","",AP281&amp;", ")&amp;IF(AQ281="","",AQ281&amp;", ")&amp;IF(AR281="","",AR281&amp;", "))</f>
        <v/>
      </c>
      <c r="BB281" s="3035" t="str">
        <f t="shared" ref="BB281:BB283" si="31">IFERROR(LEFT(BA281,LEN(BA281)-2)&amp;"), ","")</f>
        <v/>
      </c>
      <c r="BC281" s="3023" t="str">
        <f t="shared" ref="BC281:BC283" si="32">IFERROR(LEFT(BB281,LEN(BB281)-2)&amp;"), ","")</f>
        <v/>
      </c>
    </row>
    <row r="282" spans="1:55" x14ac:dyDescent="0.2">
      <c r="A282" s="3030"/>
      <c r="B282" s="3070">
        <f t="shared" si="26"/>
        <v>9</v>
      </c>
      <c r="C282" s="5106"/>
      <c r="D282" s="5090" t="s">
        <v>790</v>
      </c>
      <c r="E282" s="5091"/>
      <c r="F282" s="5112"/>
      <c r="G282" s="5113"/>
      <c r="H282" s="5113"/>
      <c r="I282" s="5113"/>
      <c r="J282" s="5114"/>
      <c r="K282" s="5115" t="s">
        <v>1729</v>
      </c>
      <c r="L282" s="5116"/>
      <c r="M282" s="5117"/>
      <c r="N282" s="3039">
        <f>SUMPRODUCT(INDEX('Tablas Técnicas'!$O$10:$X$639,,5),--(INDEX('Tablas Técnicas'!$O$10:$X$639,,1)=F282),--(ISNUMBER(MATCH(INDEX('Tablas Técnicas'!$O$10:$X$639,,2),$AL282:$AR282,0))))</f>
        <v>0</v>
      </c>
      <c r="O282" s="3039" t="str">
        <f>V282+X282+Z282+AB282+AD282+AF282&amp;" / "&amp;SUMPRODUCT(INDEX('Tablas Técnicas'!$O$10:$X$639,,IF(D282="Primario",3,4)),--(INDEX('Tablas Técnicas'!$O$10:$X$639,,1)=F282),--(ISNUMBER(MATCH(INDEX('Tablas Técnicas'!$O$10:$X$639,,2),$AL282:$AR282,0))))+IF(AND(K282&lt;&gt;"-",K282&lt;&gt;""),SUMPRODUCT(INDEX('Tablas Técnicas'!$O$10:$X$639,,IF(K282="Mantenido",6,IF(K282="Sostenimiento menor",7,IF(K282="Sostenimiento mayor",8,0)))),--(INDEX('Tablas Técnicas'!$O$10:$X$639,,1)=F282),--(ISNUMBER(MATCH(INDEX('Tablas Técnicas'!$O$10:$X$639,,2),$AL282:$AR282,0)))),0)+AT282</f>
        <v>0 / 0</v>
      </c>
      <c r="P282" s="3039" t="str">
        <f>W282+Y282+AA282+AC282+AE282+AG282&amp;" / "&amp;IF(K282="Mantenido",SUMPRODUCT(INDEX('Tablas Técnicas'!$O$10:$X$639,,6),--(INDEX('Tablas Técnicas'!$O$10:$X$639,,1)=F282),--(ISNUMBER(MATCH(INDEX('Tablas Técnicas'!$O$10:$X$639,,2),$AL282:$AR282,0)))),0)</f>
        <v>0 / 0</v>
      </c>
      <c r="Q282" s="5092" t="str">
        <f>IFERROR(VLOOKUP(F282,'Tablas Técnicas'!$C$9:$H$81,5,FALSE),"")</f>
        <v/>
      </c>
      <c r="R282" s="5092"/>
      <c r="S282" s="5092"/>
      <c r="T282" s="5092"/>
      <c r="U282" s="5092"/>
      <c r="V282" s="3034"/>
      <c r="W282" s="2831"/>
      <c r="X282" s="3034"/>
      <c r="Y282" s="3033"/>
      <c r="Z282" s="3028"/>
      <c r="AA282" s="2831"/>
      <c r="AB282" s="3034"/>
      <c r="AC282" s="3033"/>
      <c r="AD282" s="3028"/>
      <c r="AE282" s="2831"/>
      <c r="AF282" s="3034"/>
      <c r="AG282" s="2832"/>
      <c r="AH282" s="2821"/>
      <c r="AI282" s="3030"/>
      <c r="AJ282" s="2816">
        <v>2</v>
      </c>
      <c r="AK282" s="2816">
        <f>P277</f>
        <v>1</v>
      </c>
      <c r="AL282" s="2816" t="str">
        <f>IF(INDEX($A$1:$AI$343,ROW($D$29)+($B282-1)*(ROW($D$63)-ROW($D$29))+Tablas!A$1-1,COLUMN($D$29)+($AJ282-1)*(COLUMN($J$29)-COLUMN($D$29)))="","",INDEX($A$1:$AI$343,ROW($D$29)+($B282-1)*(ROW($D$63)-ROW($D$29))+Tablas!A$1-1,COLUMN($D$29)+($AJ282-1)*(COLUMN($J$29)-COLUMN($D$29))))</f>
        <v/>
      </c>
      <c r="AM282" s="2816" t="str">
        <f>IF(INDEX($A$1:$AI$343,ROW($D$29)+($B282-1)*(ROW($D$63)-ROW($D$29))+Tablas!B$1-1,COLUMN($D$29)+($AJ282-1)*(COLUMN($J$29)-COLUMN($D$29)))="","",INDEX($A$1:$AI$343,ROW($D$29)+($B282-1)*(ROW($D$63)-ROW($D$29))+Tablas!B$1-1,COLUMN($D$29)+($AJ282-1)*(COLUMN($J$29)-COLUMN($D$29))))</f>
        <v/>
      </c>
      <c r="AN282" s="2816" t="str">
        <f>IF(INDEX($A$1:$AI$343,ROW($D$29)+($B282-1)*(ROW($D$63)-ROW($D$29))+Tablas!C$1-1,COLUMN($D$29)+($AJ282-1)*(COLUMN($J$29)-COLUMN($D$29)))="","",INDEX($A$1:$AI$343,ROW($D$29)+($B282-1)*(ROW($D$63)-ROW($D$29))+Tablas!C$1-1,COLUMN($D$29)+($AJ282-1)*(COLUMN($J$29)-COLUMN($D$29))))</f>
        <v/>
      </c>
      <c r="AO282" s="2816" t="str">
        <f>IF(INDEX($A$1:$AI$343,ROW($D$29)+($B282-1)*(ROW($D$63)-ROW($D$29))+Tablas!D$1-1,COLUMN($D$29)+($AJ282-1)*(COLUMN($J$29)-COLUMN($D$29)))="","",INDEX($A$1:$AI$343,ROW($D$29)+($B282-1)*(ROW($D$63)-ROW($D$29))+Tablas!D$1-1,COLUMN($D$29)+($AJ282-1)*(COLUMN($J$29)-COLUMN($D$29))))</f>
        <v/>
      </c>
      <c r="AP282" s="2816" t="str">
        <f>IF(INDEX($A$1:$AI$343,ROW($D$29)+($B282-1)*(ROW($D$63)-ROW($D$29))+Tablas!E$1-1,COLUMN($D$29)+($AJ282-1)*(COLUMN($J$29)-COLUMN($D$29)))="","",INDEX($A$1:$AI$343,ROW($D$29)+($B282-1)*(ROW($D$63)-ROW($D$29))+Tablas!E$1-1,COLUMN($D$29)+($AJ282-1)*(COLUMN($J$29)-COLUMN($D$29))))</f>
        <v/>
      </c>
      <c r="AQ282" s="2816" t="str">
        <f>IF(INDEX($A$1:$AI$343,ROW($D$29)+($B282-1)*(ROW($D$63)-ROW($D$29))+Tablas!F$1-1,COLUMN($D$29)+($AJ282-1)*(COLUMN($J$29)-COLUMN($D$29)))="","",INDEX($A$1:$AI$343,ROW($D$29)+($B282-1)*(ROW($D$63)-ROW($D$29))+Tablas!F$1-1,COLUMN($D$29)+($AJ282-1)*(COLUMN($J$29)-COLUMN($D$29))))</f>
        <v/>
      </c>
      <c r="AR282" s="2816" t="str">
        <f>IF(INDEX($A$1:$AI$343,ROW($D$29)+($B282-1)*(ROW($D$63)-ROW($D$29))+Tablas!G$1-1,COLUMN($D$29)+($AJ282-1)*(COLUMN($J$29)-COLUMN($D$29)))="","",INDEX($A$1:$AI$343,ROW($D$29)+($B282-1)*(ROW($D$63)-ROW($D$29))+Tablas!G$1-1,COLUMN($D$29)+($AJ282-1)*(COLUMN($J$29)-COLUMN($D$29))))</f>
        <v/>
      </c>
      <c r="AS282" s="2816"/>
      <c r="AT282" s="3035">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V282" s="2816" t="str">
        <f>IFERROR(VLOOKUP(F282,'Tablas Técnicas'!$C$9:$H$81,6,FALSE),"")</f>
        <v/>
      </c>
      <c r="AW282" s="3035" t="b">
        <f>OR(AX266="",OR(ISNUMBER(SEARCH($O286,AV282)),ISNUMBER(SEARCH($Q286,AV282)),ISNUMBER(SEARCH($O287,AV282)),ISNUMBER(SEARCH($Q287,AV282)),ISNUMBER(SEARCH($O288,AV282)),ISNUMBER(SEARCH($Q288,AV282)),))</f>
        <v>1</v>
      </c>
      <c r="AX282" s="3035" t="b">
        <f>AND(P277&gt;1,OR(MAX(O294:O300)=1,MAX(O294:O300)=2))</f>
        <v>0</v>
      </c>
      <c r="AZ282" s="3035"/>
      <c r="BA282" s="2816" t="str">
        <f>IF(F282="","",F282&amp;" ("&amp;IF(AL282="","",AL282&amp;", ")&amp;IF(AM282="","",AM282&amp;", ")&amp;IF(AN282="","",AN282&amp;", ")&amp;IF(AO282="","",AO282&amp;", ")&amp;IF(AP282="","",AP282&amp;", ")&amp;IF(AQ282="","",AQ282&amp;", ")&amp;IF(AR282="","",AR282&amp;", "))</f>
        <v/>
      </c>
      <c r="BB282" s="3035" t="str">
        <f t="shared" si="31"/>
        <v/>
      </c>
      <c r="BC282" s="3023" t="str">
        <f t="shared" si="32"/>
        <v/>
      </c>
    </row>
    <row r="283" spans="1:55" x14ac:dyDescent="0.2">
      <c r="A283" s="3030"/>
      <c r="B283" s="3070">
        <f t="shared" si="26"/>
        <v>9</v>
      </c>
      <c r="C283" s="5106"/>
      <c r="D283" s="5131" t="s">
        <v>790</v>
      </c>
      <c r="E283" s="5132"/>
      <c r="F283" s="5118"/>
      <c r="G283" s="5119"/>
      <c r="H283" s="5119"/>
      <c r="I283" s="5119"/>
      <c r="J283" s="5120"/>
      <c r="K283" s="5121" t="s">
        <v>1729</v>
      </c>
      <c r="L283" s="5122"/>
      <c r="M283" s="5123"/>
      <c r="N283" s="3040">
        <f>SUMPRODUCT(INDEX('Tablas Técnicas'!$O$10:$X$639,,5),--(INDEX('Tablas Técnicas'!$O$10:$X$639,,1)=F283),--(ISNUMBER(MATCH(INDEX('Tablas Técnicas'!$O$10:$X$639,,2),$AL283:$AR283,0))))</f>
        <v>0</v>
      </c>
      <c r="O283" s="3040" t="str">
        <f>V283+X283+Z283+AB283+AD283+AF283&amp;" / "&amp;SUMPRODUCT(INDEX('Tablas Técnicas'!$O$10:$X$639,,IF(D283="Primario",3,4)),--(INDEX('Tablas Técnicas'!$O$10:$X$639,,1)=F283),--(ISNUMBER(MATCH(INDEX('Tablas Técnicas'!$O$10:$X$639,,2),$AL283:$AR283,0))))+IF(AND(K283&lt;&gt;"-",K283&lt;&gt;""),SUMPRODUCT(INDEX('Tablas Técnicas'!$O$10:$X$639,,IF(K283="Mantenido",6,IF(K283="Sostenimiento menor",7,IF(K283="Sostenimiento mayor",8,0)))),--(INDEX('Tablas Técnicas'!$O$10:$X$639,,1)=F283),--(ISNUMBER(MATCH(INDEX('Tablas Técnicas'!$O$10:$X$639,,2),$AL283:$AR283,0)))),0)+AT283</f>
        <v>0 / 0</v>
      </c>
      <c r="P283" s="3040" t="str">
        <f>W283+Y283+AA283+AC283+AE283+AG283&amp;" / "&amp;IF(K283="Mantenido",SUMPRODUCT(INDEX('Tablas Técnicas'!$O$10:$X$639,,6),--(INDEX('Tablas Técnicas'!$O$10:$X$639,,1)=F283),--(ISNUMBER(MATCH(INDEX('Tablas Técnicas'!$O$10:$X$639,,2),$AL283:$AR283,0)))),0)</f>
        <v>0 / 0</v>
      </c>
      <c r="Q283" s="5133" t="str">
        <f>IFERROR(VLOOKUP(F283,'Tablas Técnicas'!$C$9:$H$81,5,FALSE),"")</f>
        <v/>
      </c>
      <c r="R283" s="5133"/>
      <c r="S283" s="5133"/>
      <c r="T283" s="5133"/>
      <c r="U283" s="5133"/>
      <c r="V283" s="2833"/>
      <c r="W283" s="2834"/>
      <c r="X283" s="3038"/>
      <c r="Y283" s="3037"/>
      <c r="Z283" s="3029"/>
      <c r="AA283" s="2834"/>
      <c r="AB283" s="3038"/>
      <c r="AC283" s="3037"/>
      <c r="AD283" s="3029"/>
      <c r="AE283" s="2834"/>
      <c r="AF283" s="3038"/>
      <c r="AG283" s="2835"/>
      <c r="AH283" s="2821"/>
      <c r="AI283" s="3030"/>
      <c r="AJ283" s="2816">
        <v>3</v>
      </c>
      <c r="AK283" s="2816">
        <f>P277</f>
        <v>1</v>
      </c>
      <c r="AL283" s="2816" t="str">
        <f>IF(INDEX($A$1:$AI$343,ROW($D$29)+($B283-1)*(ROW($D$63)-ROW($D$29))+Tablas!A$1-1,COLUMN($D$29)+($AJ283-1)*(COLUMN($J$29)-COLUMN($D$29)))="","",INDEX($A$1:$AI$343,ROW($D$29)+($B283-1)*(ROW($D$63)-ROW($D$29))+Tablas!A$1-1,COLUMN($D$29)+($AJ283-1)*(COLUMN($J$29)-COLUMN($D$29))))</f>
        <v/>
      </c>
      <c r="AM283" s="2816" t="str">
        <f>IF(INDEX($A$1:$AI$343,ROW($D$29)+($B283-1)*(ROW($D$63)-ROW($D$29))+Tablas!B$1-1,COLUMN($D$29)+($AJ283-1)*(COLUMN($J$29)-COLUMN($D$29)))="","",INDEX($A$1:$AI$343,ROW($D$29)+($B283-1)*(ROW($D$63)-ROW($D$29))+Tablas!B$1-1,COLUMN($D$29)+($AJ283-1)*(COLUMN($J$29)-COLUMN($D$29))))</f>
        <v/>
      </c>
      <c r="AN283" s="2816" t="str">
        <f>IF(INDEX($A$1:$AI$343,ROW($D$29)+($B283-1)*(ROW($D$63)-ROW($D$29))+Tablas!C$1-1,COLUMN($D$29)+($AJ283-1)*(COLUMN($J$29)-COLUMN($D$29)))="","",INDEX($A$1:$AI$343,ROW($D$29)+($B283-1)*(ROW($D$63)-ROW($D$29))+Tablas!C$1-1,COLUMN($D$29)+($AJ283-1)*(COLUMN($J$29)-COLUMN($D$29))))</f>
        <v/>
      </c>
      <c r="AO283" s="2816" t="str">
        <f>IF(INDEX($A$1:$AI$343,ROW($D$29)+($B283-1)*(ROW($D$63)-ROW($D$29))+Tablas!D$1-1,COLUMN($D$29)+($AJ283-1)*(COLUMN($J$29)-COLUMN($D$29)))="","",INDEX($A$1:$AI$343,ROW($D$29)+($B283-1)*(ROW($D$63)-ROW($D$29))+Tablas!D$1-1,COLUMN($D$29)+($AJ283-1)*(COLUMN($J$29)-COLUMN($D$29))))</f>
        <v/>
      </c>
      <c r="AP283" s="2816" t="str">
        <f>IF(INDEX($A$1:$AI$343,ROW($D$29)+($B283-1)*(ROW($D$63)-ROW($D$29))+Tablas!E$1-1,COLUMN($D$29)+($AJ283-1)*(COLUMN($J$29)-COLUMN($D$29)))="","",INDEX($A$1:$AI$343,ROW($D$29)+($B283-1)*(ROW($D$63)-ROW($D$29))+Tablas!E$1-1,COLUMN($D$29)+($AJ283-1)*(COLUMN($J$29)-COLUMN($D$29))))</f>
        <v/>
      </c>
      <c r="AQ283" s="2816" t="str">
        <f>IF(INDEX($A$1:$AI$343,ROW($D$29)+($B283-1)*(ROW($D$63)-ROW($D$29))+Tablas!F$1-1,COLUMN($D$29)+($AJ283-1)*(COLUMN($J$29)-COLUMN($D$29)))="","",INDEX($A$1:$AI$343,ROW($D$29)+($B283-1)*(ROW($D$63)-ROW($D$29))+Tablas!F$1-1,COLUMN($D$29)+($AJ283-1)*(COLUMN($J$29)-COLUMN($D$29))))</f>
        <v/>
      </c>
      <c r="AR283" s="2816" t="str">
        <f>IF(INDEX($A$1:$AI$343,ROW($D$29)+($B283-1)*(ROW($D$63)-ROW($D$29))+Tablas!G$1-1,COLUMN($D$29)+($AJ283-1)*(COLUMN($J$29)-COLUMN($D$29)))="","",INDEX($A$1:$AI$343,ROW($D$29)+($B283-1)*(ROW($D$63)-ROW($D$29))+Tablas!G$1-1,COLUMN($D$29)+($AJ283-1)*(COLUMN($J$29)-COLUMN($D$29))))</f>
        <v/>
      </c>
      <c r="AS283" s="2816"/>
      <c r="AT283" s="3035">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V283" s="2816" t="str">
        <f>IFERROR(VLOOKUP(F283,'Tablas Técnicas'!$C$9:$H$81,6,FALSE),"")</f>
        <v/>
      </c>
      <c r="AW283" s="3035" t="b">
        <f>OR(AV283="",OR(ISNUMBER(SEARCH($O286,AV283)),ISNUMBER(SEARCH($Q286,AV283)),ISNUMBER(SEARCH($O287,AV283)),ISNUMBER(SEARCH($Q287,AV283)),ISNUMBER(SEARCH($O288,AV283)),ISNUMBER(SEARCH($Q288,AV283)),))</f>
        <v>1</v>
      </c>
      <c r="AX283" s="3035" t="b">
        <f>AND(P277&gt;1,OR(MAX(U294:U300)=1,MAX(U294:U300)=2))</f>
        <v>0</v>
      </c>
      <c r="AZ283" s="3035"/>
      <c r="BA283" s="2816" t="str">
        <f>IF(F283="","",F283&amp;" ("&amp;IF(AL283="","",AL283&amp;", ")&amp;IF(AM283="","",AM283&amp;", ")&amp;IF(AN283="","",AN283&amp;", ")&amp;IF(AO283="","",AO283&amp;", ")&amp;IF(AP283="","",AP283&amp;", ")&amp;IF(AQ283="","",AQ283&amp;", ")&amp;IF(AR283="","",AR283&amp;", "))</f>
        <v/>
      </c>
      <c r="BB283" s="3035" t="str">
        <f t="shared" si="31"/>
        <v/>
      </c>
      <c r="BC283" s="3023" t="str">
        <f t="shared" si="32"/>
        <v/>
      </c>
    </row>
    <row r="284" spans="1:55" x14ac:dyDescent="0.2">
      <c r="A284" s="3030"/>
      <c r="B284" s="3070">
        <f t="shared" si="26"/>
        <v>9</v>
      </c>
      <c r="C284" s="5106"/>
      <c r="D284" s="5090" t="s">
        <v>790</v>
      </c>
      <c r="E284" s="5091"/>
      <c r="F284" s="5112"/>
      <c r="G284" s="5113"/>
      <c r="H284" s="5113"/>
      <c r="I284" s="5113"/>
      <c r="J284" s="5114"/>
      <c r="K284" s="5115" t="s">
        <v>1729</v>
      </c>
      <c r="L284" s="5116"/>
      <c r="M284" s="5117"/>
      <c r="N284" s="3039">
        <f>SUMPRODUCT(INDEX('Tablas Técnicas'!$O$10:$X$639,,5),--(INDEX('Tablas Técnicas'!$O$10:$X$639,,1)=F284),--(ISNUMBER(MATCH(INDEX('Tablas Técnicas'!$O$10:$X$639,,2),$AL284:$AR284,0))))</f>
        <v>0</v>
      </c>
      <c r="O284" s="3039" t="str">
        <f>V284+X284+Z284+AB284+AD284+AF284&amp;" / "&amp;SUMPRODUCT(INDEX('Tablas Técnicas'!$O$10:$X$639,,IF(D284="Primario",3,4)),--(INDEX('Tablas Técnicas'!$O$10:$X$639,,1)=F284),--(ISNUMBER(MATCH(INDEX('Tablas Técnicas'!$O$10:$X$639,,2),$AL284:$AR284,0))))+IF(AND(K284&lt;&gt;"-",K284&lt;&gt;""),SUMPRODUCT(INDEX('Tablas Técnicas'!$O$10:$X$639,,IF(K284="Mantenido",6,IF(K284="Sostenimiento menor",7,IF(K284="Sostenimiento mayor",8,0)))),--(INDEX('Tablas Técnicas'!$O$10:$X$639,,1)=F284),--(ISNUMBER(MATCH(INDEX('Tablas Técnicas'!$O$10:$X$639,,2),$AL284:$AR284,0)))),0)+AT284</f>
        <v>0 / 0</v>
      </c>
      <c r="P284" s="3039" t="str">
        <f>W284+Y284+AA284+AC284+AE284+AG284&amp;" / "&amp;IF(K284="Mantenido",SUMPRODUCT(INDEX('Tablas Técnicas'!$O$10:$X$639,,6),--(INDEX('Tablas Técnicas'!$O$10:$X$639,,1)=F284),--(ISNUMBER(MATCH(INDEX('Tablas Técnicas'!$O$10:$X$639,,2),$AL284:$AR284,0)))),0)</f>
        <v>0 / 0</v>
      </c>
      <c r="Q284" s="5092" t="str">
        <f>IFERROR(VLOOKUP(F284,'Tablas Técnicas'!$C$9:$H$81,5,FALSE),"")</f>
        <v/>
      </c>
      <c r="R284" s="5092"/>
      <c r="S284" s="5092"/>
      <c r="T284" s="5092"/>
      <c r="U284" s="5092"/>
      <c r="V284" s="3034"/>
      <c r="W284" s="2831"/>
      <c r="X284" s="3034"/>
      <c r="Y284" s="3033"/>
      <c r="Z284" s="3028"/>
      <c r="AA284" s="2831"/>
      <c r="AB284" s="3034"/>
      <c r="AC284" s="3033"/>
      <c r="AD284" s="3028"/>
      <c r="AE284" s="2831"/>
      <c r="AF284" s="3034"/>
      <c r="AG284" s="2832"/>
      <c r="AH284" s="2821"/>
      <c r="AI284" s="3030"/>
      <c r="AJ284" s="2816">
        <v>4</v>
      </c>
      <c r="AK284" s="2816">
        <f>P277</f>
        <v>1</v>
      </c>
      <c r="AL284" s="2816" t="str">
        <f>IF(INDEX($A$1:$AI$343,ROW($D$29)+($B284-1)*(ROW($D$63)-ROW($D$29))+Tablas!A$1-1,COLUMN($D$29)+($AJ284-1)*(COLUMN($J$29)-COLUMN($D$29)))="","",INDEX($A$1:$AI$343,ROW($D$29)+($B284-1)*(ROW($D$63)-ROW($D$29))+Tablas!A$1-1,COLUMN($D$29)+($AJ284-1)*(COLUMN($J$29)-COLUMN($D$29))))</f>
        <v/>
      </c>
      <c r="AM284" s="2816" t="str">
        <f>IF(INDEX($A$1:$AI$343,ROW($D$29)+($B284-1)*(ROW($D$63)-ROW($D$29))+Tablas!B$1-1,COLUMN($D$29)+($AJ284-1)*(COLUMN($J$29)-COLUMN($D$29)))="","",INDEX($A$1:$AI$343,ROW($D$29)+($B284-1)*(ROW($D$63)-ROW($D$29))+Tablas!B$1-1,COLUMN($D$29)+($AJ284-1)*(COLUMN($J$29)-COLUMN($D$29))))</f>
        <v/>
      </c>
      <c r="AN284" s="2816" t="str">
        <f>IF(INDEX($A$1:$AI$343,ROW($D$29)+($B284-1)*(ROW($D$63)-ROW($D$29))+Tablas!C$1-1,COLUMN($D$29)+($AJ284-1)*(COLUMN($J$29)-COLUMN($D$29)))="","",INDEX($A$1:$AI$343,ROW($D$29)+($B284-1)*(ROW($D$63)-ROW($D$29))+Tablas!C$1-1,COLUMN($D$29)+($AJ284-1)*(COLUMN($J$29)-COLUMN($D$29))))</f>
        <v/>
      </c>
      <c r="AO284" s="2816" t="str">
        <f>IF(INDEX($A$1:$AI$343,ROW($D$29)+($B284-1)*(ROW($D$63)-ROW($D$29))+Tablas!D$1-1,COLUMN($D$29)+($AJ284-1)*(COLUMN($J$29)-COLUMN($D$29)))="","",INDEX($A$1:$AI$343,ROW($D$29)+($B284-1)*(ROW($D$63)-ROW($D$29))+Tablas!D$1-1,COLUMN($D$29)+($AJ284-1)*(COLUMN($J$29)-COLUMN($D$29))))</f>
        <v/>
      </c>
      <c r="AP284" s="2816" t="str">
        <f>IF(INDEX($A$1:$AI$343,ROW($D$29)+($B284-1)*(ROW($D$63)-ROW($D$29))+Tablas!E$1-1,COLUMN($D$29)+($AJ284-1)*(COLUMN($J$29)-COLUMN($D$29)))="","",INDEX($A$1:$AI$343,ROW($D$29)+($B284-1)*(ROW($D$63)-ROW($D$29))+Tablas!E$1-1,COLUMN($D$29)+($AJ284-1)*(COLUMN($J$29)-COLUMN($D$29))))</f>
        <v/>
      </c>
      <c r="AQ284" s="2816" t="str">
        <f>IF(INDEX($A$1:$AI$343,ROW($D$29)+($B284-1)*(ROW($D$63)-ROW($D$29))+Tablas!F$1-1,COLUMN($D$29)+($AJ284-1)*(COLUMN($J$29)-COLUMN($D$29)))="","",INDEX($A$1:$AI$343,ROW($D$29)+($B284-1)*(ROW($D$63)-ROW($D$29))+Tablas!F$1-1,COLUMN($D$29)+($AJ284-1)*(COLUMN($J$29)-COLUMN($D$29))))</f>
        <v/>
      </c>
      <c r="AR284" s="2816" t="str">
        <f>IF(INDEX($A$1:$AI$343,ROW($D$29)+($B284-1)*(ROW($D$63)-ROW($D$29))+Tablas!G$1-1,COLUMN($D$29)+($AJ284-1)*(COLUMN($J$29)-COLUMN($D$29)))="","",INDEX($A$1:$AI$343,ROW($D$29)+($B284-1)*(ROW($D$63)-ROW($D$29))+Tablas!G$1-1,COLUMN($D$29)+($AJ284-1)*(COLUMN($J$29)-COLUMN($D$29))))</f>
        <v/>
      </c>
      <c r="AS284" s="2816"/>
      <c r="AT284" s="3035">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V284" s="2816" t="str">
        <f>IFERROR(VLOOKUP(F284,'Tablas Técnicas'!$C$9:$H$81,6,FALSE),"")</f>
        <v/>
      </c>
      <c r="AW284" s="3035" t="b">
        <f>OR(AV284="",OR(ISNUMBER(SEARCH($O286,AV284)),ISNUMBER(SEARCH($Q286,AV284)),ISNUMBER(SEARCH($O287,AV284)),ISNUMBER(SEARCH($Q287,AV284)),ISNUMBER(SEARCH($O288,AV284)),ISNUMBER(SEARCH($Q288,AV284)),))</f>
        <v>1</v>
      </c>
      <c r="AX284" s="3035" t="b">
        <f>AND(P277&gt;1,OR(MAX(AA294:AA300)=1,MAX(AA294:AA300)=2))</f>
        <v>0</v>
      </c>
      <c r="AZ284" s="3035"/>
      <c r="BA284" s="2816" t="str">
        <f>IF(F284="","",F284&amp;" ("&amp;IF(AL284="","",AL284&amp;", ")&amp;IF(AM284="","",AM284&amp;", ")&amp;IF(AN284="","",AN284&amp;", ")&amp;IF(AO284="","",AO284&amp;", ")&amp;IF(AP284="","",AP284&amp;", ")&amp;IF(AQ284="","",AQ284&amp;", ")&amp;IF(AR284="","",AR284&amp;", "))</f>
        <v/>
      </c>
      <c r="BB284" s="3035" t="str">
        <f>IFERROR(LEFT(BA284,LEN(BA284)-2)&amp;"), ","")</f>
        <v/>
      </c>
      <c r="BC284" s="3023" t="str">
        <f>IFERROR(LEFT(BB284,LEN(BB284)-2)&amp;"), ","")</f>
        <v/>
      </c>
    </row>
    <row r="285" spans="1:55" x14ac:dyDescent="0.2">
      <c r="A285" s="3030"/>
      <c r="B285" s="3070">
        <f t="shared" si="26"/>
        <v>9</v>
      </c>
      <c r="C285" s="5106"/>
      <c r="D285" s="5093" t="s">
        <v>790</v>
      </c>
      <c r="E285" s="5094"/>
      <c r="F285" s="5084"/>
      <c r="G285" s="5085"/>
      <c r="H285" s="5085"/>
      <c r="I285" s="5085"/>
      <c r="J285" s="5086"/>
      <c r="K285" s="5087" t="s">
        <v>1729</v>
      </c>
      <c r="L285" s="5088"/>
      <c r="M285" s="5089"/>
      <c r="N285" s="3032">
        <f>SUMPRODUCT(INDEX('Tablas Técnicas'!$O$10:$X$639,,5),--(INDEX('Tablas Técnicas'!$O$10:$X$639,,1)=F285),--(ISNUMBER(MATCH(INDEX('Tablas Técnicas'!$O$10:$X$639,,2),$AL285:$AR285,0))))</f>
        <v>0</v>
      </c>
      <c r="O285" s="3032" t="str">
        <f>V285+X285+Z285+AB285+AD285+AF285&amp;" / "&amp;SUMPRODUCT(INDEX('Tablas Técnicas'!$O$10:$X$639,,IF(D285="Primario",3,4)),--(INDEX('Tablas Técnicas'!$O$10:$X$639,,1)=F285),--(ISNUMBER(MATCH(INDEX('Tablas Técnicas'!$O$10:$X$639,,2),$AL285:$AR285,0))))+IF(AND(K285&lt;&gt;"-",K285&lt;&gt;""),SUMPRODUCT(INDEX('Tablas Técnicas'!$O$10:$X$639,,IF(K285="Mantenido",6,IF(K285="Sostenimiento menor",7,IF(K285="Sostenimiento mayor",8,0)))),--(INDEX('Tablas Técnicas'!$O$10:$X$639,,1)=F285),--(ISNUMBER(MATCH(INDEX('Tablas Técnicas'!$O$10:$X$639,,2),$AL285:$AR285,0)))),0)+AT285</f>
        <v>0 / 0</v>
      </c>
      <c r="P285" s="3032" t="str">
        <f>W285+Y285+AA285+AC285+AE285+AG285&amp;" / "&amp;IF(K285="Mantenido",SUMPRODUCT(INDEX('Tablas Técnicas'!$O$10:$X$639,,6),--(INDEX('Tablas Técnicas'!$O$10:$X$639,,1)=F285),--(ISNUMBER(MATCH(INDEX('Tablas Técnicas'!$O$10:$X$639,,2),$AL285:$AR285,0)))),0)</f>
        <v>0 / 0</v>
      </c>
      <c r="Q285" s="5095" t="str">
        <f>IFERROR(VLOOKUP(F285,'Tablas Técnicas'!$C$9:$H$81,5,FALSE),"")</f>
        <v/>
      </c>
      <c r="R285" s="5095"/>
      <c r="S285" s="5095"/>
      <c r="T285" s="5095"/>
      <c r="U285" s="5095"/>
      <c r="V285" s="2836"/>
      <c r="W285" s="2837"/>
      <c r="X285" s="2836"/>
      <c r="Y285" s="2838"/>
      <c r="Z285" s="2839"/>
      <c r="AA285" s="2837"/>
      <c r="AB285" s="2836"/>
      <c r="AC285" s="2838"/>
      <c r="AD285" s="2839"/>
      <c r="AE285" s="2837"/>
      <c r="AF285" s="2836"/>
      <c r="AG285" s="2840"/>
      <c r="AH285" s="2821"/>
      <c r="AI285" s="3030"/>
      <c r="AJ285" s="2816">
        <v>5</v>
      </c>
      <c r="AK285" s="2816">
        <f>P277</f>
        <v>1</v>
      </c>
      <c r="AL285" s="2816" t="str">
        <f>IF(INDEX($A$1:$AI$343,ROW($D$29)+($B285-1)*(ROW($D$63)-ROW($D$29))+Tablas!A$1-1,COLUMN($D$29)+($AJ285-1)*(COLUMN($J$29)-COLUMN($D$29)))="","",INDEX($A$1:$AI$343,ROW($D$29)+($B285-1)*(ROW($D$63)-ROW($D$29))+Tablas!A$1-1,COLUMN($D$29)+($AJ285-1)*(COLUMN($J$29)-COLUMN($D$29))))</f>
        <v/>
      </c>
      <c r="AM285" s="2816" t="str">
        <f>IF(INDEX($A$1:$AI$343,ROW($D$29)+($B285-1)*(ROW($D$63)-ROW($D$29))+Tablas!B$1-1,COLUMN($D$29)+($AJ285-1)*(COLUMN($J$29)-COLUMN($D$29)))="","",INDEX($A$1:$AI$343,ROW($D$29)+($B285-1)*(ROW($D$63)-ROW($D$29))+Tablas!B$1-1,COLUMN($D$29)+($AJ285-1)*(COLUMN($J$29)-COLUMN($D$29))))</f>
        <v/>
      </c>
      <c r="AN285" s="2816" t="str">
        <f>IF(INDEX($A$1:$AI$343,ROW($D$29)+($B285-1)*(ROW($D$63)-ROW($D$29))+Tablas!C$1-1,COLUMN($D$29)+($AJ285-1)*(COLUMN($J$29)-COLUMN($D$29)))="","",INDEX($A$1:$AI$343,ROW($D$29)+($B285-1)*(ROW($D$63)-ROW($D$29))+Tablas!C$1-1,COLUMN($D$29)+($AJ285-1)*(COLUMN($J$29)-COLUMN($D$29))))</f>
        <v/>
      </c>
      <c r="AO285" s="2816" t="str">
        <f>IF(INDEX($A$1:$AI$343,ROW($D$29)+($B285-1)*(ROW($D$63)-ROW($D$29))+Tablas!D$1-1,COLUMN($D$29)+($AJ285-1)*(COLUMN($J$29)-COLUMN($D$29)))="","",INDEX($A$1:$AI$343,ROW($D$29)+($B285-1)*(ROW($D$63)-ROW($D$29))+Tablas!D$1-1,COLUMN($D$29)+($AJ285-1)*(COLUMN($J$29)-COLUMN($D$29))))</f>
        <v/>
      </c>
      <c r="AP285" s="2816" t="str">
        <f>IF(INDEX($A$1:$AI$343,ROW($D$29)+($B285-1)*(ROW($D$63)-ROW($D$29))+Tablas!E$1-1,COLUMN($D$29)+($AJ285-1)*(COLUMN($J$29)-COLUMN($D$29)))="","",INDEX($A$1:$AI$343,ROW($D$29)+($B285-1)*(ROW($D$63)-ROW($D$29))+Tablas!E$1-1,COLUMN($D$29)+($AJ285-1)*(COLUMN($J$29)-COLUMN($D$29))))</f>
        <v/>
      </c>
      <c r="AQ285" s="2816" t="str">
        <f>IF(INDEX($A$1:$AI$343,ROW($D$29)+($B285-1)*(ROW($D$63)-ROW($D$29))+Tablas!F$1-1,COLUMN($D$29)+($AJ285-1)*(COLUMN($J$29)-COLUMN($D$29)))="","",INDEX($A$1:$AI$343,ROW($D$29)+($B285-1)*(ROW($D$63)-ROW($D$29))+Tablas!F$1-1,COLUMN($D$29)+($AJ285-1)*(COLUMN($J$29)-COLUMN($D$29))))</f>
        <v/>
      </c>
      <c r="AR285" s="2816" t="str">
        <f>IF(INDEX($A$1:$AI$343,ROW($D$29)+($B285-1)*(ROW($D$63)-ROW($D$29))+Tablas!G$1-1,COLUMN($D$29)+($AJ285-1)*(COLUMN($J$29)-COLUMN($D$29)))="","",INDEX($A$1:$AI$343,ROW($D$29)+($B285-1)*(ROW($D$63)-ROW($D$29))+Tablas!G$1-1,COLUMN($D$29)+($AJ285-1)*(COLUMN($J$29)-COLUMN($D$29))))</f>
        <v/>
      </c>
      <c r="AS285" s="2816"/>
      <c r="AT285" s="3035">
        <f>IF(AND(ISNUMBER(FIND(V$14&amp;"+",$Q285)),V285&gt;0),MID($Q285,FIND(V$14&amp;"+",$Q285)+4,1),0)+IF(AND(ISNUMBER(FIND(X$14&amp;"+",$Q285)),X285&gt;0),MID($Q285,FIND(X$14&amp;"+",$Q285)+4,1),0)+IF(AND(ISNUMBER(FIND(Z$14&amp;"+",$Q285)),Z285&gt;0),MID($Q285,FIND(Z$14&amp;"+",$Q285)+4,1),0)+IF(AND(ISNUMBER(FIND(AB$14&amp;"+",$Q285)),AB285&gt;0),MID($Q285,FIND(AB$14&amp;"+",$Q285)+4,1),0)+IF(AND(ISNUMBER(FIND(AD$14&amp;"+",$Q285)),AD285&gt;0),MID($Q285,FIND(AD$14&amp;"+",$Q285)+4,1),0)+IF(AND(ISNUMBER(FIND(AF$14&amp;"+",$Q285)),AF285&gt;0),MID($Q285,FIND(AF$14&amp;"+",$Q285)+4,1),0)</f>
        <v>0</v>
      </c>
      <c r="AV285" s="2816" t="str">
        <f>IFERROR(VLOOKUP(F285,'Tablas Técnicas'!$C$9:$H$81,6,FALSE),"")</f>
        <v/>
      </c>
      <c r="AW285" s="3035" t="b">
        <f>OR(AV285="",OR(ISNUMBER(SEARCH($O286,AV285)),ISNUMBER(SEARCH($Q286,AV285)),ISNUMBER(SEARCH($O287,AV285)),ISNUMBER(SEARCH($Q287,AV285)),ISNUMBER(SEARCH($O288,AV285)),ISNUMBER(SEARCH($Q288,AV285)),))</f>
        <v>1</v>
      </c>
      <c r="AX285" s="3035" t="b">
        <f>AND(P277&gt;1,OR(MAX(AG294:AG300)=1,MAX(AG294:AG300)=2))</f>
        <v>0</v>
      </c>
      <c r="AZ285" s="3035"/>
      <c r="BA285" s="2816" t="str">
        <f>IF(F285="","",F285&amp;" ("&amp;IF(AL285="","",AL285&amp;", ")&amp;IF(AM285="","",AM285&amp;", ")&amp;IF(AN285="","",AN285&amp;", ")&amp;IF(AO285="","",AO285&amp;", ")&amp;IF(AP285="","",AP285&amp;", ")&amp;IF(AQ285="","",AQ285&amp;", ")&amp;IF(AR285="","",AR285&amp;", "))</f>
        <v/>
      </c>
      <c r="BB285" s="3035" t="str">
        <f t="shared" ref="BB285" si="33">IFERROR(LEFT(BA285,LEN(BA285)-2)&amp;"), ","")</f>
        <v/>
      </c>
      <c r="BC285" s="3023" t="str">
        <f t="shared" ref="BC285" si="34">IFERROR(LEFT(BB285,LEN(BB285)-2)&amp;"), ","")</f>
        <v/>
      </c>
    </row>
    <row r="286" spans="1:55" x14ac:dyDescent="0.2">
      <c r="A286" s="3030"/>
      <c r="B286" s="3070">
        <f t="shared" si="26"/>
        <v>9</v>
      </c>
      <c r="C286" s="5106"/>
      <c r="D286" s="5096" t="s">
        <v>3218</v>
      </c>
      <c r="E286" s="5097"/>
      <c r="F286" s="5102"/>
      <c r="G286" s="5103"/>
      <c r="H286" s="5103"/>
      <c r="I286" s="5103"/>
      <c r="J286" s="5104"/>
      <c r="K286" s="5128"/>
      <c r="L286" s="5176"/>
      <c r="M286" s="5177"/>
      <c r="N286" s="2841" t="str">
        <f>IF(F286="","",SUMPRODUCT(--(INDEX('Tablas Técnicas'!$C$114:$F$200,,1)=F286),--(INDEX('Tablas Técnicas'!$C$114:$F$200,,2)=K286),INDEX('Tablas Técnicas'!$C$114:$F$200,,3)))</f>
        <v/>
      </c>
      <c r="O286" s="5178"/>
      <c r="P286" s="5179"/>
      <c r="Q286" s="5180"/>
      <c r="R286" s="5179"/>
      <c r="S286" s="3036" t="str">
        <f>IF(K286="","","Nivel: "&amp;MAX(1,SUMPRODUCT(--(INDEX('Tablas Técnicas'!$C$114:$F$200,,1)=F286),--(INDEX('Tablas Técnicas'!$C$114:$F$200,,2)=K286),INDEX('Tablas Técnicas'!$C$114:$F$200,,4))))</f>
        <v/>
      </c>
      <c r="T286" s="2842"/>
      <c r="U286" s="2843" t="str">
        <f>IFERROR("("&amp;VLOOKUP(F286,'Tablas Técnicas'!$C$86:$E$108,3,FALSE)&amp;")","")</f>
        <v/>
      </c>
      <c r="V286" s="5195" t="s">
        <v>10245</v>
      </c>
      <c r="W286" s="5196"/>
      <c r="X286" s="5196"/>
      <c r="Y286" s="5196"/>
      <c r="Z286" s="5196"/>
      <c r="AA286" s="5196"/>
      <c r="AB286" s="5196"/>
      <c r="AC286" s="5196"/>
      <c r="AD286" s="5196"/>
      <c r="AE286" s="5196"/>
      <c r="AF286" s="5196"/>
      <c r="AG286" s="5197"/>
      <c r="AH286" s="2821"/>
      <c r="AI286" s="3030"/>
      <c r="AJ286" s="2816">
        <v>1</v>
      </c>
      <c r="AK286" s="2816">
        <f>P277</f>
        <v>1</v>
      </c>
      <c r="AL286" s="2816" t="e">
        <f>VLOOKUP(F286,'Tablas Técnicas'!$C$86:$E$108,2,FALSE)</f>
        <v>#N/A</v>
      </c>
      <c r="AN286" s="2817"/>
      <c r="AR286" s="2816"/>
      <c r="AS286" s="2816"/>
      <c r="AT286" s="2816"/>
      <c r="AU286" s="2816"/>
      <c r="AV286" s="3035"/>
      <c r="AW286" s="3035" t="b">
        <f>F286="Atadura Elemental"</f>
        <v>0</v>
      </c>
      <c r="AX286" s="3035"/>
      <c r="AZ286" s="3035"/>
      <c r="BA286" s="3035"/>
      <c r="BB286" s="2816" t="str">
        <f>IF(F286="","",F286&amp;IF(K286="",""," ("&amp;IF(F286="Atadura Elemental",O286&amp;IF(Q286="","",", "&amp;Q286),K286)&amp;")")&amp;", ")</f>
        <v/>
      </c>
      <c r="BC286" s="2816" t="str">
        <f>IF(F286="","",F286&amp;IF(K286="",""," ("&amp;IF(F286="Atadura Elemental",O286&amp;IF(Q286="","",", "&amp;Q286),K286)&amp;")")&amp;", ")</f>
        <v/>
      </c>
    </row>
    <row r="287" spans="1:55" ht="11.25" customHeight="1" x14ac:dyDescent="0.2">
      <c r="A287" s="3030"/>
      <c r="B287" s="3070">
        <f t="shared" si="26"/>
        <v>9</v>
      </c>
      <c r="C287" s="5106"/>
      <c r="D287" s="5098"/>
      <c r="E287" s="5099"/>
      <c r="F287" s="5171"/>
      <c r="G287" s="5172"/>
      <c r="H287" s="5172"/>
      <c r="I287" s="5172"/>
      <c r="J287" s="5173"/>
      <c r="K287" s="5114"/>
      <c r="L287" s="5156"/>
      <c r="M287" s="5157"/>
      <c r="N287" s="2844" t="str">
        <f>IF(F287="","",SUMPRODUCT(--(INDEX('Tablas Técnicas'!$C$114:$F$200,,1)=F287),--(INDEX('Tablas Técnicas'!$C$114:$F$200,,2)=K287),INDEX('Tablas Técnicas'!$C$114:$F$200,,3)))</f>
        <v/>
      </c>
      <c r="O287" s="5158"/>
      <c r="P287" s="5159"/>
      <c r="Q287" s="5160"/>
      <c r="R287" s="5159"/>
      <c r="S287" s="3039" t="str">
        <f>IF(K287="","","Nivel: "&amp;MAX(1,SUMPRODUCT(--(INDEX('Tablas Técnicas'!$C$114:$F$200,,1)=F287),--(INDEX('Tablas Técnicas'!$C$114:$F$200,,2)=K287),INDEX('Tablas Técnicas'!$C$114:$F$200,,4))))</f>
        <v/>
      </c>
      <c r="T287" s="3015"/>
      <c r="U287" s="3016" t="str">
        <f>IFERROR("("&amp;VLOOKUP(F287,'Tablas Técnicas'!$C$86:$E$108,3,FALSE)&amp;")","")</f>
        <v/>
      </c>
      <c r="V287" s="5198" t="s">
        <v>9659</v>
      </c>
      <c r="W287" s="5199"/>
      <c r="X287" s="5200"/>
      <c r="Y287" s="3025">
        <v>0</v>
      </c>
      <c r="Z287" s="5201" t="s">
        <v>9660</v>
      </c>
      <c r="AA287" s="5202"/>
      <c r="AB287" s="5203"/>
      <c r="AC287" s="3025">
        <v>0</v>
      </c>
      <c r="AD287" s="5204" t="str">
        <f>"Ki repartido / total: "&amp;AL298&amp;IF(AM297=0,""," ("&amp;AM297&amp;")")&amp;" / "&amp;AL297&amp;IF(AM298=0,""," ("&amp;AM298&amp;")")</f>
        <v>Ki repartido / total: 0 / 0</v>
      </c>
      <c r="AE287" s="5205"/>
      <c r="AF287" s="5205"/>
      <c r="AG287" s="5206"/>
      <c r="AH287" s="2821"/>
      <c r="AI287" s="3030"/>
      <c r="AJ287" s="2816">
        <v>2</v>
      </c>
      <c r="AK287" s="2816">
        <f>P277</f>
        <v>1</v>
      </c>
      <c r="AL287" s="2816" t="e">
        <f>VLOOKUP(F287,'Tablas Técnicas'!$C$86:$E$108,2,FALSE)</f>
        <v>#N/A</v>
      </c>
      <c r="AN287" s="2817"/>
      <c r="AR287" s="2816"/>
      <c r="AS287" s="2816"/>
      <c r="AT287" s="2816"/>
      <c r="AU287" s="2816"/>
      <c r="AV287" s="3035"/>
      <c r="AW287" s="3035" t="b">
        <f>F287="Atadura Elemental"</f>
        <v>0</v>
      </c>
      <c r="AX287" s="3035"/>
      <c r="AZ287" s="3035"/>
      <c r="BA287" s="3035"/>
      <c r="BB287" s="2816" t="str">
        <f>IF(F287="","",F287&amp;IF(K287="",""," ("&amp;IF(F287="Atadura Elemental",O287&amp;IF(Q287="","",", "&amp;Q287),K287)&amp;")")&amp;", ")</f>
        <v/>
      </c>
      <c r="BC287" s="2816" t="str">
        <f>IF(F287="","",F287&amp;IF(K287="",""," ("&amp;IF(F287="Atadura Elemental",O287&amp;IF(Q287="","",", "&amp;Q287),K287)&amp;")")&amp;", ")</f>
        <v/>
      </c>
    </row>
    <row r="288" spans="1:55" x14ac:dyDescent="0.2">
      <c r="A288" s="3030"/>
      <c r="B288" s="3070">
        <f t="shared" si="26"/>
        <v>9</v>
      </c>
      <c r="C288" s="5106"/>
      <c r="D288" s="5100"/>
      <c r="E288" s="5101"/>
      <c r="F288" s="5168"/>
      <c r="G288" s="5169"/>
      <c r="H288" s="5169"/>
      <c r="I288" s="5169"/>
      <c r="J288" s="5170"/>
      <c r="K288" s="5148"/>
      <c r="L288" s="5149"/>
      <c r="M288" s="5150"/>
      <c r="N288" s="2845" t="str">
        <f>IF(F288="","",SUMPRODUCT(--(INDEX('Tablas Técnicas'!$C$114:$F$200,,1)=F288),--(INDEX('Tablas Técnicas'!$C$114:$F$200,,2)=K288),INDEX('Tablas Técnicas'!$C$114:$F$200,,3)))</f>
        <v/>
      </c>
      <c r="O288" s="5151"/>
      <c r="P288" s="5152"/>
      <c r="Q288" s="5153"/>
      <c r="R288" s="5152"/>
      <c r="S288" s="3032" t="str">
        <f>IF(K288="","","Nivel: "&amp;MAX(1,SUMPRODUCT(--(INDEX('Tablas Técnicas'!$C$114:$F$200,,1)=F288),--(INDEX('Tablas Técnicas'!$C$114:$F$200,,2)=K288),INDEX('Tablas Técnicas'!$C$114:$F$200,,4))))</f>
        <v/>
      </c>
      <c r="T288" s="2846"/>
      <c r="U288" s="3017" t="str">
        <f>IFERROR("("&amp;VLOOKUP(F288,'Tablas Técnicas'!$C$86:$E$108,3,FALSE)&amp;")","")</f>
        <v/>
      </c>
      <c r="V288" s="5154"/>
      <c r="W288" s="5154"/>
      <c r="X288" s="5154"/>
      <c r="Y288" s="5154"/>
      <c r="Z288" s="5154"/>
      <c r="AA288" s="5154"/>
      <c r="AB288" s="5154"/>
      <c r="AC288" s="5154"/>
      <c r="AD288" s="5154"/>
      <c r="AE288" s="5154"/>
      <c r="AF288" s="5154"/>
      <c r="AG288" s="5155"/>
      <c r="AH288" s="2821"/>
      <c r="AI288" s="3030"/>
      <c r="AJ288" s="2816">
        <v>3</v>
      </c>
      <c r="AK288" s="2816">
        <f>P277</f>
        <v>1</v>
      </c>
      <c r="AL288" s="2816" t="e">
        <f>VLOOKUP(F288,'Tablas Técnicas'!$C$86:$E$108,2,FALSE)</f>
        <v>#N/A</v>
      </c>
      <c r="AN288" s="2817"/>
      <c r="AR288" s="3035"/>
      <c r="AT288" s="3035"/>
      <c r="AV288" s="3035"/>
      <c r="AW288" s="3035" t="b">
        <f>F288="Atadura Elemental"</f>
        <v>0</v>
      </c>
      <c r="AX288" s="3035"/>
      <c r="AZ288" s="3035"/>
      <c r="BA288" s="3035"/>
      <c r="BB288" s="2816" t="str">
        <f>IF(F288="","",F288&amp;IF(K288="",""," ("&amp;IF(F288="Atadura Elemental",O288&amp;IF(Q288="","",", "&amp;Q288),K288)&amp;")")&amp;", ")</f>
        <v/>
      </c>
      <c r="BC288" s="2816" t="str">
        <f>IF(F288="","",F288&amp;IF(K288="",""," ("&amp;IF(F288="Atadura Elemental",O288&amp;IF(Q288="","",", "&amp;Q288),K288)&amp;")")&amp;", ")</f>
        <v/>
      </c>
    </row>
    <row r="289" spans="1:55" x14ac:dyDescent="0.2">
      <c r="A289" s="3030"/>
      <c r="B289" s="3070">
        <f t="shared" si="26"/>
        <v>9</v>
      </c>
      <c r="C289" s="5106"/>
      <c r="D289" s="5069" t="s">
        <v>10241</v>
      </c>
      <c r="E289" s="5070"/>
      <c r="F289" s="5070"/>
      <c r="G289" s="5070"/>
      <c r="H289" s="5070"/>
      <c r="I289" s="5070"/>
      <c r="J289" s="5070"/>
      <c r="K289" s="5070"/>
      <c r="L289" s="5070"/>
      <c r="M289" s="5070"/>
      <c r="N289" s="5070"/>
      <c r="O289" s="5070"/>
      <c r="P289" s="5070"/>
      <c r="Q289" s="5070"/>
      <c r="R289" s="5070"/>
      <c r="S289" s="5070"/>
      <c r="T289" s="5070"/>
      <c r="U289" s="5070"/>
      <c r="V289" s="5070"/>
      <c r="W289" s="5070"/>
      <c r="X289" s="5070"/>
      <c r="Y289" s="5070"/>
      <c r="Z289" s="5070"/>
      <c r="AA289" s="5070"/>
      <c r="AB289" s="5070"/>
      <c r="AC289" s="5070"/>
      <c r="AD289" s="5070"/>
      <c r="AE289" s="5070"/>
      <c r="AF289" s="5070"/>
      <c r="AG289" s="5071"/>
      <c r="AH289" s="2821"/>
      <c r="AI289" s="3030"/>
      <c r="AN289" s="2817" t="s">
        <v>9661</v>
      </c>
      <c r="AO289" s="2816" t="e">
        <f>LEFT(BB281&amp;BB282&amp;BB283&amp;BB284&amp;BB285,LEN(BB281&amp;BB282&amp;BB283&amp;BB284&amp;BB285)-2)</f>
        <v>#VALUE!</v>
      </c>
      <c r="AR289" s="3035"/>
      <c r="AT289" s="2817"/>
      <c r="AU289" s="2817"/>
      <c r="AV289" s="3035"/>
      <c r="AW289" s="3035"/>
      <c r="AX289" s="3035"/>
      <c r="AZ289" s="3035"/>
      <c r="BA289" s="3035"/>
      <c r="BB289" s="3035"/>
      <c r="BC289" s="3023"/>
    </row>
    <row r="290" spans="1:55" x14ac:dyDescent="0.2">
      <c r="A290" s="3030"/>
      <c r="B290" s="3070">
        <f t="shared" si="26"/>
        <v>9</v>
      </c>
      <c r="C290" s="5106"/>
      <c r="D290" s="5066" t="str">
        <f>IF(F281="","",F281)</f>
        <v/>
      </c>
      <c r="E290" s="5067"/>
      <c r="F290" s="5067"/>
      <c r="G290" s="5067"/>
      <c r="H290" s="5067"/>
      <c r="I290" s="5068"/>
      <c r="J290" s="5066" t="str">
        <f>IF(F282="","",F282)</f>
        <v/>
      </c>
      <c r="K290" s="5067"/>
      <c r="L290" s="5067"/>
      <c r="M290" s="5067"/>
      <c r="N290" s="5067"/>
      <c r="O290" s="5068"/>
      <c r="P290" s="5067" t="str">
        <f>IF(F283="","",F283)</f>
        <v/>
      </c>
      <c r="Q290" s="5067"/>
      <c r="R290" s="5067"/>
      <c r="S290" s="5067"/>
      <c r="T290" s="5067"/>
      <c r="U290" s="5068"/>
      <c r="V290" s="5066" t="str">
        <f>IF(F284="","",F284)</f>
        <v/>
      </c>
      <c r="W290" s="5067"/>
      <c r="X290" s="5067"/>
      <c r="Y290" s="5067"/>
      <c r="Z290" s="5067"/>
      <c r="AA290" s="5068"/>
      <c r="AB290" s="5067" t="str">
        <f>IF(F285="","",F285)</f>
        <v/>
      </c>
      <c r="AC290" s="5067"/>
      <c r="AD290" s="5067"/>
      <c r="AE290" s="5067"/>
      <c r="AF290" s="5067"/>
      <c r="AG290" s="5083"/>
      <c r="AH290" s="2821"/>
      <c r="AI290" s="3030"/>
      <c r="AN290" s="2817" t="s">
        <v>9662</v>
      </c>
      <c r="AO290" s="2816" t="e">
        <f>LEFT(BB286&amp;BB287&amp;BB288,LEN(BB286&amp;BB287&amp;BB288)-2)</f>
        <v>#VALUE!</v>
      </c>
      <c r="AR290" s="3035"/>
      <c r="AT290" s="2817"/>
      <c r="AU290" s="2817"/>
      <c r="AV290" s="3035"/>
      <c r="AW290" s="3035"/>
      <c r="AX290" s="3035"/>
      <c r="AZ290" s="3035"/>
      <c r="BA290" s="3035"/>
      <c r="BB290" s="3035"/>
      <c r="BC290" s="3023"/>
    </row>
    <row r="291" spans="1:55" x14ac:dyDescent="0.2">
      <c r="A291" s="3030"/>
      <c r="B291" s="3070">
        <f t="shared" si="26"/>
        <v>9</v>
      </c>
      <c r="C291" s="5106"/>
      <c r="D291" s="3046" t="s">
        <v>2121</v>
      </c>
      <c r="E291" s="3040" t="str">
        <f>IFERROR(VLOOKUP(D290,'Tablas Técnicas'!$C$9:$H$81,3,FALSE),"")</f>
        <v/>
      </c>
      <c r="F291" s="3019"/>
      <c r="G291" s="3018"/>
      <c r="H291" s="3018" t="s">
        <v>1636</v>
      </c>
      <c r="I291" s="3040" t="str">
        <f>IFERROR(VLOOKUP(D290,'Tablas Técnicas'!$C$9:$H$81,4,FALSE),"")</f>
        <v/>
      </c>
      <c r="J291" s="3046" t="s">
        <v>2121</v>
      </c>
      <c r="K291" s="3040" t="str">
        <f>IFERROR(VLOOKUP(J290,'Tablas Técnicas'!$C$9:$H$81,3,FALSE),"")</f>
        <v/>
      </c>
      <c r="L291" s="3019"/>
      <c r="M291" s="3018"/>
      <c r="N291" s="3018" t="s">
        <v>1636</v>
      </c>
      <c r="O291" s="2847" t="str">
        <f>IFERROR(VLOOKUP(J290,'Tablas Técnicas'!$C$9:$H$81,4,FALSE),"")</f>
        <v/>
      </c>
      <c r="P291" s="3018" t="s">
        <v>2121</v>
      </c>
      <c r="Q291" s="3040" t="str">
        <f>IFERROR(VLOOKUP(P290,'Tablas Técnicas'!$C$9:$H$81,3,FALSE),"")</f>
        <v/>
      </c>
      <c r="R291" s="3019"/>
      <c r="S291" s="3018"/>
      <c r="T291" s="3018" t="s">
        <v>1636</v>
      </c>
      <c r="U291" s="3040" t="str">
        <f>IFERROR(VLOOKUP(P290,'Tablas Técnicas'!$C$9:$H$81,4,FALSE),"")</f>
        <v/>
      </c>
      <c r="V291" s="3046" t="s">
        <v>2121</v>
      </c>
      <c r="W291" s="3040" t="str">
        <f>IFERROR(VLOOKUP(V290,'Tablas Técnicas'!$C$9:$H$81,3,FALSE),"")</f>
        <v/>
      </c>
      <c r="X291" s="3019"/>
      <c r="Y291" s="3018"/>
      <c r="Z291" s="3018" t="s">
        <v>1636</v>
      </c>
      <c r="AA291" s="2847" t="str">
        <f>IFERROR(VLOOKUP(V290,'Tablas Técnicas'!$C$9:$H$81,4,FALSE),"")</f>
        <v/>
      </c>
      <c r="AB291" s="3018" t="s">
        <v>2121</v>
      </c>
      <c r="AC291" s="3040" t="str">
        <f>IFERROR(VLOOKUP(AB290,'Tablas Técnicas'!$C$9:$H$81,3,FALSE),"")</f>
        <v/>
      </c>
      <c r="AD291" s="3019"/>
      <c r="AE291" s="3018"/>
      <c r="AF291" s="3018" t="s">
        <v>1636</v>
      </c>
      <c r="AG291" s="2848" t="str">
        <f>IFERROR(VLOOKUP(AB290,'Tablas Técnicas'!$C$9:$H$81,4,FALSE),"")</f>
        <v/>
      </c>
      <c r="AH291" s="2821"/>
      <c r="AI291" s="3030"/>
      <c r="AN291" s="2817"/>
      <c r="AR291" s="3035"/>
      <c r="AT291" s="3035"/>
      <c r="AV291" s="3035"/>
      <c r="AW291" s="3035"/>
      <c r="AX291" s="3035"/>
      <c r="AZ291" s="3035"/>
      <c r="BA291" s="3035"/>
      <c r="BB291" s="3035"/>
      <c r="BC291" s="3023"/>
    </row>
    <row r="292" spans="1:55" x14ac:dyDescent="0.2">
      <c r="A292" s="3030"/>
      <c r="B292" s="3070">
        <f t="shared" si="26"/>
        <v>9</v>
      </c>
      <c r="C292" s="5106"/>
      <c r="D292" s="3047" t="s">
        <v>9663</v>
      </c>
      <c r="E292" s="3018"/>
      <c r="F292" s="3019"/>
      <c r="G292" s="3020"/>
      <c r="H292" s="3020"/>
      <c r="I292" s="3017" t="str">
        <f>AV281</f>
        <v/>
      </c>
      <c r="J292" s="2849" t="s">
        <v>9663</v>
      </c>
      <c r="K292" s="2850"/>
      <c r="L292" s="2851"/>
      <c r="M292" s="2852"/>
      <c r="N292" s="2852"/>
      <c r="O292" s="2853" t="str">
        <f>IFERROR(VLOOKUP(J290,'Tablas Técnicas'!$C$9:$H$81,6,FALSE),"")</f>
        <v/>
      </c>
      <c r="P292" s="2854" t="s">
        <v>9663</v>
      </c>
      <c r="Q292" s="2850"/>
      <c r="R292" s="2851"/>
      <c r="S292" s="2852"/>
      <c r="T292" s="2852"/>
      <c r="U292" s="2855" t="str">
        <f>IFERROR(VLOOKUP(P290,'Tablas Técnicas'!$C$9:$H$81,6,FALSE),"")</f>
        <v/>
      </c>
      <c r="V292" s="2849" t="s">
        <v>9663</v>
      </c>
      <c r="W292" s="2850"/>
      <c r="X292" s="2851"/>
      <c r="Y292" s="2852"/>
      <c r="Z292" s="2852"/>
      <c r="AA292" s="2853" t="str">
        <f>IFERROR(VLOOKUP(V290,'Tablas Técnicas'!$C$9:$H$81,6,FALSE),"")</f>
        <v/>
      </c>
      <c r="AB292" s="2854" t="s">
        <v>9663</v>
      </c>
      <c r="AC292" s="2850"/>
      <c r="AD292" s="2851"/>
      <c r="AE292" s="2852"/>
      <c r="AF292" s="2852"/>
      <c r="AG292" s="2856" t="str">
        <f>IFERROR(VLOOKUP(AB290,'Tablas Técnicas'!$C$9:$H$81,6,FALSE),"")</f>
        <v/>
      </c>
      <c r="AH292" s="2821"/>
      <c r="AI292" s="3030"/>
      <c r="AJ292" s="2816" t="s">
        <v>9664</v>
      </c>
      <c r="AR292" s="3035"/>
      <c r="AT292" s="3035"/>
      <c r="AV292" s="3035"/>
      <c r="AW292" s="3035"/>
      <c r="AX292" s="3035"/>
      <c r="AZ292" s="3035"/>
      <c r="BA292" s="3035"/>
      <c r="BB292" s="2816"/>
      <c r="BC292" s="2816"/>
    </row>
    <row r="293" spans="1:55" x14ac:dyDescent="0.2">
      <c r="A293" s="3030"/>
      <c r="B293" s="3070">
        <f t="shared" si="26"/>
        <v>9</v>
      </c>
      <c r="C293" s="5106"/>
      <c r="D293" s="5066" t="s">
        <v>3226</v>
      </c>
      <c r="E293" s="5067"/>
      <c r="F293" s="5067"/>
      <c r="G293" s="5067"/>
      <c r="H293" s="5068"/>
      <c r="I293" s="2857" t="s">
        <v>1676</v>
      </c>
      <c r="J293" s="5066" t="s">
        <v>3226</v>
      </c>
      <c r="K293" s="5067"/>
      <c r="L293" s="5067"/>
      <c r="M293" s="5067"/>
      <c r="N293" s="5068"/>
      <c r="O293" s="2858" t="s">
        <v>1676</v>
      </c>
      <c r="P293" s="5066" t="s">
        <v>3226</v>
      </c>
      <c r="Q293" s="5067"/>
      <c r="R293" s="5067"/>
      <c r="S293" s="5067"/>
      <c r="T293" s="5068"/>
      <c r="U293" s="2858" t="s">
        <v>1676</v>
      </c>
      <c r="V293" s="5066" t="s">
        <v>3226</v>
      </c>
      <c r="W293" s="5067"/>
      <c r="X293" s="5067"/>
      <c r="Y293" s="5067"/>
      <c r="Z293" s="5068"/>
      <c r="AA293" s="2858" t="s">
        <v>1676</v>
      </c>
      <c r="AB293" s="5066" t="s">
        <v>3226</v>
      </c>
      <c r="AC293" s="5067"/>
      <c r="AD293" s="5067"/>
      <c r="AE293" s="5067"/>
      <c r="AF293" s="5068"/>
      <c r="AG293" s="2859" t="s">
        <v>1676</v>
      </c>
      <c r="AH293" s="2821"/>
      <c r="AI293" s="3030"/>
      <c r="AJ293" s="2816" t="s">
        <v>9665</v>
      </c>
      <c r="AQ293" s="2816"/>
      <c r="AR293" s="2816"/>
      <c r="AS293" s="2816"/>
      <c r="AT293" s="2816"/>
      <c r="AU293" s="2816"/>
      <c r="AV293" s="2816"/>
      <c r="AW293" s="2816"/>
      <c r="AX293" s="2816"/>
      <c r="AY293" s="2816"/>
      <c r="AZ293" s="3035"/>
      <c r="BA293" s="3035"/>
      <c r="BB293" s="3035"/>
      <c r="BC293" s="3023"/>
    </row>
    <row r="294" spans="1:55" x14ac:dyDescent="0.2">
      <c r="A294" s="3030"/>
      <c r="B294" s="3070">
        <f t="shared" si="26"/>
        <v>9</v>
      </c>
      <c r="C294" s="5106"/>
      <c r="D294" s="5081"/>
      <c r="E294" s="5082"/>
      <c r="F294" s="5082"/>
      <c r="G294" s="5082"/>
      <c r="H294" s="5082"/>
      <c r="I294" s="2860" t="str">
        <f>IF(OR(D290="",D294=""),"",MAX(1,SUMPRODUCT(--(INDEX('Tablas Técnicas'!$O$10:$X$639,,1)=D290),--(INDEX('Tablas Técnicas'!$O$10:$X$639,,2)=D294),INDEX('Tablas Técnicas'!$O$10:$X$639,,9))))</f>
        <v/>
      </c>
      <c r="J294" s="5082"/>
      <c r="K294" s="5082"/>
      <c r="L294" s="5082"/>
      <c r="M294" s="5082"/>
      <c r="N294" s="5082"/>
      <c r="O294" s="2860" t="str">
        <f>IF(OR(J290="",J294=""),"",MAX(1,SUMPRODUCT(--(INDEX('Tablas Técnicas'!$O$10:$X$639,,1)=J290),--(INDEX('Tablas Técnicas'!$O$10:$X$639,,2)=J294),INDEX('Tablas Técnicas'!$O$10:$X$639,,9))))</f>
        <v/>
      </c>
      <c r="P294" s="5081"/>
      <c r="Q294" s="5082"/>
      <c r="R294" s="5082"/>
      <c r="S294" s="5082"/>
      <c r="T294" s="5082"/>
      <c r="U294" s="2860" t="str">
        <f>IF(OR(P290="",P294=""),"",MAX(1,SUMPRODUCT(--(INDEX('Tablas Técnicas'!$O$10:$X$639,,1)=P290),--(INDEX('Tablas Técnicas'!$O$10:$X$639,,2)=P294),INDEX('Tablas Técnicas'!$O$10:$X$639,,9))))</f>
        <v/>
      </c>
      <c r="V294" s="5081"/>
      <c r="W294" s="5082"/>
      <c r="X294" s="5082"/>
      <c r="Y294" s="5082"/>
      <c r="Z294" s="5082"/>
      <c r="AA294" s="2860" t="str">
        <f>IF(OR(V290="",V294=""),"",MAX(1,SUMPRODUCT(--(INDEX('Tablas Técnicas'!$O$10:$X$639,,1)=V290),--(INDEX('Tablas Técnicas'!$O$10:$X$639,,2)=V294),INDEX('Tablas Técnicas'!$O$10:$X$639,,9))))</f>
        <v/>
      </c>
      <c r="AB294" s="5081"/>
      <c r="AC294" s="5082"/>
      <c r="AD294" s="5082"/>
      <c r="AE294" s="5082"/>
      <c r="AF294" s="5082"/>
      <c r="AG294" s="2861" t="str">
        <f>IF(OR(AB290="",AB294=""),"",MAX(1,SUMPRODUCT(--(INDEX('Tablas Técnicas'!$O$10:$X$639,,1)=AB290),--(INDEX('Tablas Técnicas'!$O$10:$X$639,,2)=AB294),INDEX('Tablas Técnicas'!$O$10:$X$639,,9))))</f>
        <v/>
      </c>
      <c r="AH294" s="2821">
        <f>P277</f>
        <v>1</v>
      </c>
      <c r="AI294" s="3030"/>
      <c r="AJ294" s="2816" t="s">
        <v>9667</v>
      </c>
      <c r="AK294" s="3035"/>
      <c r="AL294" s="3035"/>
      <c r="AM294" s="3035"/>
      <c r="AN294" s="3035"/>
      <c r="AO294" s="3035"/>
      <c r="AP294" s="2824"/>
      <c r="AQ294" s="2824"/>
      <c r="AR294" s="2824"/>
      <c r="AS294" s="2824"/>
      <c r="AT294" s="2824"/>
      <c r="AU294" s="2824"/>
      <c r="AV294" s="2824"/>
      <c r="AW294" s="2824"/>
      <c r="AX294" s="2824"/>
      <c r="AY294" s="2824"/>
      <c r="AZ294" s="3035"/>
      <c r="BA294" s="3035"/>
      <c r="BB294" s="3035"/>
      <c r="BC294" s="3023"/>
    </row>
    <row r="295" spans="1:55" x14ac:dyDescent="0.2">
      <c r="A295" s="3030"/>
      <c r="B295" s="3070">
        <f t="shared" si="26"/>
        <v>9</v>
      </c>
      <c r="C295" s="5106"/>
      <c r="D295" s="5064"/>
      <c r="E295" s="5065"/>
      <c r="F295" s="5065"/>
      <c r="G295" s="5065"/>
      <c r="H295" s="5065"/>
      <c r="I295" s="2862" t="str">
        <f>IF(OR(D290="",D295=""),"",MAX(1,SUMPRODUCT(--(INDEX('Tablas Técnicas'!$O$10:$X$639,,1)=D290),--(INDEX('Tablas Técnicas'!$O$10:$X$639,,2)=D295),INDEX('Tablas Técnicas'!$O$10:$X$639,,9))))</f>
        <v/>
      </c>
      <c r="J295" s="5065"/>
      <c r="K295" s="5065"/>
      <c r="L295" s="5065"/>
      <c r="M295" s="5065"/>
      <c r="N295" s="5065"/>
      <c r="O295" s="2862" t="str">
        <f>IF(OR(J290="",J295=""),"",MAX(1,SUMPRODUCT(--(INDEX('Tablas Técnicas'!$O$10:$X$639,,1)=J290),--(INDEX('Tablas Técnicas'!$O$10:$X$639,,2)=J295),INDEX('Tablas Técnicas'!$O$10:$X$639,,9))))</f>
        <v/>
      </c>
      <c r="P295" s="5064"/>
      <c r="Q295" s="5065"/>
      <c r="R295" s="5065"/>
      <c r="S295" s="5065"/>
      <c r="T295" s="5065"/>
      <c r="U295" s="2862" t="str">
        <f>IF(OR(P290="",P295=""),"",MAX(1,SUMPRODUCT(--(INDEX('Tablas Técnicas'!$O$10:$X$639,,1)=P290),--(INDEX('Tablas Técnicas'!$O$10:$X$639,,2)=P295),INDEX('Tablas Técnicas'!$O$10:$X$639,,9))))</f>
        <v/>
      </c>
      <c r="V295" s="5064"/>
      <c r="W295" s="5065"/>
      <c r="X295" s="5065"/>
      <c r="Y295" s="5065"/>
      <c r="Z295" s="5065"/>
      <c r="AA295" s="2862" t="str">
        <f>IF(OR(V290="",V295=""),"",MAX(1,SUMPRODUCT(--(INDEX('Tablas Técnicas'!$O$10:$X$639,,1)=V290),--(INDEX('Tablas Técnicas'!$O$10:$X$639,,2)=V295),INDEX('Tablas Técnicas'!$O$10:$X$639,,9))))</f>
        <v/>
      </c>
      <c r="AB295" s="5064"/>
      <c r="AC295" s="5065"/>
      <c r="AD295" s="5065"/>
      <c r="AE295" s="5065"/>
      <c r="AF295" s="5065"/>
      <c r="AG295" s="2863" t="str">
        <f>IF(OR(AB290="",AB295=""),"",MAX(1,SUMPRODUCT(--(INDEX('Tablas Técnicas'!$O$10:$X$639,,1)=AB290),--(INDEX('Tablas Técnicas'!$O$10:$X$639,,2)=AB295),INDEX('Tablas Técnicas'!$O$10:$X$639,,9))))</f>
        <v/>
      </c>
      <c r="AH295" s="2821">
        <f>P277</f>
        <v>1</v>
      </c>
      <c r="AI295" s="3030"/>
      <c r="AJ295" s="3035" t="s">
        <v>1646</v>
      </c>
      <c r="AK295" s="3035" t="s">
        <v>1772</v>
      </c>
      <c r="AL295" s="3035" t="s">
        <v>1651</v>
      </c>
      <c r="AM295" s="3035" t="s">
        <v>1656</v>
      </c>
      <c r="AN295" s="3035" t="s">
        <v>1664</v>
      </c>
      <c r="AO295" s="3035" t="s">
        <v>1665</v>
      </c>
      <c r="AQ295" s="2816"/>
      <c r="AR295" s="2816"/>
      <c r="AS295" s="2816"/>
      <c r="AT295" s="2816"/>
      <c r="AU295" s="2816"/>
      <c r="AV295" s="3035"/>
      <c r="AW295" s="2816"/>
      <c r="AX295" s="2816"/>
      <c r="AY295" s="2816"/>
      <c r="AZ295" s="2816"/>
      <c r="BA295" s="2816"/>
      <c r="BB295" s="2816"/>
      <c r="BC295" s="2816"/>
    </row>
    <row r="296" spans="1:55" x14ac:dyDescent="0.2">
      <c r="A296" s="3030"/>
      <c r="B296" s="3070">
        <f t="shared" si="26"/>
        <v>9</v>
      </c>
      <c r="C296" s="5106"/>
      <c r="D296" s="5064"/>
      <c r="E296" s="5065"/>
      <c r="F296" s="5065"/>
      <c r="G296" s="5065"/>
      <c r="H296" s="5065"/>
      <c r="I296" s="2862" t="str">
        <f>IF(OR(D290="",D296=""),"",MAX(1,SUMPRODUCT(--(INDEX('Tablas Técnicas'!$O$10:$X$639,,1)=D290),--(INDEX('Tablas Técnicas'!$O$10:$X$639,,2)=D296),INDEX('Tablas Técnicas'!$O$10:$X$639,,9))))</f>
        <v/>
      </c>
      <c r="J296" s="5065"/>
      <c r="K296" s="5065"/>
      <c r="L296" s="5065"/>
      <c r="M296" s="5065"/>
      <c r="N296" s="5065"/>
      <c r="O296" s="2862" t="str">
        <f>IF(OR(J290="",J296=""),"",MAX(1,SUMPRODUCT(--(INDEX('Tablas Técnicas'!$O$10:$X$639,,1)=J290),--(INDEX('Tablas Técnicas'!$O$10:$X$639,,2)=J296),INDEX('Tablas Técnicas'!$O$10:$X$639,,9))))</f>
        <v/>
      </c>
      <c r="P296" s="5064"/>
      <c r="Q296" s="5065"/>
      <c r="R296" s="5065"/>
      <c r="S296" s="5065"/>
      <c r="T296" s="5065"/>
      <c r="U296" s="2862" t="str">
        <f>IF(OR(P290="",P296=""),"",MAX(1,SUMPRODUCT(--(INDEX('Tablas Técnicas'!$O$10:$X$639,,1)=P290),--(INDEX('Tablas Técnicas'!$O$10:$X$639,,2)=P296),INDEX('Tablas Técnicas'!$O$10:$X$639,,9))))</f>
        <v/>
      </c>
      <c r="V296" s="5064"/>
      <c r="W296" s="5065"/>
      <c r="X296" s="5065"/>
      <c r="Y296" s="5065"/>
      <c r="Z296" s="5065"/>
      <c r="AA296" s="2862" t="str">
        <f>IF(OR(V290="",V296=""),"",MAX(1,SUMPRODUCT(--(INDEX('Tablas Técnicas'!$O$10:$X$639,,1)=V290),--(INDEX('Tablas Técnicas'!$O$10:$X$639,,2)=V296),INDEX('Tablas Técnicas'!$O$10:$X$639,,9))))</f>
        <v/>
      </c>
      <c r="AB296" s="5064"/>
      <c r="AC296" s="5065"/>
      <c r="AD296" s="5065"/>
      <c r="AE296" s="5065"/>
      <c r="AF296" s="5065"/>
      <c r="AG296" s="2863" t="str">
        <f>IF(OR(AB290="",AB296=""),"",MAX(1,SUMPRODUCT(--(INDEX('Tablas Técnicas'!$O$10:$X$639,,1)=AB290),--(INDEX('Tablas Técnicas'!$O$10:$X$639,,2)=AB296),INDEX('Tablas Técnicas'!$O$10:$X$639,,9))))</f>
        <v/>
      </c>
      <c r="AH296" s="2821">
        <f>P277</f>
        <v>1</v>
      </c>
      <c r="AI296" s="3030"/>
      <c r="AJ296" s="2816" t="str">
        <f>IF(V279="","",IF(SUM(V281:V285)=0,"",V279&amp;" "&amp;SUM(V281:V285)+V288&amp;IF(SUM(W281)=0,""," ("&amp;SUM(W281)&amp;")")&amp;", "))</f>
        <v/>
      </c>
      <c r="AK296" s="2816" t="str">
        <f>IF(X279="","",IF(SUM(X281:X285)=0,"",X279&amp;" "&amp;SUM(X281:X285)+X288&amp;IF(SUM(Y281)=0,""," ("&amp;SUM(Y281)&amp;")")&amp;", "))</f>
        <v/>
      </c>
      <c r="AL296" s="2816" t="str">
        <f>IF(Z279="","",IF(SUM(Z281:Z285)=0,"",Z279&amp;" "&amp;SUM(Z281:Z285)+Z288&amp;IF(SUM(AA281)=0,""," ("&amp;SUM(AA281)&amp;")")&amp;", "))</f>
        <v/>
      </c>
      <c r="AM296" s="2816" t="str">
        <f>IF(AB279="","",IF(SUM(AB281:AB285)=0,"",AB279&amp;" "&amp;SUM(AB281:AB285)+AB288&amp;IF(SUM(AC281)=0,""," ("&amp;SUM(AC281)&amp;")")&amp;", "))</f>
        <v/>
      </c>
      <c r="AN296" s="2816" t="str">
        <f>IF(AD279="","",IF(SUM(AD281:AD285)=0,"",AD279&amp;" "&amp;SUM(AD281:AD285)+AD288&amp;IF(SUM(AE281)=0,""," ("&amp;SUM(AE281)&amp;")")&amp;", "))</f>
        <v/>
      </c>
      <c r="AO296" s="2816" t="str">
        <f>IF(AF279="","",IF(SUM(AF281:AF285)=0,"",AF279&amp;" "&amp;SUM(AF281:AF285)+AF288&amp;IF(SUM(AG281)=0,""," ("&amp;SUM(AG281)&amp;")")&amp;", "))</f>
        <v/>
      </c>
      <c r="AQ296" s="2816"/>
      <c r="AR296" s="2816"/>
      <c r="AS296" s="2816"/>
      <c r="AT296" s="2816"/>
      <c r="AU296" s="2816"/>
      <c r="AV296" s="3035"/>
      <c r="AW296" s="3035"/>
      <c r="AX296" s="3035"/>
      <c r="AZ296" s="3035"/>
      <c r="BA296" s="3035"/>
      <c r="BB296" s="2816"/>
      <c r="BC296" s="2816"/>
    </row>
    <row r="297" spans="1:55" x14ac:dyDescent="0.2">
      <c r="A297" s="3030"/>
      <c r="B297" s="3070">
        <f t="shared" si="26"/>
        <v>9</v>
      </c>
      <c r="C297" s="5106"/>
      <c r="D297" s="5064"/>
      <c r="E297" s="5065"/>
      <c r="F297" s="5065"/>
      <c r="G297" s="5065"/>
      <c r="H297" s="5065"/>
      <c r="I297" s="2862" t="str">
        <f>IF(OR(D290="",D297=""),"",MAX(1,SUMPRODUCT(--(INDEX('Tablas Técnicas'!$O$10:$X$639,,1)=D290),--(INDEX('Tablas Técnicas'!$O$10:$X$639,,2)=D297),INDEX('Tablas Técnicas'!$O$10:$X$639,,9))))</f>
        <v/>
      </c>
      <c r="J297" s="5065"/>
      <c r="K297" s="5065"/>
      <c r="L297" s="5065"/>
      <c r="M297" s="5065"/>
      <c r="N297" s="5065"/>
      <c r="O297" s="2862" t="str">
        <f>IF(OR(J290="",J297=""),"",MAX(1,SUMPRODUCT(--(INDEX('Tablas Técnicas'!$O$10:$X$639,,1)=J290),--(INDEX('Tablas Técnicas'!$O$10:$X$639,,2)=J297),INDEX('Tablas Técnicas'!$O$10:$X$639,,9))))</f>
        <v/>
      </c>
      <c r="P297" s="5064"/>
      <c r="Q297" s="5065"/>
      <c r="R297" s="5065"/>
      <c r="S297" s="5065"/>
      <c r="T297" s="5065"/>
      <c r="U297" s="2862" t="str">
        <f>IF(OR(P290="",P297=""),"",MAX(1,SUMPRODUCT(--(INDEX('Tablas Técnicas'!$O$10:$X$639,,1)=P290),--(INDEX('Tablas Técnicas'!$O$10:$X$639,,2)=P297),INDEX('Tablas Técnicas'!$O$10:$X$639,,9))))</f>
        <v/>
      </c>
      <c r="V297" s="5064"/>
      <c r="W297" s="5065"/>
      <c r="X297" s="5065"/>
      <c r="Y297" s="5065"/>
      <c r="Z297" s="5065"/>
      <c r="AA297" s="2862" t="str">
        <f>IF(OR(V290="",V297=""),"",MAX(1,SUMPRODUCT(--(INDEX('Tablas Técnicas'!$O$10:$X$639,,1)=V290),--(INDEX('Tablas Técnicas'!$O$10:$X$639,,2)=V297),INDEX('Tablas Técnicas'!$O$10:$X$639,,9))))</f>
        <v/>
      </c>
      <c r="AB297" s="5064"/>
      <c r="AC297" s="5065"/>
      <c r="AD297" s="5065"/>
      <c r="AE297" s="5065"/>
      <c r="AF297" s="5065"/>
      <c r="AG297" s="2863" t="str">
        <f>IF(OR(AB290="",AB297=""),"",MAX(1,SUMPRODUCT(--(INDEX('Tablas Técnicas'!$O$10:$X$639,,1)=AB290),--(INDEX('Tablas Técnicas'!$O$10:$X$639,,2)=AB297),INDEX('Tablas Técnicas'!$O$10:$X$639,,9))))</f>
        <v/>
      </c>
      <c r="AH297" s="2821">
        <f>P277</f>
        <v>1</v>
      </c>
      <c r="AI297" s="3030"/>
      <c r="AJ297" s="2816" t="s">
        <v>10242</v>
      </c>
      <c r="AL297" s="2816">
        <f t="array" ref="AL297">MAX(0,SUM(VALUE(RIGHT(O281:O285,2)))+ABS($AC287*2/5))+IF(AM304,Y287,0)+IF(S277="Si",3*P277,0)</f>
        <v>0</v>
      </c>
      <c r="AM297" s="2816">
        <f t="array" ref="AM297">IF(ISNUMBER(SEARCH("Mantenido",K281&amp;K282&amp;K283&amp;K284&amp;K285)),MAX(0,SUM(VALUE(RIGHT($P281:$P285,2)))),0)</f>
        <v>0</v>
      </c>
      <c r="AR297" s="3035"/>
      <c r="AT297" s="3035"/>
      <c r="AV297" s="3035"/>
      <c r="AW297" s="3035"/>
      <c r="AX297" s="3035"/>
      <c r="AZ297" s="3035"/>
      <c r="BA297" s="3035"/>
      <c r="BB297" s="2816"/>
      <c r="BC297" s="2816"/>
    </row>
    <row r="298" spans="1:55" x14ac:dyDescent="0.2">
      <c r="A298" s="3030"/>
      <c r="B298" s="3070">
        <f t="shared" si="26"/>
        <v>9</v>
      </c>
      <c r="C298" s="5106"/>
      <c r="D298" s="5064"/>
      <c r="E298" s="5065"/>
      <c r="F298" s="5065"/>
      <c r="G298" s="5065"/>
      <c r="H298" s="5065"/>
      <c r="I298" s="2862" t="str">
        <f>IF(OR(D290="",D298=""),"",MAX(1,SUMPRODUCT(--(INDEX('Tablas Técnicas'!$O$10:$X$639,,1)=D290),--(INDEX('Tablas Técnicas'!$O$10:$X$639,,2)=D298),INDEX('Tablas Técnicas'!$O$10:$X$639,,9))))</f>
        <v/>
      </c>
      <c r="J298" s="5065"/>
      <c r="K298" s="5065"/>
      <c r="L298" s="5065"/>
      <c r="M298" s="5065"/>
      <c r="N298" s="5065"/>
      <c r="O298" s="2862" t="str">
        <f>IF(OR(J290="",J298=""),"",MAX(1,SUMPRODUCT(--(INDEX('Tablas Técnicas'!$O$10:$X$639,,1)=J290),--(INDEX('Tablas Técnicas'!$O$10:$X$639,,2)=J298),INDEX('Tablas Técnicas'!$O$10:$X$639,,9))))</f>
        <v/>
      </c>
      <c r="P298" s="5064"/>
      <c r="Q298" s="5065"/>
      <c r="R298" s="5065"/>
      <c r="S298" s="5065"/>
      <c r="T298" s="5065"/>
      <c r="U298" s="2862" t="str">
        <f>IF(OR(P290="",P298=""),"",MAX(1,SUMPRODUCT(--(INDEX('Tablas Técnicas'!$O$10:$X$639,,1)=P290),--(INDEX('Tablas Técnicas'!$O$10:$X$639,,2)=P298),INDEX('Tablas Técnicas'!$O$10:$X$639,,9))))</f>
        <v/>
      </c>
      <c r="V298" s="5064"/>
      <c r="W298" s="5065"/>
      <c r="X298" s="5065"/>
      <c r="Y298" s="5065"/>
      <c r="Z298" s="5065"/>
      <c r="AA298" s="2862" t="str">
        <f>IF(OR(V290="",V298=""),"",MAX(1,SUMPRODUCT(--(INDEX('Tablas Técnicas'!$O$10:$X$639,,1)=V290),--(INDEX('Tablas Técnicas'!$O$10:$X$639,,2)=V298),INDEX('Tablas Técnicas'!$O$10:$X$639,,9))))</f>
        <v/>
      </c>
      <c r="AB298" s="5064"/>
      <c r="AC298" s="5065"/>
      <c r="AD298" s="5065"/>
      <c r="AE298" s="5065"/>
      <c r="AF298" s="5065"/>
      <c r="AG298" s="2863" t="str">
        <f>IF(OR(AB290="",AB298=""),"",MAX(1,SUMPRODUCT(--(INDEX('Tablas Técnicas'!$O$10:$X$639,,1)=AB290),--(INDEX('Tablas Técnicas'!$O$10:$X$639,,2)=AB298),INDEX('Tablas Técnicas'!$O$10:$X$639,,9))))</f>
        <v/>
      </c>
      <c r="AH298" s="2821">
        <f>P277</f>
        <v>1</v>
      </c>
      <c r="AI298" s="3030"/>
      <c r="AJ298" s="2816" t="s">
        <v>9668</v>
      </c>
      <c r="AL298" s="2816">
        <f>SUM(V281:V285,X281:X285,Z281:Z285,AB281:AB285,AD281:AD285,AF281:AF285)+SUM(V288:AG288)</f>
        <v>0</v>
      </c>
      <c r="AM298" s="2816">
        <f>SUM(W281:W285,Y281:Y285,AA281:AA285,AC281:AC285,AE281:AE285,AG281:AG285)</f>
        <v>0</v>
      </c>
      <c r="AR298" s="3035"/>
      <c r="AT298" s="3035"/>
      <c r="AV298" s="3035"/>
      <c r="AW298" s="3035"/>
      <c r="AX298" s="3035"/>
      <c r="AZ298" s="3035"/>
      <c r="BA298" s="3035"/>
      <c r="BB298" s="2816"/>
      <c r="BC298" s="2816"/>
    </row>
    <row r="299" spans="1:55" x14ac:dyDescent="0.2">
      <c r="A299" s="3030"/>
      <c r="B299" s="3070">
        <f t="shared" si="26"/>
        <v>9</v>
      </c>
      <c r="C299" s="5106"/>
      <c r="D299" s="5064"/>
      <c r="E299" s="5065"/>
      <c r="F299" s="5065"/>
      <c r="G299" s="5065"/>
      <c r="H299" s="5065"/>
      <c r="I299" s="2862" t="str">
        <f>IF(OR(D290="",D299=""),"",MAX(1,SUMPRODUCT(--(INDEX('Tablas Técnicas'!$O$10:$X$639,,1)=D290),--(INDEX('Tablas Técnicas'!$O$10:$X$639,,2)=D299),INDEX('Tablas Técnicas'!$O$10:$X$639,,9))))</f>
        <v/>
      </c>
      <c r="J299" s="5065"/>
      <c r="K299" s="5065"/>
      <c r="L299" s="5065"/>
      <c r="M299" s="5065"/>
      <c r="N299" s="5065"/>
      <c r="O299" s="2862" t="str">
        <f>IF(OR(J290="",J299=""),"",MAX(1,SUMPRODUCT(--(INDEX('Tablas Técnicas'!$O$10:$X$639,,1)=J290),--(INDEX('Tablas Técnicas'!$O$10:$X$639,,2)=J299),INDEX('Tablas Técnicas'!$O$10:$X$639,,9))))</f>
        <v/>
      </c>
      <c r="P299" s="5064"/>
      <c r="Q299" s="5065"/>
      <c r="R299" s="5065"/>
      <c r="S299" s="5065"/>
      <c r="T299" s="5065"/>
      <c r="U299" s="2862" t="str">
        <f>IF(OR(P290="",P299=""),"",MAX(1,SUMPRODUCT(--(INDEX('Tablas Técnicas'!$O$10:$X$639,,1)=P290),--(INDEX('Tablas Técnicas'!$O$10:$X$639,,2)=P299),INDEX('Tablas Técnicas'!$O$10:$X$639,,9))))</f>
        <v/>
      </c>
      <c r="V299" s="5064"/>
      <c r="W299" s="5065"/>
      <c r="X299" s="5065"/>
      <c r="Y299" s="5065"/>
      <c r="Z299" s="5065"/>
      <c r="AA299" s="2862" t="str">
        <f>IF(OR(V290="",V299=""),"",MAX(1,SUMPRODUCT(--(INDEX('Tablas Técnicas'!$O$10:$X$639,,1)=V290),--(INDEX('Tablas Técnicas'!$O$10:$X$639,,2)=V299),INDEX('Tablas Técnicas'!$O$10:$X$639,,9))))</f>
        <v/>
      </c>
      <c r="AB299" s="5064"/>
      <c r="AC299" s="5065"/>
      <c r="AD299" s="5065"/>
      <c r="AE299" s="5065"/>
      <c r="AF299" s="5065"/>
      <c r="AG299" s="2863" t="str">
        <f>IF(OR(AB290="",AB299=""),"",MAX(1,SUMPRODUCT(--(INDEX('Tablas Técnicas'!$O$10:$X$639,,1)=AB290),--(INDEX('Tablas Técnicas'!$O$10:$X$639,,2)=AB299),INDEX('Tablas Técnicas'!$O$10:$X$639,,9))))</f>
        <v/>
      </c>
      <c r="AH299" s="2821">
        <f>P277</f>
        <v>1</v>
      </c>
      <c r="AI299" s="3030"/>
      <c r="AR299" s="3035"/>
      <c r="AT299" s="3035"/>
      <c r="AV299" s="3035"/>
      <c r="AW299" s="3035"/>
      <c r="AX299" s="3035"/>
      <c r="AZ299" s="3035"/>
      <c r="BA299" s="3035"/>
      <c r="BB299" s="2816"/>
      <c r="BC299" s="2816"/>
    </row>
    <row r="300" spans="1:55" x14ac:dyDescent="0.2">
      <c r="A300" s="3030"/>
      <c r="B300" s="3070">
        <f t="shared" si="26"/>
        <v>9</v>
      </c>
      <c r="C300" s="5106"/>
      <c r="D300" s="5079"/>
      <c r="E300" s="5080"/>
      <c r="F300" s="5080"/>
      <c r="G300" s="5080"/>
      <c r="H300" s="5080"/>
      <c r="I300" s="2864" t="str">
        <f>IF(OR(D290="",D300=""),"",MAX(1,SUMPRODUCT(--(INDEX('Tablas Técnicas'!$O$10:$X$639,,1)=D290),--(INDEX('Tablas Técnicas'!$O$10:$X$639,,2)=D300),INDEX('Tablas Técnicas'!$O$10:$X$639,,9))))</f>
        <v/>
      </c>
      <c r="J300" s="5080"/>
      <c r="K300" s="5080"/>
      <c r="L300" s="5080"/>
      <c r="M300" s="5080"/>
      <c r="N300" s="5080"/>
      <c r="O300" s="2864" t="str">
        <f>IF(OR(J290="",J300=""),"",MAX(1,SUMPRODUCT(--(INDEX('Tablas Técnicas'!$O$10:$X$639,,1)=J290),--(INDEX('Tablas Técnicas'!$O$10:$X$639,,2)=J300),INDEX('Tablas Técnicas'!$O$10:$X$639,,9))))</f>
        <v/>
      </c>
      <c r="P300" s="5079"/>
      <c r="Q300" s="5080"/>
      <c r="R300" s="5080"/>
      <c r="S300" s="5080"/>
      <c r="T300" s="5080"/>
      <c r="U300" s="2864" t="str">
        <f>IF(OR(P290="",P300=""),"",MAX(1,SUMPRODUCT(--(INDEX('Tablas Técnicas'!$O$10:$X$639,,1)=P290),--(INDEX('Tablas Técnicas'!$O$10:$X$639,,2)=P300),INDEX('Tablas Técnicas'!$O$10:$X$639,,9))))</f>
        <v/>
      </c>
      <c r="V300" s="5079"/>
      <c r="W300" s="5080"/>
      <c r="X300" s="5080"/>
      <c r="Y300" s="5080"/>
      <c r="Z300" s="5080"/>
      <c r="AA300" s="2864" t="str">
        <f>IF(OR(V290="",V300=""),"",MAX(1,SUMPRODUCT(--(INDEX('Tablas Técnicas'!$O$10:$X$639,,1)=V290),--(INDEX('Tablas Técnicas'!$O$10:$X$639,,2)=V300),INDEX('Tablas Técnicas'!$O$10:$X$639,,9))))</f>
        <v/>
      </c>
      <c r="AB300" s="5079"/>
      <c r="AC300" s="5080"/>
      <c r="AD300" s="5080"/>
      <c r="AE300" s="5080"/>
      <c r="AF300" s="5080"/>
      <c r="AG300" s="2865" t="str">
        <f>IF(OR(AB290="",AB300=""),"",MAX(1,SUMPRODUCT(--(INDEX('Tablas Técnicas'!$O$10:$X$639,,1)=AB290),--(INDEX('Tablas Técnicas'!$O$10:$X$639,,2)=AB300),INDEX('Tablas Técnicas'!$O$10:$X$639,,9))))</f>
        <v/>
      </c>
      <c r="AH300" s="2821">
        <f>P277</f>
        <v>1</v>
      </c>
      <c r="AI300" s="3030"/>
      <c r="AJ300" s="2816" t="s">
        <v>9669</v>
      </c>
      <c r="AN300" s="2817" t="s">
        <v>10256</v>
      </c>
      <c r="AO300" s="2816" t="s">
        <v>10255</v>
      </c>
      <c r="AQ300" s="2816"/>
      <c r="AR300" s="2816" t="b">
        <f>AND(D281="Primario",COUNTIF(D281:E285,"Primario")&gt;1)</f>
        <v>0</v>
      </c>
      <c r="AS300" s="2816"/>
      <c r="AT300" s="3035"/>
      <c r="AV300" s="3035"/>
      <c r="AW300" s="3035"/>
      <c r="AX300" s="3035"/>
      <c r="AZ300" s="3035"/>
      <c r="BA300" s="3035"/>
      <c r="BB300" s="2816"/>
      <c r="BC300" s="2816"/>
    </row>
    <row r="301" spans="1:55" x14ac:dyDescent="0.2">
      <c r="A301" s="3030"/>
      <c r="B301" s="3070">
        <f t="shared" si="26"/>
        <v>9</v>
      </c>
      <c r="C301" s="5106"/>
      <c r="D301" s="5069" t="s">
        <v>1824</v>
      </c>
      <c r="E301" s="5070"/>
      <c r="F301" s="5070"/>
      <c r="G301" s="5070"/>
      <c r="H301" s="5070"/>
      <c r="I301" s="5070"/>
      <c r="J301" s="5070"/>
      <c r="K301" s="5070"/>
      <c r="L301" s="5070"/>
      <c r="M301" s="5070"/>
      <c r="N301" s="5070"/>
      <c r="O301" s="5070"/>
      <c r="P301" s="5070"/>
      <c r="Q301" s="5070"/>
      <c r="R301" s="5070"/>
      <c r="S301" s="5070"/>
      <c r="T301" s="5070"/>
      <c r="U301" s="5070"/>
      <c r="V301" s="5070"/>
      <c r="W301" s="5070"/>
      <c r="X301" s="5070"/>
      <c r="Y301" s="5070"/>
      <c r="Z301" s="5070"/>
      <c r="AA301" s="5070"/>
      <c r="AB301" s="5070"/>
      <c r="AC301" s="5070"/>
      <c r="AD301" s="5070"/>
      <c r="AE301" s="5070"/>
      <c r="AF301" s="5070"/>
      <c r="AG301" s="5071"/>
      <c r="AH301" s="2821"/>
      <c r="AI301" s="3030"/>
      <c r="AJ301" s="2816" t="s">
        <v>9670</v>
      </c>
      <c r="AM301" s="2816" t="b">
        <f t="array" ref="AM301">MAX(I294:I300,O294:O300,U294:U300,AA294:AA300,AG294:AG300,RIGHT(S286:S288,1))&gt;P277</f>
        <v>0</v>
      </c>
      <c r="AN301" s="2817" t="s">
        <v>10257</v>
      </c>
      <c r="AO301" s="2816" t="s">
        <v>10255</v>
      </c>
      <c r="AR301" s="2816" t="b">
        <f>AND(D282="Primario",COUNTIF(D281:E285,"Primario")&gt;1)</f>
        <v>0</v>
      </c>
      <c r="AS301" s="2816"/>
      <c r="AT301" s="3035"/>
      <c r="AV301" s="3035"/>
      <c r="AW301" s="3035"/>
      <c r="AX301" s="3035"/>
      <c r="AZ301" s="3035"/>
      <c r="BA301" s="3035"/>
      <c r="BB301" s="2816" t="str">
        <f>$F285&amp;INDEX($D294:$AG300,Tablas!E$1,1+6*(Tablas!$A$4-1))</f>
        <v/>
      </c>
      <c r="BC301" s="2816" t="str">
        <f>$F285&amp;INDEX($D294:$AG300,Tablas!F$1,1+6*(Tablas!$A$4-1))</f>
        <v/>
      </c>
    </row>
    <row r="302" spans="1:55" x14ac:dyDescent="0.2">
      <c r="A302" s="3030"/>
      <c r="B302" s="3070">
        <f t="shared" si="26"/>
        <v>9</v>
      </c>
      <c r="C302" s="5106"/>
      <c r="D302" s="5072"/>
      <c r="E302" s="5073"/>
      <c r="F302" s="5073"/>
      <c r="G302" s="5073"/>
      <c r="H302" s="5073"/>
      <c r="I302" s="5073"/>
      <c r="J302" s="5073"/>
      <c r="K302" s="5073"/>
      <c r="L302" s="5073"/>
      <c r="M302" s="5073"/>
      <c r="N302" s="5073"/>
      <c r="O302" s="5073"/>
      <c r="P302" s="5073"/>
      <c r="Q302" s="5073"/>
      <c r="R302" s="5073"/>
      <c r="S302" s="5073"/>
      <c r="T302" s="5073"/>
      <c r="U302" s="5073"/>
      <c r="V302" s="5073"/>
      <c r="W302" s="5073"/>
      <c r="X302" s="5073"/>
      <c r="Y302" s="5073"/>
      <c r="Z302" s="5073"/>
      <c r="AA302" s="5073"/>
      <c r="AB302" s="5073"/>
      <c r="AC302" s="5073"/>
      <c r="AD302" s="5073"/>
      <c r="AE302" s="5073"/>
      <c r="AF302" s="5073"/>
      <c r="AG302" s="5074"/>
      <c r="AH302" s="2821"/>
      <c r="AI302" s="3030"/>
      <c r="AJ302" s="2816" t="s">
        <v>10243</v>
      </c>
      <c r="AM302" s="2816" t="b">
        <f>NOT(AND(AW281:AW285))</f>
        <v>0</v>
      </c>
      <c r="AN302" s="2817" t="s">
        <v>10258</v>
      </c>
      <c r="AO302" s="2816" t="s">
        <v>10255</v>
      </c>
      <c r="AR302" s="2816" t="b">
        <f>AND(D283="Primario",COUNTIF(D281:E285,"Primario")&gt;1)</f>
        <v>0</v>
      </c>
      <c r="AS302" s="2816"/>
      <c r="AT302" s="3035"/>
      <c r="AV302" s="3035"/>
      <c r="AW302" s="3035"/>
      <c r="AX302" s="3035"/>
      <c r="AZ302" s="3035"/>
      <c r="BA302" s="3035"/>
      <c r="BB302" s="2816"/>
      <c r="BC302" s="2816"/>
    </row>
    <row r="303" spans="1:55" x14ac:dyDescent="0.2">
      <c r="A303" s="3030"/>
      <c r="B303" s="3070">
        <f t="shared" ref="B303:B340" si="35">1+B270</f>
        <v>9</v>
      </c>
      <c r="C303" s="5106"/>
      <c r="D303" s="5072"/>
      <c r="E303" s="5073"/>
      <c r="F303" s="5073"/>
      <c r="G303" s="5073"/>
      <c r="H303" s="5073"/>
      <c r="I303" s="5073"/>
      <c r="J303" s="5073"/>
      <c r="K303" s="5073"/>
      <c r="L303" s="5073"/>
      <c r="M303" s="5073"/>
      <c r="N303" s="5073"/>
      <c r="O303" s="5073"/>
      <c r="P303" s="5073"/>
      <c r="Q303" s="5073"/>
      <c r="R303" s="5073"/>
      <c r="S303" s="5073"/>
      <c r="T303" s="5073"/>
      <c r="U303" s="5073"/>
      <c r="V303" s="5073"/>
      <c r="W303" s="5073"/>
      <c r="X303" s="5073"/>
      <c r="Y303" s="5073"/>
      <c r="Z303" s="5073"/>
      <c r="AA303" s="5073"/>
      <c r="AB303" s="5073"/>
      <c r="AC303" s="5073"/>
      <c r="AD303" s="5073"/>
      <c r="AE303" s="5073"/>
      <c r="AF303" s="5073"/>
      <c r="AG303" s="5074"/>
      <c r="AH303" s="2821"/>
      <c r="AI303" s="3030"/>
      <c r="AJ303" s="2816" t="s">
        <v>10244</v>
      </c>
      <c r="AM303" s="2816" t="b">
        <f>AL297-AL298+AM297-AM298&lt;&gt;0</f>
        <v>0</v>
      </c>
      <c r="AN303" s="2817" t="s">
        <v>10259</v>
      </c>
      <c r="AO303" s="2816" t="s">
        <v>10255</v>
      </c>
      <c r="AR303" s="2816" t="b">
        <f>AND(D284="Primario",COUNTIF(D281:E285,"Primario")&gt;1)</f>
        <v>0</v>
      </c>
      <c r="AS303" s="2816"/>
      <c r="AT303" s="3035"/>
      <c r="AV303" s="3035"/>
      <c r="AW303" s="3035"/>
      <c r="AX303" s="3035"/>
      <c r="AZ303" s="3035"/>
      <c r="BA303" s="3035"/>
      <c r="BB303" s="2816"/>
      <c r="BC303" s="2816"/>
    </row>
    <row r="304" spans="1:55" x14ac:dyDescent="0.2">
      <c r="A304" s="3030"/>
      <c r="B304" s="3070">
        <f t="shared" si="35"/>
        <v>9</v>
      </c>
      <c r="C304" s="5106"/>
      <c r="D304" s="5072"/>
      <c r="E304" s="5073"/>
      <c r="F304" s="5073"/>
      <c r="G304" s="5073"/>
      <c r="H304" s="5073"/>
      <c r="I304" s="5073"/>
      <c r="J304" s="5073"/>
      <c r="K304" s="5073"/>
      <c r="L304" s="5073"/>
      <c r="M304" s="5073"/>
      <c r="N304" s="5073"/>
      <c r="O304" s="5073"/>
      <c r="P304" s="5073"/>
      <c r="Q304" s="5073"/>
      <c r="R304" s="5073"/>
      <c r="S304" s="5073"/>
      <c r="T304" s="5073"/>
      <c r="U304" s="5073"/>
      <c r="V304" s="5073"/>
      <c r="W304" s="5073"/>
      <c r="X304" s="5073"/>
      <c r="Y304" s="5073"/>
      <c r="Z304" s="5073"/>
      <c r="AA304" s="5073"/>
      <c r="AB304" s="5073"/>
      <c r="AC304" s="5073"/>
      <c r="AD304" s="5073"/>
      <c r="AE304" s="5073"/>
      <c r="AF304" s="5073"/>
      <c r="AG304" s="5074"/>
      <c r="AH304" s="2821"/>
      <c r="AI304" s="3030"/>
      <c r="AJ304" s="2816" t="s">
        <v>10247</v>
      </c>
      <c r="AM304" s="2816" t="b">
        <f>(IF(SUM(V281:V285)&gt;0,1,0)+IF(SUM(X281:X285)&gt;0,1,0)+IF(SUM(Z281:Z285)&gt;0,1,0)+IF(SUM(AB281:AB285)&gt;0,1,0)+IF(SUM(AD281:AD285,)&gt;0,1,0)+IF(SUM(AF281:AF285)&gt;0,1,0))&lt;3</f>
        <v>1</v>
      </c>
      <c r="AN304" s="2817" t="s">
        <v>10260</v>
      </c>
      <c r="AO304" s="2816" t="s">
        <v>10255</v>
      </c>
      <c r="AQ304" s="2816"/>
      <c r="AR304" s="2816" t="b">
        <f>AND(D285="Primario",COUNTIF(D281:E285,"Primario")&gt;1)</f>
        <v>0</v>
      </c>
      <c r="AS304" s="2816"/>
      <c r="AT304" s="3035"/>
      <c r="AV304" s="3035"/>
      <c r="AW304" s="3035"/>
      <c r="AX304" s="3035"/>
      <c r="AZ304" s="3035"/>
      <c r="BA304" s="3035"/>
      <c r="BB304" s="2816"/>
      <c r="BC304" s="2816"/>
    </row>
    <row r="305" spans="1:55" x14ac:dyDescent="0.2">
      <c r="A305" s="3030"/>
      <c r="B305" s="3070">
        <f t="shared" si="35"/>
        <v>9</v>
      </c>
      <c r="C305" s="5106"/>
      <c r="D305" s="5072"/>
      <c r="E305" s="5073"/>
      <c r="F305" s="5073"/>
      <c r="G305" s="5073"/>
      <c r="H305" s="5073"/>
      <c r="I305" s="5073"/>
      <c r="J305" s="5073"/>
      <c r="K305" s="5073"/>
      <c r="L305" s="5073"/>
      <c r="M305" s="5073"/>
      <c r="N305" s="5073"/>
      <c r="O305" s="5073"/>
      <c r="P305" s="5073"/>
      <c r="Q305" s="5073"/>
      <c r="R305" s="5073"/>
      <c r="S305" s="5073"/>
      <c r="T305" s="5073"/>
      <c r="U305" s="5073"/>
      <c r="V305" s="5073"/>
      <c r="W305" s="5073"/>
      <c r="X305" s="5073"/>
      <c r="Y305" s="5073"/>
      <c r="Z305" s="5073"/>
      <c r="AA305" s="5073"/>
      <c r="AB305" s="5073"/>
      <c r="AC305" s="5073"/>
      <c r="AD305" s="5073"/>
      <c r="AE305" s="5073"/>
      <c r="AF305" s="5073"/>
      <c r="AG305" s="5074"/>
      <c r="AH305" s="2821"/>
      <c r="AI305" s="3030"/>
      <c r="AJ305" s="2816" t="s">
        <v>10246</v>
      </c>
      <c r="AM305" s="2816" t="b">
        <f>SUM(V288:AG288)&lt;&gt;Y287+ABS(AC287)*2/5+IF(S277="Si",3*P277,0)</f>
        <v>0</v>
      </c>
      <c r="AQ305" s="2816"/>
      <c r="AR305" s="2817"/>
      <c r="AS305" s="2817"/>
      <c r="AT305" s="3035"/>
      <c r="AV305" s="3035"/>
      <c r="AW305" s="2816"/>
      <c r="AX305" s="2816"/>
      <c r="AY305" s="2816"/>
      <c r="AZ305" s="2816"/>
      <c r="BA305" s="2816"/>
      <c r="BB305" s="2816"/>
      <c r="BC305" s="2817"/>
    </row>
    <row r="306" spans="1:55" x14ac:dyDescent="0.2">
      <c r="A306" s="3030"/>
      <c r="B306" s="3070">
        <f t="shared" si="35"/>
        <v>9</v>
      </c>
      <c r="C306" s="5106"/>
      <c r="D306" s="5072"/>
      <c r="E306" s="5073"/>
      <c r="F306" s="5073"/>
      <c r="G306" s="5073"/>
      <c r="H306" s="5073"/>
      <c r="I306" s="5073"/>
      <c r="J306" s="5073"/>
      <c r="K306" s="5073"/>
      <c r="L306" s="5073"/>
      <c r="M306" s="5073"/>
      <c r="N306" s="5073"/>
      <c r="O306" s="5073"/>
      <c r="P306" s="5073"/>
      <c r="Q306" s="5073"/>
      <c r="R306" s="5073"/>
      <c r="S306" s="5073"/>
      <c r="T306" s="5073"/>
      <c r="U306" s="5073"/>
      <c r="V306" s="5073"/>
      <c r="W306" s="5073"/>
      <c r="X306" s="5073"/>
      <c r="Y306" s="5073"/>
      <c r="Z306" s="5073"/>
      <c r="AA306" s="5073"/>
      <c r="AB306" s="5073"/>
      <c r="AC306" s="5073"/>
      <c r="AD306" s="5073"/>
      <c r="AE306" s="5073"/>
      <c r="AF306" s="5073"/>
      <c r="AG306" s="5074"/>
      <c r="AH306" s="2821"/>
      <c r="AI306" s="3030"/>
      <c r="AQ306" s="2816"/>
      <c r="AR306" s="2817"/>
      <c r="AS306" s="2817"/>
      <c r="AT306" s="3035"/>
      <c r="AV306" s="3035"/>
      <c r="AW306" s="2816"/>
      <c r="AX306" s="3035"/>
      <c r="AZ306" s="3035"/>
      <c r="BA306" s="3035"/>
      <c r="BB306" s="3035"/>
      <c r="BC306" s="2816"/>
    </row>
    <row r="307" spans="1:55" ht="12" thickBot="1" x14ac:dyDescent="0.25">
      <c r="A307" s="3030"/>
      <c r="B307" s="3070">
        <f t="shared" si="35"/>
        <v>9</v>
      </c>
      <c r="C307" s="5107"/>
      <c r="D307" s="5075"/>
      <c r="E307" s="5076"/>
      <c r="F307" s="5076"/>
      <c r="G307" s="5076"/>
      <c r="H307" s="5076"/>
      <c r="I307" s="5076"/>
      <c r="J307" s="5076"/>
      <c r="K307" s="5076"/>
      <c r="L307" s="5076"/>
      <c r="M307" s="5076"/>
      <c r="N307" s="5076"/>
      <c r="O307" s="5076"/>
      <c r="P307" s="5076"/>
      <c r="Q307" s="5076"/>
      <c r="R307" s="5076"/>
      <c r="S307" s="5076"/>
      <c r="T307" s="5076"/>
      <c r="U307" s="5076"/>
      <c r="V307" s="5076"/>
      <c r="W307" s="5076"/>
      <c r="X307" s="5076"/>
      <c r="Y307" s="5076"/>
      <c r="Z307" s="5076"/>
      <c r="AA307" s="5076"/>
      <c r="AB307" s="5076"/>
      <c r="AC307" s="5076"/>
      <c r="AD307" s="5076"/>
      <c r="AE307" s="5076"/>
      <c r="AF307" s="5076"/>
      <c r="AG307" s="5077"/>
      <c r="AH307" s="2821"/>
      <c r="AI307" s="3030"/>
      <c r="AQ307" s="2816"/>
      <c r="AR307" s="2817"/>
      <c r="AS307" s="2817"/>
      <c r="AT307" s="3035"/>
      <c r="AV307" s="3035"/>
      <c r="AW307" s="2816"/>
      <c r="AX307" s="3035"/>
      <c r="AZ307" s="2816"/>
      <c r="BA307" s="2816"/>
      <c r="BB307" s="2816"/>
      <c r="BC307" s="2816"/>
    </row>
    <row r="308" spans="1:55" x14ac:dyDescent="0.2">
      <c r="A308" s="3030"/>
      <c r="B308" s="3070"/>
      <c r="C308" s="5092"/>
      <c r="D308" s="5092" t="str">
        <f>IFERROR(VLOOKUP(D290,'Tablas Técnicas'!$C$9:$H$81,2,FALSE),"")</f>
        <v/>
      </c>
      <c r="E308" s="5092"/>
      <c r="F308" s="5092"/>
      <c r="G308" s="5092"/>
      <c r="H308" s="5092"/>
      <c r="I308" s="5092"/>
      <c r="J308" s="5078" t="str">
        <f>IFERROR(VLOOKUP(J290,'Tablas Técnicas'!$C$9:$H$81,2,FALSE),"")</f>
        <v/>
      </c>
      <c r="K308" s="5078"/>
      <c r="L308" s="5078"/>
      <c r="M308" s="5078"/>
      <c r="N308" s="5078"/>
      <c r="O308" s="5078"/>
      <c r="P308" s="5078" t="str">
        <f>IFERROR(VLOOKUP(P290,'Tablas Técnicas'!$C$9:$H$81,2,FALSE),"")</f>
        <v/>
      </c>
      <c r="Q308" s="5078"/>
      <c r="R308" s="5078"/>
      <c r="S308" s="5078"/>
      <c r="T308" s="5078"/>
      <c r="U308" s="5078"/>
      <c r="V308" s="5078" t="str">
        <f>IFERROR(VLOOKUP(V290,'Tablas Técnicas'!$C$9:$H$81,2,FALSE),"")</f>
        <v/>
      </c>
      <c r="W308" s="5078"/>
      <c r="X308" s="5078"/>
      <c r="Y308" s="5078"/>
      <c r="Z308" s="5078"/>
      <c r="AA308" s="5078"/>
      <c r="AB308" s="5078" t="str">
        <f>IFERROR(VLOOKUP(AB290,'Tablas Técnicas'!$C$9:$H$81,2,FALSE),"")</f>
        <v/>
      </c>
      <c r="AC308" s="5078"/>
      <c r="AD308" s="5078"/>
      <c r="AE308" s="5078"/>
      <c r="AF308" s="5078"/>
      <c r="AG308" s="5078"/>
      <c r="AH308" s="2821"/>
      <c r="AI308" s="3030"/>
      <c r="AQ308" s="2816"/>
      <c r="AR308" s="2817"/>
      <c r="AS308" s="2817"/>
      <c r="AT308" s="3023"/>
      <c r="AV308" s="3023"/>
      <c r="AW308" s="3023"/>
      <c r="AX308" s="3023"/>
      <c r="AZ308" s="3023"/>
      <c r="BA308" s="3023"/>
      <c r="BB308" s="3023"/>
      <c r="BC308" s="3023"/>
    </row>
    <row r="309" spans="1:55" ht="12" thickBot="1" x14ac:dyDescent="0.25">
      <c r="A309" s="3030"/>
      <c r="B309" s="3070"/>
      <c r="C309" s="5092"/>
      <c r="D309" s="3052"/>
      <c r="E309" s="3024"/>
      <c r="F309" s="3024"/>
      <c r="G309" s="3024"/>
      <c r="H309" s="3024"/>
      <c r="I309" s="3024"/>
      <c r="J309" s="3024"/>
      <c r="K309" s="3024"/>
      <c r="L309" s="3024"/>
      <c r="M309" s="3024"/>
      <c r="N309" s="3024"/>
      <c r="O309" s="3024"/>
      <c r="P309" s="3024"/>
      <c r="Q309" s="3024"/>
      <c r="R309" s="3024"/>
      <c r="S309" s="3024"/>
      <c r="T309" s="3024"/>
      <c r="U309" s="3024"/>
      <c r="V309" s="3054"/>
      <c r="W309" s="3054"/>
      <c r="X309" s="3054"/>
      <c r="Y309" s="3054"/>
      <c r="Z309" s="3054"/>
      <c r="AA309" s="3054"/>
      <c r="AB309" s="3054"/>
      <c r="AC309" s="3054"/>
      <c r="AD309" s="3054"/>
      <c r="AE309" s="3054"/>
      <c r="AF309" s="3024"/>
      <c r="AG309" s="3024"/>
      <c r="AH309" s="2821"/>
      <c r="AI309" s="3030"/>
      <c r="AJ309" s="2870"/>
      <c r="AK309" s="2870"/>
      <c r="AL309" s="2870"/>
      <c r="AM309" s="2870"/>
      <c r="AN309" s="2870"/>
      <c r="AO309" s="2870"/>
      <c r="AR309" s="3023"/>
      <c r="AT309" s="3023"/>
      <c r="AV309" s="3023"/>
      <c r="AW309" s="3023"/>
      <c r="AX309" s="2867"/>
      <c r="AY309" s="2867"/>
      <c r="AZ309" s="2867"/>
      <c r="BA309" s="2867"/>
      <c r="BB309" s="2867"/>
      <c r="BC309" s="2868"/>
    </row>
    <row r="310" spans="1:55" ht="11.25" customHeight="1" x14ac:dyDescent="0.2">
      <c r="A310" s="3030"/>
      <c r="B310" s="3070">
        <f t="shared" si="35"/>
        <v>10</v>
      </c>
      <c r="C310" s="5105" t="str">
        <f>"Técnica "&amp;B310</f>
        <v>Técnica 10</v>
      </c>
      <c r="D310" s="5181" t="s">
        <v>9559</v>
      </c>
      <c r="E310" s="5182"/>
      <c r="F310" s="5182"/>
      <c r="G310" s="5182"/>
      <c r="H310" s="5182"/>
      <c r="I310" s="5182"/>
      <c r="J310" s="5182"/>
      <c r="K310" s="5182"/>
      <c r="L310" s="5182"/>
      <c r="M310" s="5182"/>
      <c r="N310" s="5183"/>
      <c r="O310" s="5161" t="s">
        <v>1597</v>
      </c>
      <c r="P310" s="5163">
        <v>1</v>
      </c>
      <c r="Q310" s="5134" t="s">
        <v>9646</v>
      </c>
      <c r="R310" s="5165"/>
      <c r="S310" s="5167" t="s">
        <v>1654</v>
      </c>
      <c r="T310" s="5135" t="s">
        <v>1780</v>
      </c>
      <c r="U310" s="5174">
        <f>MAX(IF(P310=3,60,IF(P310=2,40,20)),MIN(IF(P310=3,200,IF(P310=2,100,50)),SUM(M319:M321))-10*Y320+AC320+IF(S310="Si",10*P310,0)+IF(COUNTIF(K314:M318,"Mantenido")&gt;0,P310*10)+IF(COUNTIF(K314:M318,"Sostenimiento Menor")&gt;0,P310*20)+IF(COUNTIF(K314:M318,"Sostenimiento Mayor")&gt;0,P310*30))</f>
        <v>20</v>
      </c>
      <c r="V310" s="5134" t="s">
        <v>9647</v>
      </c>
      <c r="W310" s="5135"/>
      <c r="X310" s="5138" t="str">
        <f>IFERROR(LEFT(AJ329&amp;AK329&amp;AL329&amp;AM329&amp;AN329&amp;AO329,LEN(AJ329&amp;AK329&amp;AL329&amp;AM329&amp;AN329&amp;AO329)-2),"")</f>
        <v/>
      </c>
      <c r="Y310" s="5138"/>
      <c r="Z310" s="5138"/>
      <c r="AA310" s="5138"/>
      <c r="AB310" s="5138"/>
      <c r="AC310" s="5138"/>
      <c r="AD310" s="5138"/>
      <c r="AE310" s="5138"/>
      <c r="AF310" s="5138"/>
      <c r="AG310" s="5139"/>
      <c r="AH310" s="2821"/>
      <c r="AI310" s="3030"/>
      <c r="AQ310" s="2816"/>
      <c r="AR310" s="2816"/>
      <c r="AS310" s="2816"/>
      <c r="AT310" s="2816"/>
      <c r="AU310" s="2816"/>
      <c r="AV310" s="3035"/>
      <c r="AW310" s="3035"/>
      <c r="AX310" s="2816"/>
      <c r="AY310" s="2816"/>
      <c r="AZ310" s="2824"/>
      <c r="BA310" s="3035"/>
      <c r="BB310" s="3035"/>
      <c r="BC310" s="3023"/>
    </row>
    <row r="311" spans="1:55" ht="11.25" customHeight="1" x14ac:dyDescent="0.2">
      <c r="A311" s="3030"/>
      <c r="B311" s="3070">
        <f t="shared" si="35"/>
        <v>10</v>
      </c>
      <c r="C311" s="5106"/>
      <c r="D311" s="5184"/>
      <c r="E311" s="5185"/>
      <c r="F311" s="5185"/>
      <c r="G311" s="5185"/>
      <c r="H311" s="5185"/>
      <c r="I311" s="5185"/>
      <c r="J311" s="5185"/>
      <c r="K311" s="5185"/>
      <c r="L311" s="5185"/>
      <c r="M311" s="5185"/>
      <c r="N311" s="5186"/>
      <c r="O311" s="5162"/>
      <c r="P311" s="5164"/>
      <c r="Q311" s="5136"/>
      <c r="R311" s="5166"/>
      <c r="S311" s="5164"/>
      <c r="T311" s="5137"/>
      <c r="U311" s="5175"/>
      <c r="V311" s="5136"/>
      <c r="W311" s="5137"/>
      <c r="X311" s="5140"/>
      <c r="Y311" s="5140"/>
      <c r="Z311" s="5140"/>
      <c r="AA311" s="5140"/>
      <c r="AB311" s="5140"/>
      <c r="AC311" s="5140"/>
      <c r="AD311" s="5140"/>
      <c r="AE311" s="5140"/>
      <c r="AF311" s="5140"/>
      <c r="AG311" s="5141"/>
      <c r="AH311" s="2821"/>
      <c r="AI311" s="3030"/>
      <c r="AJ311" s="2947" t="s">
        <v>10240</v>
      </c>
      <c r="AQ311" s="2816"/>
      <c r="AR311" s="2816"/>
      <c r="AS311" s="2816"/>
      <c r="AT311" s="2816"/>
      <c r="AU311" s="2816"/>
      <c r="AV311" s="3035"/>
      <c r="AW311" s="3035"/>
      <c r="AX311" s="3035"/>
      <c r="AZ311" s="3035"/>
      <c r="BA311" s="5063" t="s">
        <v>10254</v>
      </c>
      <c r="BB311" s="5063"/>
      <c r="BC311" s="3023"/>
    </row>
    <row r="312" spans="1:55" ht="12" customHeight="1" x14ac:dyDescent="0.2">
      <c r="A312" s="3030"/>
      <c r="B312" s="3070">
        <f t="shared" si="35"/>
        <v>10</v>
      </c>
      <c r="C312" s="5106"/>
      <c r="D312" s="5069" t="s">
        <v>3223</v>
      </c>
      <c r="E312" s="5070"/>
      <c r="F312" s="5070"/>
      <c r="G312" s="5070"/>
      <c r="H312" s="5070"/>
      <c r="I312" s="5070"/>
      <c r="J312" s="5070"/>
      <c r="K312" s="5070" t="str">
        <f>"Mant / SMe / Sma"</f>
        <v>Mant / SMe / Sma</v>
      </c>
      <c r="L312" s="5070"/>
      <c r="M312" s="5070"/>
      <c r="N312" s="5070" t="s">
        <v>1774</v>
      </c>
      <c r="O312" s="5145" t="s">
        <v>3221</v>
      </c>
      <c r="P312" s="5145" t="s">
        <v>9648</v>
      </c>
      <c r="Q312" s="5070" t="s">
        <v>1637</v>
      </c>
      <c r="R312" s="5070"/>
      <c r="S312" s="5070"/>
      <c r="T312" s="5070"/>
      <c r="U312" s="5070"/>
      <c r="V312" s="5108" t="s">
        <v>1646</v>
      </c>
      <c r="W312" s="5109"/>
      <c r="X312" s="5108" t="s">
        <v>1772</v>
      </c>
      <c r="Y312" s="5110"/>
      <c r="Z312" s="5109" t="s">
        <v>1651</v>
      </c>
      <c r="AA312" s="5109"/>
      <c r="AB312" s="5108" t="s">
        <v>1656</v>
      </c>
      <c r="AC312" s="5110"/>
      <c r="AD312" s="5109" t="s">
        <v>1664</v>
      </c>
      <c r="AE312" s="5109"/>
      <c r="AF312" s="5108" t="s">
        <v>1665</v>
      </c>
      <c r="AG312" s="5111"/>
      <c r="AH312" s="2821"/>
      <c r="AI312" s="3030"/>
      <c r="AL312" s="2816" t="s">
        <v>9649</v>
      </c>
      <c r="AQ312" s="2816"/>
      <c r="AR312" s="3035"/>
      <c r="AT312" s="2816" t="s">
        <v>10237</v>
      </c>
      <c r="AU312" s="2816"/>
      <c r="AV312" s="2816" t="s">
        <v>9650</v>
      </c>
      <c r="AW312" s="2816" t="s">
        <v>9651</v>
      </c>
      <c r="AX312" s="2816" t="s">
        <v>10238</v>
      </c>
      <c r="AY312" s="2816"/>
      <c r="AZ312" s="3035"/>
      <c r="BA312" s="3035" t="s">
        <v>9652</v>
      </c>
      <c r="BB312" s="2816" t="s">
        <v>9653</v>
      </c>
      <c r="BC312" s="2816" t="s">
        <v>9653</v>
      </c>
    </row>
    <row r="313" spans="1:55" x14ac:dyDescent="0.2">
      <c r="A313" s="3030"/>
      <c r="B313" s="3070">
        <f t="shared" si="35"/>
        <v>10</v>
      </c>
      <c r="C313" s="5106"/>
      <c r="D313" s="5142"/>
      <c r="E313" s="5143"/>
      <c r="F313" s="5143"/>
      <c r="G313" s="5143"/>
      <c r="H313" s="5143"/>
      <c r="I313" s="5143"/>
      <c r="J313" s="5143"/>
      <c r="K313" s="5143"/>
      <c r="L313" s="5143"/>
      <c r="M313" s="5143"/>
      <c r="N313" s="5144"/>
      <c r="O313" s="5146"/>
      <c r="P313" s="5147"/>
      <c r="Q313" s="5144"/>
      <c r="R313" s="5144"/>
      <c r="S313" s="5144"/>
      <c r="T313" s="5144"/>
      <c r="U313" s="5144"/>
      <c r="V313" s="3045" t="s">
        <v>10248</v>
      </c>
      <c r="W313" s="3031" t="s">
        <v>3227</v>
      </c>
      <c r="X313" s="3045" t="s">
        <v>10248</v>
      </c>
      <c r="Y313" s="3031" t="s">
        <v>3227</v>
      </c>
      <c r="Z313" s="3045" t="s">
        <v>10248</v>
      </c>
      <c r="AA313" s="3031" t="s">
        <v>3227</v>
      </c>
      <c r="AB313" s="3045" t="s">
        <v>10248</v>
      </c>
      <c r="AC313" s="3031" t="s">
        <v>3227</v>
      </c>
      <c r="AD313" s="3045" t="s">
        <v>10248</v>
      </c>
      <c r="AE313" s="3031" t="s">
        <v>3227</v>
      </c>
      <c r="AF313" s="3045" t="s">
        <v>10248</v>
      </c>
      <c r="AG313" s="2825" t="s">
        <v>3227</v>
      </c>
      <c r="AH313" s="2821"/>
      <c r="AI313" s="3030"/>
      <c r="AK313" s="2816" t="s">
        <v>10261</v>
      </c>
      <c r="AL313" s="2816">
        <v>1</v>
      </c>
      <c r="AM313" s="2816">
        <v>2</v>
      </c>
      <c r="AN313" s="2816">
        <v>3</v>
      </c>
      <c r="AO313" s="2816">
        <v>4</v>
      </c>
      <c r="AP313" s="2816">
        <v>5</v>
      </c>
      <c r="AQ313" s="2816">
        <v>6</v>
      </c>
      <c r="AR313" s="2816">
        <v>7</v>
      </c>
      <c r="AS313" s="2816"/>
      <c r="AT313" s="3035"/>
      <c r="AV313" s="2816"/>
      <c r="AW313" s="3035"/>
      <c r="AX313" s="3035"/>
      <c r="AZ313" s="3035"/>
      <c r="BA313" s="3035"/>
      <c r="BB313" s="3035"/>
      <c r="BC313" s="3023"/>
    </row>
    <row r="314" spans="1:55" x14ac:dyDescent="0.2">
      <c r="A314" s="3030"/>
      <c r="B314" s="3070">
        <f t="shared" si="35"/>
        <v>10</v>
      </c>
      <c r="C314" s="5106"/>
      <c r="D314" s="5124" t="s">
        <v>9654</v>
      </c>
      <c r="E314" s="5125"/>
      <c r="F314" s="5126"/>
      <c r="G314" s="5127"/>
      <c r="H314" s="5127"/>
      <c r="I314" s="5127"/>
      <c r="J314" s="5128"/>
      <c r="K314" s="5124" t="s">
        <v>1729</v>
      </c>
      <c r="L314" s="5129"/>
      <c r="M314" s="5125"/>
      <c r="N314" s="3036">
        <f>SUMPRODUCT(INDEX('Tablas Técnicas'!$O$10:$X$639,,5),--(INDEX('Tablas Técnicas'!$O$10:$X$639,,1)=F314),--(ISNUMBER(MATCH(INDEX('Tablas Técnicas'!$O$10:$X$639,,2),$AL314:$AR314,0))))</f>
        <v>0</v>
      </c>
      <c r="O314" s="3036" t="str">
        <f>V314+X314+Z314+AB314+AD314+AF314&amp;" / "&amp;SUMPRODUCT(INDEX('Tablas Técnicas'!$O$10:$X$639,,IF(D314="Primario",3,4)),--(INDEX('Tablas Técnicas'!$O$10:$X$639,,1)=F314),--(ISNUMBER(MATCH(INDEX('Tablas Técnicas'!$O$10:$X$639,,2),$AL314:$AR314,0))))+IF(AND(K314&lt;&gt;"-",K314&lt;&gt;""),SUMPRODUCT(INDEX('Tablas Técnicas'!$O$10:$X$639,,IF(K314="Mantenido",6,IF(K314="Sostenimiento menor",7,IF(K314="Sostenimiento mayor",8,0)))),--(INDEX('Tablas Técnicas'!$O$10:$X$639,,1)=F314),--(ISNUMBER(MATCH(INDEX('Tablas Técnicas'!$O$10:$X$639,,2),$AL314:$AR314,0)))),0)+AT314</f>
        <v>0 / 0</v>
      </c>
      <c r="P314" s="3036" t="str">
        <f>W314+Y314+AA314+AC314+AE314+AG314&amp;" / "&amp;IF(K314="Mantenido",SUMPRODUCT(INDEX('Tablas Técnicas'!$O$10:$X$639,,6),--(INDEX('Tablas Técnicas'!$O$10:$X$639,,1)=F314),--(ISNUMBER(MATCH(INDEX('Tablas Técnicas'!$O$10:$X$639,,2),$AL314:$AR314,0)))),0)</f>
        <v>0 / 0</v>
      </c>
      <c r="Q314" s="5130" t="str">
        <f>IFERROR(VLOOKUP(F314,'Tablas Técnicas'!$C$9:$H$81,5,FALSE),"")</f>
        <v/>
      </c>
      <c r="R314" s="5130"/>
      <c r="S314" s="5130"/>
      <c r="T314" s="5130"/>
      <c r="U314" s="5130"/>
      <c r="V314" s="2826"/>
      <c r="W314" s="2827"/>
      <c r="X314" s="2826"/>
      <c r="Y314" s="2828"/>
      <c r="Z314" s="2829"/>
      <c r="AA314" s="2827"/>
      <c r="AB314" s="2826"/>
      <c r="AC314" s="2828"/>
      <c r="AD314" s="2829"/>
      <c r="AE314" s="2827"/>
      <c r="AF314" s="2826"/>
      <c r="AG314" s="2830"/>
      <c r="AH314" s="2821"/>
      <c r="AI314" s="3030"/>
      <c r="AJ314" s="2816">
        <v>1</v>
      </c>
      <c r="AK314" s="2816">
        <f>P310</f>
        <v>1</v>
      </c>
      <c r="AL314" s="2816" t="str">
        <f>IF(INDEX($A$1:$AI$343,ROW($D$29)+($B314-1)*(ROW($D$63)-ROW($D$29))+Tablas!A$1-1,COLUMN($D$29)+($AJ314-1)*(COLUMN($J$29)-COLUMN($D$29)))="","",INDEX($A$1:$AI$343,ROW($D$29)+($B314-1)*(ROW($D$63)-ROW($D$29))+Tablas!A$1-1,COLUMN($D$29)+($AJ314-1)*(COLUMN($J$29)-COLUMN($D$29))))</f>
        <v/>
      </c>
      <c r="AM314" s="2816" t="str">
        <f>IF(INDEX($A$1:$AI$343,ROW($D$29)+($B314-1)*(ROW($D$63)-ROW($D$29))+Tablas!B$1-1,COLUMN($D$29)+($AJ314-1)*(COLUMN($J$29)-COLUMN($D$29)))="","",INDEX($A$1:$AI$343,ROW($D$29)+($B314-1)*(ROW($D$63)-ROW($D$29))+Tablas!B$1-1,COLUMN($D$29)+($AJ314-1)*(COLUMN($J$29)-COLUMN($D$29))))</f>
        <v/>
      </c>
      <c r="AN314" s="2816" t="str">
        <f>IF(INDEX($A$1:$AI$343,ROW($D$29)+($B314-1)*(ROW($D$63)-ROW($D$29))+Tablas!C$1-1,COLUMN($D$29)+($AJ314-1)*(COLUMN($J$29)-COLUMN($D$29)))="","",INDEX($A$1:$AI$343,ROW($D$29)+($B314-1)*(ROW($D$63)-ROW($D$29))+Tablas!C$1-1,COLUMN($D$29)+($AJ314-1)*(COLUMN($J$29)-COLUMN($D$29))))</f>
        <v/>
      </c>
      <c r="AO314" s="2816" t="str">
        <f>IF(INDEX($A$1:$AI$343,ROW($D$29)+($B314-1)*(ROW($D$63)-ROW($D$29))+Tablas!D$1-1,COLUMN($D$29)+($AJ314-1)*(COLUMN($J$29)-COLUMN($D$29)))="","",INDEX($A$1:$AI$343,ROW($D$29)+($B314-1)*(ROW($D$63)-ROW($D$29))+Tablas!D$1-1,COLUMN($D$29)+($AJ314-1)*(COLUMN($J$29)-COLUMN($D$29))))</f>
        <v/>
      </c>
      <c r="AP314" s="2816" t="str">
        <f>IF(INDEX($A$1:$AI$343,ROW($D$29)+($B314-1)*(ROW($D$63)-ROW($D$29))+Tablas!E$1-1,COLUMN($D$29)+($AJ314-1)*(COLUMN($J$29)-COLUMN($D$29)))="","",INDEX($A$1:$AI$343,ROW($D$29)+($B314-1)*(ROW($D$63)-ROW($D$29))+Tablas!E$1-1,COLUMN($D$29)+($AJ314-1)*(COLUMN($J$29)-COLUMN($D$29))))</f>
        <v/>
      </c>
      <c r="AQ314" s="2816" t="str">
        <f>IF(INDEX($A$1:$AI$343,ROW($D$29)+($B314-1)*(ROW($D$63)-ROW($D$29))+Tablas!F$1-1,COLUMN($D$29)+($AJ314-1)*(COLUMN($J$29)-COLUMN($D$29)))="","",INDEX($A$1:$AI$343,ROW($D$29)+($B314-1)*(ROW($D$63)-ROW($D$29))+Tablas!F$1-1,COLUMN($D$29)+($AJ314-1)*(COLUMN($J$29)-COLUMN($D$29))))</f>
        <v/>
      </c>
      <c r="AR314" s="2816" t="str">
        <f>IF(INDEX($A$1:$AI$343,ROW($D$29)+($B314-1)*(ROW($D$63)-ROW($D$29))+Tablas!G$1-1,COLUMN($D$29)+($AJ314-1)*(COLUMN($J$29)-COLUMN($D$29)))="","",INDEX($A$1:$AI$343,ROW($D$29)+($B314-1)*(ROW($D$63)-ROW($D$29))+Tablas!G$1-1,COLUMN($D$29)+($AJ314-1)*(COLUMN($J$29)-COLUMN($D$29))))</f>
        <v/>
      </c>
      <c r="AS314" s="2816"/>
      <c r="AT314" s="3035">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V314" s="2816" t="str">
        <f>IFERROR(VLOOKUP(F314,'Tablas Técnicas'!$C$9:$H$81,6,FALSE),"")</f>
        <v/>
      </c>
      <c r="AW314" s="3035" t="b">
        <f>OR(AV314="",ISNUMBER(SEARCH($O319,AV314)),ISNUMBER(SEARCH($Q319,AV314)),ISNUMBER(SEARCH($O320,AV314)),ISNUMBER(SEARCH($Q320,AV314)),ISNUMBER(SEARCH($O321,AV314)),ISNUMBER(SEARCH($Q321,AV314)),)</f>
        <v>1</v>
      </c>
      <c r="AX314" s="3035" t="b">
        <f>AND(P310&gt;1,OR(MAX(I327:I333)=1,MAX(I327:I333)=2))</f>
        <v>0</v>
      </c>
      <c r="AZ314" s="3035"/>
      <c r="BA314" s="2816" t="str">
        <f>IF(F314="","",F314&amp;" ("&amp;IF(AL314="","",AL314&amp;", ")&amp;IF(AM314="","",AM314&amp;", ")&amp;IF(AN314="","",AN314&amp;", ")&amp;IF(AO314="","",AO314&amp;", ")&amp;IF(AP314="","",AP314&amp;", ")&amp;IF(AQ314="","",AQ314&amp;", ")&amp;IF(AR314="","",AR314&amp;", "))</f>
        <v/>
      </c>
      <c r="BB314" s="3035" t="str">
        <f t="shared" ref="BB314:BB316" si="36">IFERROR(LEFT(BA314,LEN(BA314)-2)&amp;"), ","")</f>
        <v/>
      </c>
      <c r="BC314" s="3023" t="str">
        <f t="shared" ref="BC314:BC316" si="37">IFERROR(LEFT(BB314,LEN(BB314)-2)&amp;"), ","")</f>
        <v/>
      </c>
    </row>
    <row r="315" spans="1:55" x14ac:dyDescent="0.2">
      <c r="A315" s="3030"/>
      <c r="B315" s="3070">
        <f t="shared" si="35"/>
        <v>10</v>
      </c>
      <c r="C315" s="5106"/>
      <c r="D315" s="5090" t="s">
        <v>790</v>
      </c>
      <c r="E315" s="5091"/>
      <c r="F315" s="5112"/>
      <c r="G315" s="5113"/>
      <c r="H315" s="5113"/>
      <c r="I315" s="5113"/>
      <c r="J315" s="5114"/>
      <c r="K315" s="5115" t="s">
        <v>1729</v>
      </c>
      <c r="L315" s="5116"/>
      <c r="M315" s="5117"/>
      <c r="N315" s="3039">
        <f>SUMPRODUCT(INDEX('Tablas Técnicas'!$O$10:$X$639,,5),--(INDEX('Tablas Técnicas'!$O$10:$X$639,,1)=F315),--(ISNUMBER(MATCH(INDEX('Tablas Técnicas'!$O$10:$X$639,,2),$AL315:$AR315,0))))</f>
        <v>0</v>
      </c>
      <c r="O315" s="3039" t="str">
        <f>V315+X315+Z315+AB315+AD315+AF315&amp;" / "&amp;SUMPRODUCT(INDEX('Tablas Técnicas'!$O$10:$X$639,,IF(D315="Primario",3,4)),--(INDEX('Tablas Técnicas'!$O$10:$X$639,,1)=F315),--(ISNUMBER(MATCH(INDEX('Tablas Técnicas'!$O$10:$X$639,,2),$AL315:$AR315,0))))+IF(AND(K315&lt;&gt;"-",K315&lt;&gt;""),SUMPRODUCT(INDEX('Tablas Técnicas'!$O$10:$X$639,,IF(K315="Mantenido",6,IF(K315="Sostenimiento menor",7,IF(K315="Sostenimiento mayor",8,0)))),--(INDEX('Tablas Técnicas'!$O$10:$X$639,,1)=F315),--(ISNUMBER(MATCH(INDEX('Tablas Técnicas'!$O$10:$X$639,,2),$AL315:$AR315,0)))),0)+AT315</f>
        <v>0 / 0</v>
      </c>
      <c r="P315" s="3039" t="str">
        <f>W315+Y315+AA315+AC315+AE315+AG315&amp;" / "&amp;IF(K315="Mantenido",SUMPRODUCT(INDEX('Tablas Técnicas'!$O$10:$X$639,,6),--(INDEX('Tablas Técnicas'!$O$10:$X$639,,1)=F315),--(ISNUMBER(MATCH(INDEX('Tablas Técnicas'!$O$10:$X$639,,2),$AL315:$AR315,0)))),0)</f>
        <v>0 / 0</v>
      </c>
      <c r="Q315" s="5092" t="str">
        <f>IFERROR(VLOOKUP(F315,'Tablas Técnicas'!$C$9:$H$81,5,FALSE),"")</f>
        <v/>
      </c>
      <c r="R315" s="5092"/>
      <c r="S315" s="5092"/>
      <c r="T315" s="5092"/>
      <c r="U315" s="5092"/>
      <c r="V315" s="3034"/>
      <c r="W315" s="2831"/>
      <c r="X315" s="3034"/>
      <c r="Y315" s="3033"/>
      <c r="Z315" s="3028"/>
      <c r="AA315" s="2831"/>
      <c r="AB315" s="3034"/>
      <c r="AC315" s="3033"/>
      <c r="AD315" s="3028"/>
      <c r="AE315" s="2831"/>
      <c r="AF315" s="3034"/>
      <c r="AG315" s="2832"/>
      <c r="AH315" s="2821"/>
      <c r="AI315" s="3030"/>
      <c r="AJ315" s="2816">
        <v>2</v>
      </c>
      <c r="AK315" s="2816">
        <f>P310</f>
        <v>1</v>
      </c>
      <c r="AL315" s="2816" t="str">
        <f>IF(INDEX($A$1:$AI$343,ROW($D$29)+($B315-1)*(ROW($D$63)-ROW($D$29))+Tablas!A$1-1,COLUMN($D$29)+($AJ315-1)*(COLUMN($J$29)-COLUMN($D$29)))="","",INDEX($A$1:$AI$343,ROW($D$29)+($B315-1)*(ROW($D$63)-ROW($D$29))+Tablas!A$1-1,COLUMN($D$29)+($AJ315-1)*(COLUMN($J$29)-COLUMN($D$29))))</f>
        <v/>
      </c>
      <c r="AM315" s="2816" t="str">
        <f>IF(INDEX($A$1:$AI$343,ROW($D$29)+($B315-1)*(ROW($D$63)-ROW($D$29))+Tablas!B$1-1,COLUMN($D$29)+($AJ315-1)*(COLUMN($J$29)-COLUMN($D$29)))="","",INDEX($A$1:$AI$343,ROW($D$29)+($B315-1)*(ROW($D$63)-ROW($D$29))+Tablas!B$1-1,COLUMN($D$29)+($AJ315-1)*(COLUMN($J$29)-COLUMN($D$29))))</f>
        <v/>
      </c>
      <c r="AN315" s="2816" t="str">
        <f>IF(INDEX($A$1:$AI$343,ROW($D$29)+($B315-1)*(ROW($D$63)-ROW($D$29))+Tablas!C$1-1,COLUMN($D$29)+($AJ315-1)*(COLUMN($J$29)-COLUMN($D$29)))="","",INDEX($A$1:$AI$343,ROW($D$29)+($B315-1)*(ROW($D$63)-ROW($D$29))+Tablas!C$1-1,COLUMN($D$29)+($AJ315-1)*(COLUMN($J$29)-COLUMN($D$29))))</f>
        <v/>
      </c>
      <c r="AO315" s="2816" t="str">
        <f>IF(INDEX($A$1:$AI$343,ROW($D$29)+($B315-1)*(ROW($D$63)-ROW($D$29))+Tablas!D$1-1,COLUMN($D$29)+($AJ315-1)*(COLUMN($J$29)-COLUMN($D$29)))="","",INDEX($A$1:$AI$343,ROW($D$29)+($B315-1)*(ROW($D$63)-ROW($D$29))+Tablas!D$1-1,COLUMN($D$29)+($AJ315-1)*(COLUMN($J$29)-COLUMN($D$29))))</f>
        <v/>
      </c>
      <c r="AP315" s="2816" t="str">
        <f>IF(INDEX($A$1:$AI$343,ROW($D$29)+($B315-1)*(ROW($D$63)-ROW($D$29))+Tablas!E$1-1,COLUMN($D$29)+($AJ315-1)*(COLUMN($J$29)-COLUMN($D$29)))="","",INDEX($A$1:$AI$343,ROW($D$29)+($B315-1)*(ROW($D$63)-ROW($D$29))+Tablas!E$1-1,COLUMN($D$29)+($AJ315-1)*(COLUMN($J$29)-COLUMN($D$29))))</f>
        <v/>
      </c>
      <c r="AQ315" s="2816" t="str">
        <f>IF(INDEX($A$1:$AI$343,ROW($D$29)+($B315-1)*(ROW($D$63)-ROW($D$29))+Tablas!F$1-1,COLUMN($D$29)+($AJ315-1)*(COLUMN($J$29)-COLUMN($D$29)))="","",INDEX($A$1:$AI$343,ROW($D$29)+($B315-1)*(ROW($D$63)-ROW($D$29))+Tablas!F$1-1,COLUMN($D$29)+($AJ315-1)*(COLUMN($J$29)-COLUMN($D$29))))</f>
        <v/>
      </c>
      <c r="AR315" s="2816" t="str">
        <f>IF(INDEX($A$1:$AI$343,ROW($D$29)+($B315-1)*(ROW($D$63)-ROW($D$29))+Tablas!G$1-1,COLUMN($D$29)+($AJ315-1)*(COLUMN($J$29)-COLUMN($D$29)))="","",INDEX($A$1:$AI$343,ROW($D$29)+($B315-1)*(ROW($D$63)-ROW($D$29))+Tablas!G$1-1,COLUMN($D$29)+($AJ315-1)*(COLUMN($J$29)-COLUMN($D$29))))</f>
        <v/>
      </c>
      <c r="AS315" s="2816"/>
      <c r="AT315" s="3035">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V315" s="2816" t="str">
        <f>IFERROR(VLOOKUP(F315,'Tablas Técnicas'!$C$9:$H$81,6,FALSE),"")</f>
        <v/>
      </c>
      <c r="AW315" s="3035" t="b">
        <f>OR(AX299="",OR(ISNUMBER(SEARCH($O319,AV315)),ISNUMBER(SEARCH($Q319,AV315)),ISNUMBER(SEARCH($O320,AV315)),ISNUMBER(SEARCH($Q320,AV315)),ISNUMBER(SEARCH($O321,AV315)),ISNUMBER(SEARCH($Q321,AV315)),))</f>
        <v>1</v>
      </c>
      <c r="AX315" s="3035" t="b">
        <f>AND(P310&gt;1,OR(MAX(O327:O333)=1,MAX(O327:O333)=2))</f>
        <v>0</v>
      </c>
      <c r="AZ315" s="3035"/>
      <c r="BA315" s="2816" t="str">
        <f>IF(F315="","",F315&amp;" ("&amp;IF(AL315="","",AL315&amp;", ")&amp;IF(AM315="","",AM315&amp;", ")&amp;IF(AN315="","",AN315&amp;", ")&amp;IF(AO315="","",AO315&amp;", ")&amp;IF(AP315="","",AP315&amp;", ")&amp;IF(AQ315="","",AQ315&amp;", ")&amp;IF(AR315="","",AR315&amp;", "))</f>
        <v/>
      </c>
      <c r="BB315" s="3035" t="str">
        <f t="shared" si="36"/>
        <v/>
      </c>
      <c r="BC315" s="3023" t="str">
        <f t="shared" si="37"/>
        <v/>
      </c>
    </row>
    <row r="316" spans="1:55" x14ac:dyDescent="0.2">
      <c r="A316" s="3030"/>
      <c r="B316" s="3070">
        <f t="shared" si="35"/>
        <v>10</v>
      </c>
      <c r="C316" s="5106"/>
      <c r="D316" s="5131" t="s">
        <v>790</v>
      </c>
      <c r="E316" s="5132"/>
      <c r="F316" s="5118"/>
      <c r="G316" s="5119"/>
      <c r="H316" s="5119"/>
      <c r="I316" s="5119"/>
      <c r="J316" s="5120"/>
      <c r="K316" s="5121" t="s">
        <v>1729</v>
      </c>
      <c r="L316" s="5122"/>
      <c r="M316" s="5123"/>
      <c r="N316" s="3040">
        <f>SUMPRODUCT(INDEX('Tablas Técnicas'!$O$10:$X$639,,5),--(INDEX('Tablas Técnicas'!$O$10:$X$639,,1)=F316),--(ISNUMBER(MATCH(INDEX('Tablas Técnicas'!$O$10:$X$639,,2),$AL316:$AR316,0))))</f>
        <v>0</v>
      </c>
      <c r="O316" s="3040" t="str">
        <f>V316+X316+Z316+AB316+AD316+AF316&amp;" / "&amp;SUMPRODUCT(INDEX('Tablas Técnicas'!$O$10:$X$639,,IF(D316="Primario",3,4)),--(INDEX('Tablas Técnicas'!$O$10:$X$639,,1)=F316),--(ISNUMBER(MATCH(INDEX('Tablas Técnicas'!$O$10:$X$639,,2),$AL316:$AR316,0))))+IF(AND(K316&lt;&gt;"-",K316&lt;&gt;""),SUMPRODUCT(INDEX('Tablas Técnicas'!$O$10:$X$639,,IF(K316="Mantenido",6,IF(K316="Sostenimiento menor",7,IF(K316="Sostenimiento mayor",8,0)))),--(INDEX('Tablas Técnicas'!$O$10:$X$639,,1)=F316),--(ISNUMBER(MATCH(INDEX('Tablas Técnicas'!$O$10:$X$639,,2),$AL316:$AR316,0)))),0)+AT316</f>
        <v>0 / 0</v>
      </c>
      <c r="P316" s="3040" t="str">
        <f>W316+Y316+AA316+AC316+AE316+AG316&amp;" / "&amp;IF(K316="Mantenido",SUMPRODUCT(INDEX('Tablas Técnicas'!$O$10:$X$639,,6),--(INDEX('Tablas Técnicas'!$O$10:$X$639,,1)=F316),--(ISNUMBER(MATCH(INDEX('Tablas Técnicas'!$O$10:$X$639,,2),$AL316:$AR316,0)))),0)</f>
        <v>0 / 0</v>
      </c>
      <c r="Q316" s="5133" t="str">
        <f>IFERROR(VLOOKUP(F316,'Tablas Técnicas'!$C$9:$H$81,5,FALSE),"")</f>
        <v/>
      </c>
      <c r="R316" s="5133"/>
      <c r="S316" s="5133"/>
      <c r="T316" s="5133"/>
      <c r="U316" s="5133"/>
      <c r="V316" s="2833"/>
      <c r="W316" s="2834"/>
      <c r="X316" s="3038"/>
      <c r="Y316" s="3037"/>
      <c r="Z316" s="3029"/>
      <c r="AA316" s="2834"/>
      <c r="AB316" s="3038"/>
      <c r="AC316" s="3037"/>
      <c r="AD316" s="3029"/>
      <c r="AE316" s="2834"/>
      <c r="AF316" s="3038"/>
      <c r="AG316" s="2835"/>
      <c r="AH316" s="2821"/>
      <c r="AI316" s="3030"/>
      <c r="AJ316" s="2816">
        <v>3</v>
      </c>
      <c r="AK316" s="2816">
        <f>P310</f>
        <v>1</v>
      </c>
      <c r="AL316" s="2816" t="str">
        <f>IF(INDEX($A$1:$AI$343,ROW($D$29)+($B316-1)*(ROW($D$63)-ROW($D$29))+Tablas!A$1-1,COLUMN($D$29)+($AJ316-1)*(COLUMN($J$29)-COLUMN($D$29)))="","",INDEX($A$1:$AI$343,ROW($D$29)+($B316-1)*(ROW($D$63)-ROW($D$29))+Tablas!A$1-1,COLUMN($D$29)+($AJ316-1)*(COLUMN($J$29)-COLUMN($D$29))))</f>
        <v/>
      </c>
      <c r="AM316" s="2816" t="str">
        <f>IF(INDEX($A$1:$AI$343,ROW($D$29)+($B316-1)*(ROW($D$63)-ROW($D$29))+Tablas!B$1-1,COLUMN($D$29)+($AJ316-1)*(COLUMN($J$29)-COLUMN($D$29)))="","",INDEX($A$1:$AI$343,ROW($D$29)+($B316-1)*(ROW($D$63)-ROW($D$29))+Tablas!B$1-1,COLUMN($D$29)+($AJ316-1)*(COLUMN($J$29)-COLUMN($D$29))))</f>
        <v/>
      </c>
      <c r="AN316" s="2816" t="str">
        <f>IF(INDEX($A$1:$AI$343,ROW($D$29)+($B316-1)*(ROW($D$63)-ROW($D$29))+Tablas!C$1-1,COLUMN($D$29)+($AJ316-1)*(COLUMN($J$29)-COLUMN($D$29)))="","",INDEX($A$1:$AI$343,ROW($D$29)+($B316-1)*(ROW($D$63)-ROW($D$29))+Tablas!C$1-1,COLUMN($D$29)+($AJ316-1)*(COLUMN($J$29)-COLUMN($D$29))))</f>
        <v/>
      </c>
      <c r="AO316" s="2816" t="str">
        <f>IF(INDEX($A$1:$AI$343,ROW($D$29)+($B316-1)*(ROW($D$63)-ROW($D$29))+Tablas!D$1-1,COLUMN($D$29)+($AJ316-1)*(COLUMN($J$29)-COLUMN($D$29)))="","",INDEX($A$1:$AI$343,ROW($D$29)+($B316-1)*(ROW($D$63)-ROW($D$29))+Tablas!D$1-1,COLUMN($D$29)+($AJ316-1)*(COLUMN($J$29)-COLUMN($D$29))))</f>
        <v/>
      </c>
      <c r="AP316" s="2816" t="str">
        <f>IF(INDEX($A$1:$AI$343,ROW($D$29)+($B316-1)*(ROW($D$63)-ROW($D$29))+Tablas!E$1-1,COLUMN($D$29)+($AJ316-1)*(COLUMN($J$29)-COLUMN($D$29)))="","",INDEX($A$1:$AI$343,ROW($D$29)+($B316-1)*(ROW($D$63)-ROW($D$29))+Tablas!E$1-1,COLUMN($D$29)+($AJ316-1)*(COLUMN($J$29)-COLUMN($D$29))))</f>
        <v/>
      </c>
      <c r="AQ316" s="2816" t="str">
        <f>IF(INDEX($A$1:$AI$343,ROW($D$29)+($B316-1)*(ROW($D$63)-ROW($D$29))+Tablas!F$1-1,COLUMN($D$29)+($AJ316-1)*(COLUMN($J$29)-COLUMN($D$29)))="","",INDEX($A$1:$AI$343,ROW($D$29)+($B316-1)*(ROW($D$63)-ROW($D$29))+Tablas!F$1-1,COLUMN($D$29)+($AJ316-1)*(COLUMN($J$29)-COLUMN($D$29))))</f>
        <v/>
      </c>
      <c r="AR316" s="2816" t="str">
        <f>IF(INDEX($A$1:$AI$343,ROW($D$29)+($B316-1)*(ROW($D$63)-ROW($D$29))+Tablas!G$1-1,COLUMN($D$29)+($AJ316-1)*(COLUMN($J$29)-COLUMN($D$29)))="","",INDEX($A$1:$AI$343,ROW($D$29)+($B316-1)*(ROW($D$63)-ROW($D$29))+Tablas!G$1-1,COLUMN($D$29)+($AJ316-1)*(COLUMN($J$29)-COLUMN($D$29))))</f>
        <v/>
      </c>
      <c r="AS316" s="2816"/>
      <c r="AT316" s="3035">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V316" s="2816" t="str">
        <f>IFERROR(VLOOKUP(F316,'Tablas Técnicas'!$C$9:$H$81,6,FALSE),"")</f>
        <v/>
      </c>
      <c r="AW316" s="3035" t="b">
        <f>OR(AV316="",OR(ISNUMBER(SEARCH($O319,AV316)),ISNUMBER(SEARCH($Q319,AV316)),ISNUMBER(SEARCH($O320,AV316)),ISNUMBER(SEARCH($Q320,AV316)),ISNUMBER(SEARCH($O321,AV316)),ISNUMBER(SEARCH($Q321,AV316)),))</f>
        <v>1</v>
      </c>
      <c r="AX316" s="3035" t="b">
        <f>AND(P310&gt;1,OR(MAX(U327:U333)=1,MAX(U327:U333)=2))</f>
        <v>0</v>
      </c>
      <c r="AZ316" s="3035"/>
      <c r="BA316" s="2816" t="str">
        <f>IF(F316="","",F316&amp;" ("&amp;IF(AL316="","",AL316&amp;", ")&amp;IF(AM316="","",AM316&amp;", ")&amp;IF(AN316="","",AN316&amp;", ")&amp;IF(AO316="","",AO316&amp;", ")&amp;IF(AP316="","",AP316&amp;", ")&amp;IF(AQ316="","",AQ316&amp;", ")&amp;IF(AR316="","",AR316&amp;", "))</f>
        <v/>
      </c>
      <c r="BB316" s="3035" t="str">
        <f t="shared" si="36"/>
        <v/>
      </c>
      <c r="BC316" s="3023" t="str">
        <f t="shared" si="37"/>
        <v/>
      </c>
    </row>
    <row r="317" spans="1:55" x14ac:dyDescent="0.2">
      <c r="A317" s="3030"/>
      <c r="B317" s="3070">
        <f t="shared" si="35"/>
        <v>10</v>
      </c>
      <c r="C317" s="5106"/>
      <c r="D317" s="5090" t="s">
        <v>790</v>
      </c>
      <c r="E317" s="5091"/>
      <c r="F317" s="5112"/>
      <c r="G317" s="5113"/>
      <c r="H317" s="5113"/>
      <c r="I317" s="5113"/>
      <c r="J317" s="5114"/>
      <c r="K317" s="5115" t="s">
        <v>1729</v>
      </c>
      <c r="L317" s="5116"/>
      <c r="M317" s="5117"/>
      <c r="N317" s="3039">
        <f>SUMPRODUCT(INDEX('Tablas Técnicas'!$O$10:$X$639,,5),--(INDEX('Tablas Técnicas'!$O$10:$X$639,,1)=F317),--(ISNUMBER(MATCH(INDEX('Tablas Técnicas'!$O$10:$X$639,,2),$AL317:$AR317,0))))</f>
        <v>0</v>
      </c>
      <c r="O317" s="3039" t="str">
        <f>V317+X317+Z317+AB317+AD317+AF317&amp;" / "&amp;SUMPRODUCT(INDEX('Tablas Técnicas'!$O$10:$X$639,,IF(D317="Primario",3,4)),--(INDEX('Tablas Técnicas'!$O$10:$X$639,,1)=F317),--(ISNUMBER(MATCH(INDEX('Tablas Técnicas'!$O$10:$X$639,,2),$AL317:$AR317,0))))+IF(AND(K317&lt;&gt;"-",K317&lt;&gt;""),SUMPRODUCT(INDEX('Tablas Técnicas'!$O$10:$X$639,,IF(K317="Mantenido",6,IF(K317="Sostenimiento menor",7,IF(K317="Sostenimiento mayor",8,0)))),--(INDEX('Tablas Técnicas'!$O$10:$X$639,,1)=F317),--(ISNUMBER(MATCH(INDEX('Tablas Técnicas'!$O$10:$X$639,,2),$AL317:$AR317,0)))),0)+AT317</f>
        <v>0 / 0</v>
      </c>
      <c r="P317" s="3039" t="str">
        <f>W317+Y317+AA317+AC317+AE317+AG317&amp;" / "&amp;IF(K317="Mantenido",SUMPRODUCT(INDEX('Tablas Técnicas'!$O$10:$X$639,,6),--(INDEX('Tablas Técnicas'!$O$10:$X$639,,1)=F317),--(ISNUMBER(MATCH(INDEX('Tablas Técnicas'!$O$10:$X$639,,2),$AL317:$AR317,0)))),0)</f>
        <v>0 / 0</v>
      </c>
      <c r="Q317" s="5092" t="str">
        <f>IFERROR(VLOOKUP(F317,'Tablas Técnicas'!$C$9:$H$81,5,FALSE),"")</f>
        <v/>
      </c>
      <c r="R317" s="5092"/>
      <c r="S317" s="5092"/>
      <c r="T317" s="5092"/>
      <c r="U317" s="5092"/>
      <c r="V317" s="3034"/>
      <c r="W317" s="2831"/>
      <c r="X317" s="3034"/>
      <c r="Y317" s="3033"/>
      <c r="Z317" s="3028"/>
      <c r="AA317" s="2831"/>
      <c r="AB317" s="3034"/>
      <c r="AC317" s="3033"/>
      <c r="AD317" s="3028"/>
      <c r="AE317" s="2831"/>
      <c r="AF317" s="3034"/>
      <c r="AG317" s="2832"/>
      <c r="AH317" s="2821"/>
      <c r="AI317" s="3030"/>
      <c r="AJ317" s="2816">
        <v>4</v>
      </c>
      <c r="AK317" s="2816">
        <f>P310</f>
        <v>1</v>
      </c>
      <c r="AL317" s="2816" t="str">
        <f>IF(INDEX($A$1:$AI$343,ROW($D$29)+($B317-1)*(ROW($D$63)-ROW($D$29))+Tablas!A$1-1,COLUMN($D$29)+($AJ317-1)*(COLUMN($J$29)-COLUMN($D$29)))="","",INDEX($A$1:$AI$343,ROW($D$29)+($B317-1)*(ROW($D$63)-ROW($D$29))+Tablas!A$1-1,COLUMN($D$29)+($AJ317-1)*(COLUMN($J$29)-COLUMN($D$29))))</f>
        <v/>
      </c>
      <c r="AM317" s="2816" t="str">
        <f>IF(INDEX($A$1:$AI$343,ROW($D$29)+($B317-1)*(ROW($D$63)-ROW($D$29))+Tablas!B$1-1,COLUMN($D$29)+($AJ317-1)*(COLUMN($J$29)-COLUMN($D$29)))="","",INDEX($A$1:$AI$343,ROW($D$29)+($B317-1)*(ROW($D$63)-ROW($D$29))+Tablas!B$1-1,COLUMN($D$29)+($AJ317-1)*(COLUMN($J$29)-COLUMN($D$29))))</f>
        <v/>
      </c>
      <c r="AN317" s="2816" t="str">
        <f>IF(INDEX($A$1:$AI$343,ROW($D$29)+($B317-1)*(ROW($D$63)-ROW($D$29))+Tablas!C$1-1,COLUMN($D$29)+($AJ317-1)*(COLUMN($J$29)-COLUMN($D$29)))="","",INDEX($A$1:$AI$343,ROW($D$29)+($B317-1)*(ROW($D$63)-ROW($D$29))+Tablas!C$1-1,COLUMN($D$29)+($AJ317-1)*(COLUMN($J$29)-COLUMN($D$29))))</f>
        <v/>
      </c>
      <c r="AO317" s="2816" t="str">
        <f>IF(INDEX($A$1:$AI$343,ROW($D$29)+($B317-1)*(ROW($D$63)-ROW($D$29))+Tablas!D$1-1,COLUMN($D$29)+($AJ317-1)*(COLUMN($J$29)-COLUMN($D$29)))="","",INDEX($A$1:$AI$343,ROW($D$29)+($B317-1)*(ROW($D$63)-ROW($D$29))+Tablas!D$1-1,COLUMN($D$29)+($AJ317-1)*(COLUMN($J$29)-COLUMN($D$29))))</f>
        <v/>
      </c>
      <c r="AP317" s="2816" t="str">
        <f>IF(INDEX($A$1:$AI$343,ROW($D$29)+($B317-1)*(ROW($D$63)-ROW($D$29))+Tablas!E$1-1,COLUMN($D$29)+($AJ317-1)*(COLUMN($J$29)-COLUMN($D$29)))="","",INDEX($A$1:$AI$343,ROW($D$29)+($B317-1)*(ROW($D$63)-ROW($D$29))+Tablas!E$1-1,COLUMN($D$29)+($AJ317-1)*(COLUMN($J$29)-COLUMN($D$29))))</f>
        <v/>
      </c>
      <c r="AQ317" s="2816" t="str">
        <f>IF(INDEX($A$1:$AI$343,ROW($D$29)+($B317-1)*(ROW($D$63)-ROW($D$29))+Tablas!F$1-1,COLUMN($D$29)+($AJ317-1)*(COLUMN($J$29)-COLUMN($D$29)))="","",INDEX($A$1:$AI$343,ROW($D$29)+($B317-1)*(ROW($D$63)-ROW($D$29))+Tablas!F$1-1,COLUMN($D$29)+($AJ317-1)*(COLUMN($J$29)-COLUMN($D$29))))</f>
        <v/>
      </c>
      <c r="AR317" s="2816" t="str">
        <f>IF(INDEX($A$1:$AI$343,ROW($D$29)+($B317-1)*(ROW($D$63)-ROW($D$29))+Tablas!G$1-1,COLUMN($D$29)+($AJ317-1)*(COLUMN($J$29)-COLUMN($D$29)))="","",INDEX($A$1:$AI$343,ROW($D$29)+($B317-1)*(ROW($D$63)-ROW($D$29))+Tablas!G$1-1,COLUMN($D$29)+($AJ317-1)*(COLUMN($J$29)-COLUMN($D$29))))</f>
        <v/>
      </c>
      <c r="AS317" s="2816"/>
      <c r="AT317" s="3035">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V317" s="2816" t="str">
        <f>IFERROR(VLOOKUP(F317,'Tablas Técnicas'!$C$9:$H$81,6,FALSE),"")</f>
        <v/>
      </c>
      <c r="AW317" s="3035" t="b">
        <f>OR(AV317="",OR(ISNUMBER(SEARCH($O319,AV317)),ISNUMBER(SEARCH($Q319,AV317)),ISNUMBER(SEARCH($O320,AV317)),ISNUMBER(SEARCH($Q320,AV317)),ISNUMBER(SEARCH($O321,AV317)),ISNUMBER(SEARCH($Q321,AV317)),))</f>
        <v>1</v>
      </c>
      <c r="AX317" s="3035" t="b">
        <f>AND(P310&gt;1,OR(MAX(AA327:AA333)=1,MAX(AA327:AA333)=2))</f>
        <v>0</v>
      </c>
      <c r="AZ317" s="3035"/>
      <c r="BA317" s="2816" t="str">
        <f>IF(F317="","",F317&amp;" ("&amp;IF(AL317="","",AL317&amp;", ")&amp;IF(AM317="","",AM317&amp;", ")&amp;IF(AN317="","",AN317&amp;", ")&amp;IF(AO317="","",AO317&amp;", ")&amp;IF(AP317="","",AP317&amp;", ")&amp;IF(AQ317="","",AQ317&amp;", ")&amp;IF(AR317="","",AR317&amp;", "))</f>
        <v/>
      </c>
      <c r="BB317" s="3035" t="str">
        <f>IFERROR(LEFT(BA317,LEN(BA317)-2)&amp;"), ","")</f>
        <v/>
      </c>
      <c r="BC317" s="3023" t="str">
        <f>IFERROR(LEFT(BB317,LEN(BB317)-2)&amp;"), ","")</f>
        <v/>
      </c>
    </row>
    <row r="318" spans="1:55" x14ac:dyDescent="0.2">
      <c r="A318" s="3030"/>
      <c r="B318" s="3070">
        <f t="shared" si="35"/>
        <v>10</v>
      </c>
      <c r="C318" s="5106"/>
      <c r="D318" s="5093" t="s">
        <v>790</v>
      </c>
      <c r="E318" s="5094"/>
      <c r="F318" s="5084"/>
      <c r="G318" s="5085"/>
      <c r="H318" s="5085"/>
      <c r="I318" s="5085"/>
      <c r="J318" s="5086"/>
      <c r="K318" s="5087" t="s">
        <v>1729</v>
      </c>
      <c r="L318" s="5088"/>
      <c r="M318" s="5089"/>
      <c r="N318" s="3032">
        <f>SUMPRODUCT(INDEX('Tablas Técnicas'!$O$10:$X$639,,5),--(INDEX('Tablas Técnicas'!$O$10:$X$639,,1)=F318),--(ISNUMBER(MATCH(INDEX('Tablas Técnicas'!$O$10:$X$639,,2),$AL318:$AR318,0))))</f>
        <v>0</v>
      </c>
      <c r="O318" s="3032" t="str">
        <f>V318+X318+Z318+AB318+AD318+AF318&amp;" / "&amp;SUMPRODUCT(INDEX('Tablas Técnicas'!$O$10:$X$639,,IF(D318="Primario",3,4)),--(INDEX('Tablas Técnicas'!$O$10:$X$639,,1)=F318),--(ISNUMBER(MATCH(INDEX('Tablas Técnicas'!$O$10:$X$639,,2),$AL318:$AR318,0))))+IF(AND(K318&lt;&gt;"-",K318&lt;&gt;""),SUMPRODUCT(INDEX('Tablas Técnicas'!$O$10:$X$639,,IF(K318="Mantenido",6,IF(K318="Sostenimiento menor",7,IF(K318="Sostenimiento mayor",8,0)))),--(INDEX('Tablas Técnicas'!$O$10:$X$639,,1)=F318),--(ISNUMBER(MATCH(INDEX('Tablas Técnicas'!$O$10:$X$639,,2),$AL318:$AR318,0)))),0)+AT318</f>
        <v>0 / 0</v>
      </c>
      <c r="P318" s="3032" t="str">
        <f>W318+Y318+AA318+AC318+AE318+AG318&amp;" / "&amp;IF(K318="Mantenido",SUMPRODUCT(INDEX('Tablas Técnicas'!$O$10:$X$639,,6),--(INDEX('Tablas Técnicas'!$O$10:$X$639,,1)=F318),--(ISNUMBER(MATCH(INDEX('Tablas Técnicas'!$O$10:$X$639,,2),$AL318:$AR318,0)))),0)</f>
        <v>0 / 0</v>
      </c>
      <c r="Q318" s="5095" t="str">
        <f>IFERROR(VLOOKUP(F318,'Tablas Técnicas'!$C$9:$H$81,5,FALSE),"")</f>
        <v/>
      </c>
      <c r="R318" s="5095"/>
      <c r="S318" s="5095"/>
      <c r="T318" s="5095"/>
      <c r="U318" s="5095"/>
      <c r="V318" s="2836"/>
      <c r="W318" s="2837"/>
      <c r="X318" s="2836"/>
      <c r="Y318" s="2838"/>
      <c r="Z318" s="2839"/>
      <c r="AA318" s="2837"/>
      <c r="AB318" s="2836"/>
      <c r="AC318" s="2838"/>
      <c r="AD318" s="2839"/>
      <c r="AE318" s="2837"/>
      <c r="AF318" s="2836"/>
      <c r="AG318" s="2840"/>
      <c r="AH318" s="2821"/>
      <c r="AI318" s="3030"/>
      <c r="AJ318" s="2816">
        <v>5</v>
      </c>
      <c r="AK318" s="2816">
        <f>P310</f>
        <v>1</v>
      </c>
      <c r="AL318" s="2816" t="str">
        <f>IF(INDEX($A$1:$AI$343,ROW($D$29)+($B318-1)*(ROW($D$63)-ROW($D$29))+Tablas!A$1-1,COLUMN($D$29)+($AJ318-1)*(COLUMN($J$29)-COLUMN($D$29)))="","",INDEX($A$1:$AI$343,ROW($D$29)+($B318-1)*(ROW($D$63)-ROW($D$29))+Tablas!A$1-1,COLUMN($D$29)+($AJ318-1)*(COLUMN($J$29)-COLUMN($D$29))))</f>
        <v/>
      </c>
      <c r="AM318" s="2816" t="str">
        <f>IF(INDEX($A$1:$AI$343,ROW($D$29)+($B318-1)*(ROW($D$63)-ROW($D$29))+Tablas!B$1-1,COLUMN($D$29)+($AJ318-1)*(COLUMN($J$29)-COLUMN($D$29)))="","",INDEX($A$1:$AI$343,ROW($D$29)+($B318-1)*(ROW($D$63)-ROW($D$29))+Tablas!B$1-1,COLUMN($D$29)+($AJ318-1)*(COLUMN($J$29)-COLUMN($D$29))))</f>
        <v/>
      </c>
      <c r="AN318" s="2816" t="str">
        <f>IF(INDEX($A$1:$AI$343,ROW($D$29)+($B318-1)*(ROW($D$63)-ROW($D$29))+Tablas!C$1-1,COLUMN($D$29)+($AJ318-1)*(COLUMN($J$29)-COLUMN($D$29)))="","",INDEX($A$1:$AI$343,ROW($D$29)+($B318-1)*(ROW($D$63)-ROW($D$29))+Tablas!C$1-1,COLUMN($D$29)+($AJ318-1)*(COLUMN($J$29)-COLUMN($D$29))))</f>
        <v/>
      </c>
      <c r="AO318" s="2816" t="str">
        <f>IF(INDEX($A$1:$AI$343,ROW($D$29)+($B318-1)*(ROW($D$63)-ROW($D$29))+Tablas!D$1-1,COLUMN($D$29)+($AJ318-1)*(COLUMN($J$29)-COLUMN($D$29)))="","",INDEX($A$1:$AI$343,ROW($D$29)+($B318-1)*(ROW($D$63)-ROW($D$29))+Tablas!D$1-1,COLUMN($D$29)+($AJ318-1)*(COLUMN($J$29)-COLUMN($D$29))))</f>
        <v/>
      </c>
      <c r="AP318" s="2816" t="str">
        <f>IF(INDEX($A$1:$AI$343,ROW($D$29)+($B318-1)*(ROW($D$63)-ROW($D$29))+Tablas!E$1-1,COLUMN($D$29)+($AJ318-1)*(COLUMN($J$29)-COLUMN($D$29)))="","",INDEX($A$1:$AI$343,ROW($D$29)+($B318-1)*(ROW($D$63)-ROW($D$29))+Tablas!E$1-1,COLUMN($D$29)+($AJ318-1)*(COLUMN($J$29)-COLUMN($D$29))))</f>
        <v/>
      </c>
      <c r="AQ318" s="2816" t="str">
        <f>IF(INDEX($A$1:$AI$343,ROW($D$29)+($B318-1)*(ROW($D$63)-ROW($D$29))+Tablas!F$1-1,COLUMN($D$29)+($AJ318-1)*(COLUMN($J$29)-COLUMN($D$29)))="","",INDEX($A$1:$AI$343,ROW($D$29)+($B318-1)*(ROW($D$63)-ROW($D$29))+Tablas!F$1-1,COLUMN($D$29)+($AJ318-1)*(COLUMN($J$29)-COLUMN($D$29))))</f>
        <v/>
      </c>
      <c r="AR318" s="2816" t="str">
        <f>IF(INDEX($A$1:$AI$343,ROW($D$29)+($B318-1)*(ROW($D$63)-ROW($D$29))+Tablas!G$1-1,COLUMN($D$29)+($AJ318-1)*(COLUMN($J$29)-COLUMN($D$29)))="","",INDEX($A$1:$AI$343,ROW($D$29)+($B318-1)*(ROW($D$63)-ROW($D$29))+Tablas!G$1-1,COLUMN($D$29)+($AJ318-1)*(COLUMN($J$29)-COLUMN($D$29))))</f>
        <v/>
      </c>
      <c r="AS318" s="2816"/>
      <c r="AT318" s="3035">
        <f>IF(AND(ISNUMBER(FIND(V$14&amp;"+",$Q318)),V318&gt;0),MID($Q318,FIND(V$14&amp;"+",$Q318)+4,1),0)+IF(AND(ISNUMBER(FIND(X$14&amp;"+",$Q318)),X318&gt;0),MID($Q318,FIND(X$14&amp;"+",$Q318)+4,1),0)+IF(AND(ISNUMBER(FIND(Z$14&amp;"+",$Q318)),Z318&gt;0),MID($Q318,FIND(Z$14&amp;"+",$Q318)+4,1),0)+IF(AND(ISNUMBER(FIND(AB$14&amp;"+",$Q318)),AB318&gt;0),MID($Q318,FIND(AB$14&amp;"+",$Q318)+4,1),0)+IF(AND(ISNUMBER(FIND(AD$14&amp;"+",$Q318)),AD318&gt;0),MID($Q318,FIND(AD$14&amp;"+",$Q318)+4,1),0)+IF(AND(ISNUMBER(FIND(AF$14&amp;"+",$Q318)),AF318&gt;0),MID($Q318,FIND(AF$14&amp;"+",$Q318)+4,1),0)</f>
        <v>0</v>
      </c>
      <c r="AV318" s="2816" t="str">
        <f>IFERROR(VLOOKUP(F318,'Tablas Técnicas'!$C$9:$H$81,6,FALSE),"")</f>
        <v/>
      </c>
      <c r="AW318" s="3035" t="b">
        <f>OR(AV318="",OR(ISNUMBER(SEARCH($O319,AV318)),ISNUMBER(SEARCH($Q319,AV318)),ISNUMBER(SEARCH($O320,AV318)),ISNUMBER(SEARCH($Q320,AV318)),ISNUMBER(SEARCH($O321,AV318)),ISNUMBER(SEARCH($Q321,AV318)),))</f>
        <v>1</v>
      </c>
      <c r="AX318" s="3035" t="b">
        <f>AND(P310&gt;1,OR(MAX(AG327:AG333)=1,MAX(AG327:AG333)=2))</f>
        <v>0</v>
      </c>
      <c r="AZ318" s="3035"/>
      <c r="BA318" s="2816" t="str">
        <f>IF(F318="","",F318&amp;" ("&amp;IF(AL318="","",AL318&amp;", ")&amp;IF(AM318="","",AM318&amp;", ")&amp;IF(AN318="","",AN318&amp;", ")&amp;IF(AO318="","",AO318&amp;", ")&amp;IF(AP318="","",AP318&amp;", ")&amp;IF(AQ318="","",AQ318&amp;", ")&amp;IF(AR318="","",AR318&amp;", "))</f>
        <v/>
      </c>
      <c r="BB318" s="3035" t="str">
        <f t="shared" ref="BB318" si="38">IFERROR(LEFT(BA318,LEN(BA318)-2)&amp;"), ","")</f>
        <v/>
      </c>
      <c r="BC318" s="3023" t="str">
        <f t="shared" ref="BC318" si="39">IFERROR(LEFT(BB318,LEN(BB318)-2)&amp;"), ","")</f>
        <v/>
      </c>
    </row>
    <row r="319" spans="1:55" x14ac:dyDescent="0.2">
      <c r="A319" s="3030"/>
      <c r="B319" s="3070">
        <f t="shared" si="35"/>
        <v>10</v>
      </c>
      <c r="C319" s="5106"/>
      <c r="D319" s="5096" t="s">
        <v>3218</v>
      </c>
      <c r="E319" s="5097"/>
      <c r="F319" s="5102"/>
      <c r="G319" s="5103"/>
      <c r="H319" s="5103"/>
      <c r="I319" s="5103"/>
      <c r="J319" s="5104"/>
      <c r="K319" s="5128"/>
      <c r="L319" s="5176"/>
      <c r="M319" s="5177"/>
      <c r="N319" s="2841" t="str">
        <f>IF(F319="","",SUMPRODUCT(--(INDEX('Tablas Técnicas'!$C$114:$F$200,,1)=F319),--(INDEX('Tablas Técnicas'!$C$114:$F$200,,2)=K319),INDEX('Tablas Técnicas'!$C$114:$F$200,,3)))</f>
        <v/>
      </c>
      <c r="O319" s="5178"/>
      <c r="P319" s="5179"/>
      <c r="Q319" s="5180"/>
      <c r="R319" s="5179"/>
      <c r="S319" s="3036" t="str">
        <f>IF(K319="","","Nivel: "&amp;MAX(1,SUMPRODUCT(--(INDEX('Tablas Técnicas'!$C$114:$F$200,,1)=F319),--(INDEX('Tablas Técnicas'!$C$114:$F$200,,2)=K319),INDEX('Tablas Técnicas'!$C$114:$F$200,,4))))</f>
        <v/>
      </c>
      <c r="T319" s="2842"/>
      <c r="U319" s="2843" t="str">
        <f>IFERROR("("&amp;VLOOKUP(F319,'Tablas Técnicas'!$C$86:$E$108,3,FALSE)&amp;")","")</f>
        <v/>
      </c>
      <c r="V319" s="5195" t="s">
        <v>10245</v>
      </c>
      <c r="W319" s="5196"/>
      <c r="X319" s="5196"/>
      <c r="Y319" s="5196"/>
      <c r="Z319" s="5196"/>
      <c r="AA319" s="5196"/>
      <c r="AB319" s="5196"/>
      <c r="AC319" s="5196"/>
      <c r="AD319" s="5196"/>
      <c r="AE319" s="5196"/>
      <c r="AF319" s="5196"/>
      <c r="AG319" s="5197"/>
      <c r="AH319" s="2821"/>
      <c r="AI319" s="3030"/>
      <c r="AJ319" s="2816">
        <v>1</v>
      </c>
      <c r="AK319" s="2816">
        <f>P310</f>
        <v>1</v>
      </c>
      <c r="AL319" s="2816" t="e">
        <f>VLOOKUP(F319,'Tablas Técnicas'!$C$86:$E$108,2,FALSE)</f>
        <v>#N/A</v>
      </c>
      <c r="AN319" s="2817"/>
      <c r="AR319" s="2816"/>
      <c r="AS319" s="2816"/>
      <c r="AT319" s="2816"/>
      <c r="AU319" s="2816"/>
      <c r="AV319" s="3035"/>
      <c r="AW319" s="3035" t="b">
        <f>F319="Atadura Elemental"</f>
        <v>0</v>
      </c>
      <c r="AX319" s="3035"/>
      <c r="AZ319" s="3035"/>
      <c r="BA319" s="3035"/>
      <c r="BB319" s="2816" t="str">
        <f>IF(F319="","",F319&amp;IF(K319="",""," ("&amp;IF(F319="Atadura Elemental",O319&amp;IF(Q319="","",", "&amp;Q319),K319)&amp;")")&amp;", ")</f>
        <v/>
      </c>
      <c r="BC319" s="2816" t="str">
        <f>IF(F319="","",F319&amp;IF(K319="",""," ("&amp;IF(F319="Atadura Elemental",O319&amp;IF(Q319="","",", "&amp;Q319),K319)&amp;")")&amp;", ")</f>
        <v/>
      </c>
    </row>
    <row r="320" spans="1:55" ht="11.25" customHeight="1" x14ac:dyDescent="0.2">
      <c r="A320" s="3030"/>
      <c r="B320" s="3070">
        <f t="shared" si="35"/>
        <v>10</v>
      </c>
      <c r="C320" s="5106"/>
      <c r="D320" s="5098"/>
      <c r="E320" s="5099"/>
      <c r="F320" s="5171"/>
      <c r="G320" s="5172"/>
      <c r="H320" s="5172"/>
      <c r="I320" s="5172"/>
      <c r="J320" s="5173"/>
      <c r="K320" s="5114"/>
      <c r="L320" s="5156"/>
      <c r="M320" s="5157"/>
      <c r="N320" s="2844" t="str">
        <f>IF(F320="","",SUMPRODUCT(--(INDEX('Tablas Técnicas'!$C$114:$F$200,,1)=F320),--(INDEX('Tablas Técnicas'!$C$114:$F$200,,2)=K320),INDEX('Tablas Técnicas'!$C$114:$F$200,,3)))</f>
        <v/>
      </c>
      <c r="O320" s="5158"/>
      <c r="P320" s="5159"/>
      <c r="Q320" s="5160"/>
      <c r="R320" s="5159"/>
      <c r="S320" s="3039" t="str">
        <f>IF(K320="","","Nivel: "&amp;MAX(1,SUMPRODUCT(--(INDEX('Tablas Técnicas'!$C$114:$F$200,,1)=F320),--(INDEX('Tablas Técnicas'!$C$114:$F$200,,2)=K320),INDEX('Tablas Técnicas'!$C$114:$F$200,,4))))</f>
        <v/>
      </c>
      <c r="T320" s="3015"/>
      <c r="U320" s="3016" t="str">
        <f>IFERROR("("&amp;VLOOKUP(F320,'Tablas Técnicas'!$C$86:$E$108,3,FALSE)&amp;")","")</f>
        <v/>
      </c>
      <c r="V320" s="5198" t="s">
        <v>9659</v>
      </c>
      <c r="W320" s="5199"/>
      <c r="X320" s="5200"/>
      <c r="Y320" s="3025">
        <v>0</v>
      </c>
      <c r="Z320" s="5201" t="s">
        <v>9660</v>
      </c>
      <c r="AA320" s="5202"/>
      <c r="AB320" s="5203"/>
      <c r="AC320" s="3025">
        <v>0</v>
      </c>
      <c r="AD320" s="5204" t="str">
        <f>"Ki repartido / total: "&amp;AL331&amp;IF(AM330=0,""," ("&amp;AM330&amp;")")&amp;" / "&amp;AL330&amp;IF(AM331=0,""," ("&amp;AM331&amp;")")</f>
        <v>Ki repartido / total: 0 / 0</v>
      </c>
      <c r="AE320" s="5205"/>
      <c r="AF320" s="5205"/>
      <c r="AG320" s="5206"/>
      <c r="AH320" s="2821"/>
      <c r="AI320" s="3030"/>
      <c r="AJ320" s="2816">
        <v>2</v>
      </c>
      <c r="AK320" s="2816">
        <f>P310</f>
        <v>1</v>
      </c>
      <c r="AL320" s="2816" t="e">
        <f>VLOOKUP(F320,'Tablas Técnicas'!$C$86:$E$108,2,FALSE)</f>
        <v>#N/A</v>
      </c>
      <c r="AN320" s="2817"/>
      <c r="AR320" s="2816"/>
      <c r="AS320" s="2816"/>
      <c r="AT320" s="2816"/>
      <c r="AU320" s="2816"/>
      <c r="AV320" s="3035"/>
      <c r="AW320" s="3035" t="b">
        <f>F320="Atadura Elemental"</f>
        <v>0</v>
      </c>
      <c r="AX320" s="3035"/>
      <c r="AZ320" s="3035"/>
      <c r="BA320" s="3035"/>
      <c r="BB320" s="2816" t="str">
        <f>IF(F320="","",F320&amp;IF(K320="",""," ("&amp;IF(F320="Atadura Elemental",O320&amp;IF(Q320="","",", "&amp;Q320),K320)&amp;")")&amp;", ")</f>
        <v/>
      </c>
      <c r="BC320" s="2816" t="str">
        <f>IF(F320="","",F320&amp;IF(K320="",""," ("&amp;IF(F320="Atadura Elemental",O320&amp;IF(Q320="","",", "&amp;Q320),K320)&amp;")")&amp;", ")</f>
        <v/>
      </c>
    </row>
    <row r="321" spans="1:55" x14ac:dyDescent="0.2">
      <c r="A321" s="3030"/>
      <c r="B321" s="3070">
        <f t="shared" si="35"/>
        <v>10</v>
      </c>
      <c r="C321" s="5106"/>
      <c r="D321" s="5100"/>
      <c r="E321" s="5101"/>
      <c r="F321" s="5168"/>
      <c r="G321" s="5169"/>
      <c r="H321" s="5169"/>
      <c r="I321" s="5169"/>
      <c r="J321" s="5170"/>
      <c r="K321" s="5148"/>
      <c r="L321" s="5149"/>
      <c r="M321" s="5150"/>
      <c r="N321" s="2845" t="str">
        <f>IF(F321="","",SUMPRODUCT(--(INDEX('Tablas Técnicas'!$C$114:$F$200,,1)=F321),--(INDEX('Tablas Técnicas'!$C$114:$F$200,,2)=K321),INDEX('Tablas Técnicas'!$C$114:$F$200,,3)))</f>
        <v/>
      </c>
      <c r="O321" s="5151"/>
      <c r="P321" s="5152"/>
      <c r="Q321" s="5153"/>
      <c r="R321" s="5152"/>
      <c r="S321" s="3032" t="str">
        <f>IF(K321="","","Nivel: "&amp;MAX(1,SUMPRODUCT(--(INDEX('Tablas Técnicas'!$C$114:$F$200,,1)=F321),--(INDEX('Tablas Técnicas'!$C$114:$F$200,,2)=K321),INDEX('Tablas Técnicas'!$C$114:$F$200,,4))))</f>
        <v/>
      </c>
      <c r="T321" s="2846"/>
      <c r="U321" s="3017" t="str">
        <f>IFERROR("("&amp;VLOOKUP(F321,'Tablas Técnicas'!$C$86:$E$108,3,FALSE)&amp;")","")</f>
        <v/>
      </c>
      <c r="V321" s="5154"/>
      <c r="W321" s="5154"/>
      <c r="X321" s="5154"/>
      <c r="Y321" s="5154"/>
      <c r="Z321" s="5154"/>
      <c r="AA321" s="5154"/>
      <c r="AB321" s="5154"/>
      <c r="AC321" s="5154"/>
      <c r="AD321" s="5154"/>
      <c r="AE321" s="5154"/>
      <c r="AF321" s="5154"/>
      <c r="AG321" s="5155"/>
      <c r="AH321" s="2821"/>
      <c r="AI321" s="3030"/>
      <c r="AJ321" s="2816">
        <v>3</v>
      </c>
      <c r="AK321" s="2816">
        <f>P310</f>
        <v>1</v>
      </c>
      <c r="AL321" s="2816" t="e">
        <f>VLOOKUP(F321,'Tablas Técnicas'!$C$86:$E$108,2,FALSE)</f>
        <v>#N/A</v>
      </c>
      <c r="AN321" s="2817"/>
      <c r="AR321" s="3035"/>
      <c r="AT321" s="3035"/>
      <c r="AV321" s="3035"/>
      <c r="AW321" s="3035" t="b">
        <f>F321="Atadura Elemental"</f>
        <v>0</v>
      </c>
      <c r="AX321" s="3035"/>
      <c r="AZ321" s="3035"/>
      <c r="BA321" s="3035"/>
      <c r="BB321" s="2816" t="str">
        <f>IF(F321="","",F321&amp;IF(K321="",""," ("&amp;IF(F321="Atadura Elemental",O321&amp;IF(Q321="","",", "&amp;Q321),K321)&amp;")")&amp;", ")</f>
        <v/>
      </c>
      <c r="BC321" s="2816" t="str">
        <f>IF(F321="","",F321&amp;IF(K321="",""," ("&amp;IF(F321="Atadura Elemental",O321&amp;IF(Q321="","",", "&amp;Q321),K321)&amp;")")&amp;", ")</f>
        <v/>
      </c>
    </row>
    <row r="322" spans="1:55" x14ac:dyDescent="0.2">
      <c r="A322" s="3030"/>
      <c r="B322" s="3070">
        <f t="shared" si="35"/>
        <v>10</v>
      </c>
      <c r="C322" s="5106"/>
      <c r="D322" s="5069" t="s">
        <v>10241</v>
      </c>
      <c r="E322" s="5070"/>
      <c r="F322" s="5070"/>
      <c r="G322" s="5070"/>
      <c r="H322" s="5070"/>
      <c r="I322" s="5070"/>
      <c r="J322" s="5070"/>
      <c r="K322" s="5070"/>
      <c r="L322" s="5070"/>
      <c r="M322" s="5070"/>
      <c r="N322" s="5070"/>
      <c r="O322" s="5070"/>
      <c r="P322" s="5070"/>
      <c r="Q322" s="5070"/>
      <c r="R322" s="5070"/>
      <c r="S322" s="5070"/>
      <c r="T322" s="5070"/>
      <c r="U322" s="5070"/>
      <c r="V322" s="5070"/>
      <c r="W322" s="5070"/>
      <c r="X322" s="5070"/>
      <c r="Y322" s="5070"/>
      <c r="Z322" s="5070"/>
      <c r="AA322" s="5070"/>
      <c r="AB322" s="5070"/>
      <c r="AC322" s="5070"/>
      <c r="AD322" s="5070"/>
      <c r="AE322" s="5070"/>
      <c r="AF322" s="5070"/>
      <c r="AG322" s="5071"/>
      <c r="AH322" s="2821"/>
      <c r="AI322" s="3030"/>
      <c r="AN322" s="2817" t="s">
        <v>9661</v>
      </c>
      <c r="AO322" s="2816" t="e">
        <f>LEFT(BB314&amp;BB315&amp;BB316&amp;BB317&amp;BB318,LEN(BB314&amp;BB315&amp;BB316&amp;BB317&amp;BB318)-2)</f>
        <v>#VALUE!</v>
      </c>
      <c r="AR322" s="3035"/>
      <c r="AT322" s="2817"/>
      <c r="AU322" s="2817"/>
      <c r="AV322" s="3035"/>
      <c r="AW322" s="3035"/>
      <c r="AX322" s="3035"/>
      <c r="AZ322" s="3035"/>
      <c r="BA322" s="3035"/>
      <c r="BB322" s="3035"/>
      <c r="BC322" s="3023"/>
    </row>
    <row r="323" spans="1:55" x14ac:dyDescent="0.2">
      <c r="A323" s="3030"/>
      <c r="B323" s="3070">
        <f t="shared" si="35"/>
        <v>10</v>
      </c>
      <c r="C323" s="5106"/>
      <c r="D323" s="5066" t="str">
        <f>IF(F314="","",F314)</f>
        <v/>
      </c>
      <c r="E323" s="5067"/>
      <c r="F323" s="5067"/>
      <c r="G323" s="5067"/>
      <c r="H323" s="5067"/>
      <c r="I323" s="5068"/>
      <c r="J323" s="5066" t="str">
        <f>IF(F315="","",F315)</f>
        <v/>
      </c>
      <c r="K323" s="5067"/>
      <c r="L323" s="5067"/>
      <c r="M323" s="5067"/>
      <c r="N323" s="5067"/>
      <c r="O323" s="5068"/>
      <c r="P323" s="5067" t="str">
        <f>IF(F316="","",F316)</f>
        <v/>
      </c>
      <c r="Q323" s="5067"/>
      <c r="R323" s="5067"/>
      <c r="S323" s="5067"/>
      <c r="T323" s="5067"/>
      <c r="U323" s="5068"/>
      <c r="V323" s="5066" t="str">
        <f>IF(F317="","",F317)</f>
        <v/>
      </c>
      <c r="W323" s="5067"/>
      <c r="X323" s="5067"/>
      <c r="Y323" s="5067"/>
      <c r="Z323" s="5067"/>
      <c r="AA323" s="5068"/>
      <c r="AB323" s="5067" t="str">
        <f>IF(F318="","",F318)</f>
        <v/>
      </c>
      <c r="AC323" s="5067"/>
      <c r="AD323" s="5067"/>
      <c r="AE323" s="5067"/>
      <c r="AF323" s="5067"/>
      <c r="AG323" s="5083"/>
      <c r="AH323" s="2821"/>
      <c r="AI323" s="3030"/>
      <c r="AN323" s="2817" t="s">
        <v>9662</v>
      </c>
      <c r="AO323" s="2816" t="e">
        <f>LEFT(BB319&amp;BB320&amp;BB321,LEN(BB319&amp;BB320&amp;BB321)-2)</f>
        <v>#VALUE!</v>
      </c>
      <c r="AR323" s="3035"/>
      <c r="AT323" s="2817"/>
      <c r="AU323" s="2817"/>
      <c r="AV323" s="3035"/>
      <c r="AW323" s="3035"/>
      <c r="AX323" s="3035"/>
      <c r="AZ323" s="3035"/>
      <c r="BA323" s="3035"/>
      <c r="BB323" s="3035"/>
      <c r="BC323" s="3023"/>
    </row>
    <row r="324" spans="1:55" x14ac:dyDescent="0.2">
      <c r="A324" s="3030"/>
      <c r="B324" s="3070">
        <f t="shared" si="35"/>
        <v>10</v>
      </c>
      <c r="C324" s="5106"/>
      <c r="D324" s="3046" t="s">
        <v>2121</v>
      </c>
      <c r="E324" s="3040" t="str">
        <f>IFERROR(VLOOKUP(D323,'Tablas Técnicas'!$C$9:$H$81,3,FALSE),"")</f>
        <v/>
      </c>
      <c r="F324" s="3019"/>
      <c r="G324" s="3018"/>
      <c r="H324" s="3018" t="s">
        <v>1636</v>
      </c>
      <c r="I324" s="3040" t="str">
        <f>IFERROR(VLOOKUP(D323,'Tablas Técnicas'!$C$9:$H$81,4,FALSE),"")</f>
        <v/>
      </c>
      <c r="J324" s="3046" t="s">
        <v>2121</v>
      </c>
      <c r="K324" s="3040" t="str">
        <f>IFERROR(VLOOKUP(J323,'Tablas Técnicas'!$C$9:$H$81,3,FALSE),"")</f>
        <v/>
      </c>
      <c r="L324" s="3019"/>
      <c r="M324" s="3018"/>
      <c r="N324" s="3018" t="s">
        <v>1636</v>
      </c>
      <c r="O324" s="2847" t="str">
        <f>IFERROR(VLOOKUP(J323,'Tablas Técnicas'!$C$9:$H$81,4,FALSE),"")</f>
        <v/>
      </c>
      <c r="P324" s="3018" t="s">
        <v>2121</v>
      </c>
      <c r="Q324" s="3040" t="str">
        <f>IFERROR(VLOOKUP(P323,'Tablas Técnicas'!$C$9:$H$81,3,FALSE),"")</f>
        <v/>
      </c>
      <c r="R324" s="3019"/>
      <c r="S324" s="3018"/>
      <c r="T324" s="3018" t="s">
        <v>1636</v>
      </c>
      <c r="U324" s="3040" t="str">
        <f>IFERROR(VLOOKUP(P323,'Tablas Técnicas'!$C$9:$H$81,4,FALSE),"")</f>
        <v/>
      </c>
      <c r="V324" s="3046" t="s">
        <v>2121</v>
      </c>
      <c r="W324" s="3040" t="str">
        <f>IFERROR(VLOOKUP(V323,'Tablas Técnicas'!$C$9:$H$81,3,FALSE),"")</f>
        <v/>
      </c>
      <c r="X324" s="3019"/>
      <c r="Y324" s="3018"/>
      <c r="Z324" s="3018" t="s">
        <v>1636</v>
      </c>
      <c r="AA324" s="2847" t="str">
        <f>IFERROR(VLOOKUP(V323,'Tablas Técnicas'!$C$9:$H$81,4,FALSE),"")</f>
        <v/>
      </c>
      <c r="AB324" s="3018" t="s">
        <v>2121</v>
      </c>
      <c r="AC324" s="3040" t="str">
        <f>IFERROR(VLOOKUP(AB323,'Tablas Técnicas'!$C$9:$H$81,3,FALSE),"")</f>
        <v/>
      </c>
      <c r="AD324" s="3019"/>
      <c r="AE324" s="3018"/>
      <c r="AF324" s="3018" t="s">
        <v>1636</v>
      </c>
      <c r="AG324" s="2848" t="str">
        <f>IFERROR(VLOOKUP(AB323,'Tablas Técnicas'!$C$9:$H$81,4,FALSE),"")</f>
        <v/>
      </c>
      <c r="AH324" s="2821"/>
      <c r="AI324" s="3030"/>
      <c r="AN324" s="2817"/>
      <c r="AR324" s="3035"/>
      <c r="AT324" s="3035"/>
      <c r="AV324" s="3035"/>
      <c r="AW324" s="3035"/>
      <c r="AX324" s="3035"/>
      <c r="AZ324" s="3035"/>
      <c r="BA324" s="3035"/>
      <c r="BB324" s="3035"/>
      <c r="BC324" s="3023"/>
    </row>
    <row r="325" spans="1:55" x14ac:dyDescent="0.2">
      <c r="A325" s="3030"/>
      <c r="B325" s="3070">
        <f t="shared" si="35"/>
        <v>10</v>
      </c>
      <c r="C325" s="5106"/>
      <c r="D325" s="3047" t="s">
        <v>9663</v>
      </c>
      <c r="E325" s="3018"/>
      <c r="F325" s="3019"/>
      <c r="G325" s="3020"/>
      <c r="H325" s="3020"/>
      <c r="I325" s="3017" t="str">
        <f>AV314</f>
        <v/>
      </c>
      <c r="J325" s="2849" t="s">
        <v>9663</v>
      </c>
      <c r="K325" s="2850"/>
      <c r="L325" s="2851"/>
      <c r="M325" s="2852"/>
      <c r="N325" s="2852"/>
      <c r="O325" s="2853" t="str">
        <f>IFERROR(VLOOKUP(J323,'Tablas Técnicas'!$C$9:$H$81,6,FALSE),"")</f>
        <v/>
      </c>
      <c r="P325" s="2854" t="s">
        <v>9663</v>
      </c>
      <c r="Q325" s="2850"/>
      <c r="R325" s="2851"/>
      <c r="S325" s="2852"/>
      <c r="T325" s="2852"/>
      <c r="U325" s="2855" t="str">
        <f>IFERROR(VLOOKUP(P323,'Tablas Técnicas'!$C$9:$H$81,6,FALSE),"")</f>
        <v/>
      </c>
      <c r="V325" s="2849" t="s">
        <v>9663</v>
      </c>
      <c r="W325" s="2850"/>
      <c r="X325" s="2851"/>
      <c r="Y325" s="2852"/>
      <c r="Z325" s="2852"/>
      <c r="AA325" s="2853" t="str">
        <f>IFERROR(VLOOKUP(V323,'Tablas Técnicas'!$C$9:$H$81,6,FALSE),"")</f>
        <v/>
      </c>
      <c r="AB325" s="2854" t="s">
        <v>9663</v>
      </c>
      <c r="AC325" s="2850"/>
      <c r="AD325" s="2851"/>
      <c r="AE325" s="2852"/>
      <c r="AF325" s="2852"/>
      <c r="AG325" s="2856" t="str">
        <f>IFERROR(VLOOKUP(AB323,'Tablas Técnicas'!$C$9:$H$81,6,FALSE),"")</f>
        <v/>
      </c>
      <c r="AH325" s="2821"/>
      <c r="AI325" s="3030"/>
      <c r="AJ325" s="2816" t="s">
        <v>9664</v>
      </c>
      <c r="AR325" s="3035"/>
      <c r="AT325" s="3035"/>
      <c r="AV325" s="3035"/>
      <c r="AW325" s="3035"/>
      <c r="AX325" s="3035"/>
      <c r="AZ325" s="3035"/>
      <c r="BA325" s="3035"/>
      <c r="BB325" s="2816"/>
      <c r="BC325" s="2816"/>
    </row>
    <row r="326" spans="1:55" x14ac:dyDescent="0.2">
      <c r="A326" s="3030"/>
      <c r="B326" s="3070">
        <f t="shared" si="35"/>
        <v>10</v>
      </c>
      <c r="C326" s="5106"/>
      <c r="D326" s="5066" t="s">
        <v>3226</v>
      </c>
      <c r="E326" s="5067"/>
      <c r="F326" s="5067"/>
      <c r="G326" s="5067"/>
      <c r="H326" s="5068"/>
      <c r="I326" s="2857" t="s">
        <v>1676</v>
      </c>
      <c r="J326" s="5066" t="s">
        <v>3226</v>
      </c>
      <c r="K326" s="5067"/>
      <c r="L326" s="5067"/>
      <c r="M326" s="5067"/>
      <c r="N326" s="5068"/>
      <c r="O326" s="2858" t="s">
        <v>1676</v>
      </c>
      <c r="P326" s="5066" t="s">
        <v>3226</v>
      </c>
      <c r="Q326" s="5067"/>
      <c r="R326" s="5067"/>
      <c r="S326" s="5067"/>
      <c r="T326" s="5068"/>
      <c r="U326" s="2858" t="s">
        <v>1676</v>
      </c>
      <c r="V326" s="5066" t="s">
        <v>3226</v>
      </c>
      <c r="W326" s="5067"/>
      <c r="X326" s="5067"/>
      <c r="Y326" s="5067"/>
      <c r="Z326" s="5068"/>
      <c r="AA326" s="2858" t="s">
        <v>1676</v>
      </c>
      <c r="AB326" s="5066" t="s">
        <v>3226</v>
      </c>
      <c r="AC326" s="5067"/>
      <c r="AD326" s="5067"/>
      <c r="AE326" s="5067"/>
      <c r="AF326" s="5068"/>
      <c r="AG326" s="2859" t="s">
        <v>1676</v>
      </c>
      <c r="AH326" s="2821"/>
      <c r="AI326" s="3030"/>
      <c r="AJ326" s="2816" t="s">
        <v>9665</v>
      </c>
      <c r="AQ326" s="2816"/>
      <c r="AR326" s="2816"/>
      <c r="AS326" s="2816"/>
      <c r="AT326" s="2816"/>
      <c r="AU326" s="2816"/>
      <c r="AV326" s="2816"/>
      <c r="AW326" s="2816"/>
      <c r="AX326" s="2816"/>
      <c r="AY326" s="2816"/>
      <c r="AZ326" s="3035"/>
      <c r="BA326" s="3035"/>
      <c r="BB326" s="3035"/>
      <c r="BC326" s="3023"/>
    </row>
    <row r="327" spans="1:55" x14ac:dyDescent="0.2">
      <c r="A327" s="3030"/>
      <c r="B327" s="3070">
        <f t="shared" si="35"/>
        <v>10</v>
      </c>
      <c r="C327" s="5106"/>
      <c r="D327" s="5081"/>
      <c r="E327" s="5082"/>
      <c r="F327" s="5082"/>
      <c r="G327" s="5082"/>
      <c r="H327" s="5082"/>
      <c r="I327" s="2860" t="str">
        <f>IF(OR(D323="",D327=""),"",MAX(1,SUMPRODUCT(--(INDEX('Tablas Técnicas'!$O$10:$X$639,,1)=D323),--(INDEX('Tablas Técnicas'!$O$10:$X$639,,2)=D327),INDEX('Tablas Técnicas'!$O$10:$X$639,,9))))</f>
        <v/>
      </c>
      <c r="J327" s="5082"/>
      <c r="K327" s="5082"/>
      <c r="L327" s="5082"/>
      <c r="M327" s="5082"/>
      <c r="N327" s="5082"/>
      <c r="O327" s="2860" t="str">
        <f>IF(OR(J323="",J327=""),"",MAX(1,SUMPRODUCT(--(INDEX('Tablas Técnicas'!$O$10:$X$639,,1)=J323),--(INDEX('Tablas Técnicas'!$O$10:$X$639,,2)=J327),INDEX('Tablas Técnicas'!$O$10:$X$639,,9))))</f>
        <v/>
      </c>
      <c r="P327" s="5081"/>
      <c r="Q327" s="5082"/>
      <c r="R327" s="5082"/>
      <c r="S327" s="5082"/>
      <c r="T327" s="5082"/>
      <c r="U327" s="2860" t="str">
        <f>IF(OR(P323="",P327=""),"",MAX(1,SUMPRODUCT(--(INDEX('Tablas Técnicas'!$O$10:$X$639,,1)=P323),--(INDEX('Tablas Técnicas'!$O$10:$X$639,,2)=P327),INDEX('Tablas Técnicas'!$O$10:$X$639,,9))))</f>
        <v/>
      </c>
      <c r="V327" s="5081"/>
      <c r="W327" s="5082"/>
      <c r="X327" s="5082"/>
      <c r="Y327" s="5082"/>
      <c r="Z327" s="5082"/>
      <c r="AA327" s="2860" t="str">
        <f>IF(OR(V323="",V327=""),"",MAX(1,SUMPRODUCT(--(INDEX('Tablas Técnicas'!$O$10:$X$639,,1)=V323),--(INDEX('Tablas Técnicas'!$O$10:$X$639,,2)=V327),INDEX('Tablas Técnicas'!$O$10:$X$639,,9))))</f>
        <v/>
      </c>
      <c r="AB327" s="5081"/>
      <c r="AC327" s="5082"/>
      <c r="AD327" s="5082"/>
      <c r="AE327" s="5082"/>
      <c r="AF327" s="5082"/>
      <c r="AG327" s="2861" t="str">
        <f>IF(OR(AB323="",AB327=""),"",MAX(1,SUMPRODUCT(--(INDEX('Tablas Técnicas'!$O$10:$X$639,,1)=AB323),--(INDEX('Tablas Técnicas'!$O$10:$X$639,,2)=AB327),INDEX('Tablas Técnicas'!$O$10:$X$639,,9))))</f>
        <v/>
      </c>
      <c r="AH327" s="2821">
        <f>P310</f>
        <v>1</v>
      </c>
      <c r="AI327" s="3030"/>
      <c r="AJ327" s="2816" t="s">
        <v>9667</v>
      </c>
      <c r="AK327" s="3035"/>
      <c r="AL327" s="3035"/>
      <c r="AM327" s="3035"/>
      <c r="AN327" s="3035"/>
      <c r="AO327" s="3035"/>
      <c r="AP327" s="2824"/>
      <c r="AQ327" s="2824"/>
      <c r="AR327" s="2824"/>
      <c r="AS327" s="2824"/>
      <c r="AT327" s="2824"/>
      <c r="AU327" s="2824"/>
      <c r="AV327" s="2824"/>
      <c r="AW327" s="2824"/>
      <c r="AX327" s="2824"/>
      <c r="AY327" s="2824"/>
      <c r="AZ327" s="3035"/>
      <c r="BA327" s="3035"/>
      <c r="BB327" s="3035"/>
      <c r="BC327" s="3023"/>
    </row>
    <row r="328" spans="1:55" x14ac:dyDescent="0.2">
      <c r="A328" s="3030"/>
      <c r="B328" s="3070">
        <f t="shared" si="35"/>
        <v>10</v>
      </c>
      <c r="C328" s="5106"/>
      <c r="D328" s="5064"/>
      <c r="E328" s="5065"/>
      <c r="F328" s="5065"/>
      <c r="G328" s="5065"/>
      <c r="H328" s="5065"/>
      <c r="I328" s="2862" t="str">
        <f>IF(OR(D323="",D328=""),"",MAX(1,SUMPRODUCT(--(INDEX('Tablas Técnicas'!$O$10:$X$639,,1)=D323),--(INDEX('Tablas Técnicas'!$O$10:$X$639,,2)=D328),INDEX('Tablas Técnicas'!$O$10:$X$639,,9))))</f>
        <v/>
      </c>
      <c r="J328" s="5065"/>
      <c r="K328" s="5065"/>
      <c r="L328" s="5065"/>
      <c r="M328" s="5065"/>
      <c r="N328" s="5065"/>
      <c r="O328" s="2862" t="str">
        <f>IF(OR(J323="",J328=""),"",MAX(1,SUMPRODUCT(--(INDEX('Tablas Técnicas'!$O$10:$X$639,,1)=J323),--(INDEX('Tablas Técnicas'!$O$10:$X$639,,2)=J328),INDEX('Tablas Técnicas'!$O$10:$X$639,,9))))</f>
        <v/>
      </c>
      <c r="P328" s="5064"/>
      <c r="Q328" s="5065"/>
      <c r="R328" s="5065"/>
      <c r="S328" s="5065"/>
      <c r="T328" s="5065"/>
      <c r="U328" s="2862" t="str">
        <f>IF(OR(P323="",P328=""),"",MAX(1,SUMPRODUCT(--(INDEX('Tablas Técnicas'!$O$10:$X$639,,1)=P323),--(INDEX('Tablas Técnicas'!$O$10:$X$639,,2)=P328),INDEX('Tablas Técnicas'!$O$10:$X$639,,9))))</f>
        <v/>
      </c>
      <c r="V328" s="5064"/>
      <c r="W328" s="5065"/>
      <c r="X328" s="5065"/>
      <c r="Y328" s="5065"/>
      <c r="Z328" s="5065"/>
      <c r="AA328" s="2862" t="str">
        <f>IF(OR(V323="",V328=""),"",MAX(1,SUMPRODUCT(--(INDEX('Tablas Técnicas'!$O$10:$X$639,,1)=V323),--(INDEX('Tablas Técnicas'!$O$10:$X$639,,2)=V328),INDEX('Tablas Técnicas'!$O$10:$X$639,,9))))</f>
        <v/>
      </c>
      <c r="AB328" s="5064"/>
      <c r="AC328" s="5065"/>
      <c r="AD328" s="5065"/>
      <c r="AE328" s="5065"/>
      <c r="AF328" s="5065"/>
      <c r="AG328" s="2863" t="str">
        <f>IF(OR(AB323="",AB328=""),"",MAX(1,SUMPRODUCT(--(INDEX('Tablas Técnicas'!$O$10:$X$639,,1)=AB323),--(INDEX('Tablas Técnicas'!$O$10:$X$639,,2)=AB328),INDEX('Tablas Técnicas'!$O$10:$X$639,,9))))</f>
        <v/>
      </c>
      <c r="AH328" s="2821">
        <f>P310</f>
        <v>1</v>
      </c>
      <c r="AI328" s="3030"/>
      <c r="AJ328" s="3035" t="s">
        <v>1646</v>
      </c>
      <c r="AK328" s="3035" t="s">
        <v>1772</v>
      </c>
      <c r="AL328" s="3035" t="s">
        <v>1651</v>
      </c>
      <c r="AM328" s="3035" t="s">
        <v>1656</v>
      </c>
      <c r="AN328" s="3035" t="s">
        <v>1664</v>
      </c>
      <c r="AO328" s="3035" t="s">
        <v>1665</v>
      </c>
      <c r="AQ328" s="2816"/>
      <c r="AR328" s="2816"/>
      <c r="AS328" s="2816"/>
      <c r="AT328" s="2816"/>
      <c r="AU328" s="2816"/>
      <c r="AV328" s="3035"/>
      <c r="AW328" s="2816"/>
      <c r="AX328" s="2816"/>
      <c r="AY328" s="2816"/>
      <c r="AZ328" s="2816"/>
      <c r="BA328" s="2816"/>
      <c r="BB328" s="2816"/>
      <c r="BC328" s="2816"/>
    </row>
    <row r="329" spans="1:55" x14ac:dyDescent="0.2">
      <c r="A329" s="3030"/>
      <c r="B329" s="3070">
        <f t="shared" si="35"/>
        <v>10</v>
      </c>
      <c r="C329" s="5106"/>
      <c r="D329" s="5064"/>
      <c r="E329" s="5065"/>
      <c r="F329" s="5065"/>
      <c r="G329" s="5065"/>
      <c r="H329" s="5065"/>
      <c r="I329" s="2862" t="str">
        <f>IF(OR(D323="",D329=""),"",MAX(1,SUMPRODUCT(--(INDEX('Tablas Técnicas'!$O$10:$X$639,,1)=D323),--(INDEX('Tablas Técnicas'!$O$10:$X$639,,2)=D329),INDEX('Tablas Técnicas'!$O$10:$X$639,,9))))</f>
        <v/>
      </c>
      <c r="J329" s="5065"/>
      <c r="K329" s="5065"/>
      <c r="L329" s="5065"/>
      <c r="M329" s="5065"/>
      <c r="N329" s="5065"/>
      <c r="O329" s="2862" t="str">
        <f>IF(OR(J323="",J329=""),"",MAX(1,SUMPRODUCT(--(INDEX('Tablas Técnicas'!$O$10:$X$639,,1)=J323),--(INDEX('Tablas Técnicas'!$O$10:$X$639,,2)=J329),INDEX('Tablas Técnicas'!$O$10:$X$639,,9))))</f>
        <v/>
      </c>
      <c r="P329" s="5064"/>
      <c r="Q329" s="5065"/>
      <c r="R329" s="5065"/>
      <c r="S329" s="5065"/>
      <c r="T329" s="5065"/>
      <c r="U329" s="2862" t="str">
        <f>IF(OR(P323="",P329=""),"",MAX(1,SUMPRODUCT(--(INDEX('Tablas Técnicas'!$O$10:$X$639,,1)=P323),--(INDEX('Tablas Técnicas'!$O$10:$X$639,,2)=P329),INDEX('Tablas Técnicas'!$O$10:$X$639,,9))))</f>
        <v/>
      </c>
      <c r="V329" s="5064"/>
      <c r="W329" s="5065"/>
      <c r="X329" s="5065"/>
      <c r="Y329" s="5065"/>
      <c r="Z329" s="5065"/>
      <c r="AA329" s="2862" t="str">
        <f>IF(OR(V323="",V329=""),"",MAX(1,SUMPRODUCT(--(INDEX('Tablas Técnicas'!$O$10:$X$639,,1)=V323),--(INDEX('Tablas Técnicas'!$O$10:$X$639,,2)=V329),INDEX('Tablas Técnicas'!$O$10:$X$639,,9))))</f>
        <v/>
      </c>
      <c r="AB329" s="5064"/>
      <c r="AC329" s="5065"/>
      <c r="AD329" s="5065"/>
      <c r="AE329" s="5065"/>
      <c r="AF329" s="5065"/>
      <c r="AG329" s="2863" t="str">
        <f>IF(OR(AB323="",AB329=""),"",MAX(1,SUMPRODUCT(--(INDEX('Tablas Técnicas'!$O$10:$X$639,,1)=AB323),--(INDEX('Tablas Técnicas'!$O$10:$X$639,,2)=AB329),INDEX('Tablas Técnicas'!$O$10:$X$639,,9))))</f>
        <v/>
      </c>
      <c r="AH329" s="2821">
        <f>P310</f>
        <v>1</v>
      </c>
      <c r="AI329" s="3030"/>
      <c r="AJ329" s="2816" t="str">
        <f>IF(V312="","",IF(SUM(V314:V318)=0,"",V312&amp;" "&amp;SUM(V314:V318)+V321&amp;IF(SUM(W314)=0,""," ("&amp;SUM(W314)&amp;")")&amp;", "))</f>
        <v/>
      </c>
      <c r="AK329" s="2816" t="str">
        <f>IF(X312="","",IF(SUM(X314:X318)=0,"",X312&amp;" "&amp;SUM(X314:X318)+X321&amp;IF(SUM(Y314)=0,""," ("&amp;SUM(Y314)&amp;")")&amp;", "))</f>
        <v/>
      </c>
      <c r="AL329" s="2816" t="str">
        <f>IF(Z312="","",IF(SUM(Z314:Z318)=0,"",Z312&amp;" "&amp;SUM(Z314:Z318)+Z321&amp;IF(SUM(AA314)=0,""," ("&amp;SUM(AA314)&amp;")")&amp;", "))</f>
        <v/>
      </c>
      <c r="AM329" s="2816" t="str">
        <f>IF(AB312="","",IF(SUM(AB314:AB318)=0,"",AB312&amp;" "&amp;SUM(AB314:AB318)+AB321&amp;IF(SUM(AC314)=0,""," ("&amp;SUM(AC314)&amp;")")&amp;", "))</f>
        <v/>
      </c>
      <c r="AN329" s="2816" t="str">
        <f>IF(AD312="","",IF(SUM(AD314:AD318)=0,"",AD312&amp;" "&amp;SUM(AD314:AD318)+AD321&amp;IF(SUM(AE314)=0,""," ("&amp;SUM(AE314)&amp;")")&amp;", "))</f>
        <v/>
      </c>
      <c r="AO329" s="2816" t="str">
        <f>IF(AF312="","",IF(SUM(AF314:AF318)=0,"",AF312&amp;" "&amp;SUM(AF314:AF318)+AF321&amp;IF(SUM(AG314)=0,""," ("&amp;SUM(AG314)&amp;")")&amp;", "))</f>
        <v/>
      </c>
      <c r="AQ329" s="2816"/>
      <c r="AR329" s="2816"/>
      <c r="AS329" s="2816"/>
      <c r="AT329" s="2816"/>
      <c r="AU329" s="2816"/>
      <c r="AV329" s="3035"/>
      <c r="AW329" s="3035"/>
      <c r="AX329" s="3035"/>
      <c r="AZ329" s="3035"/>
      <c r="BA329" s="3035"/>
      <c r="BB329" s="2816"/>
      <c r="BC329" s="2816"/>
    </row>
    <row r="330" spans="1:55" x14ac:dyDescent="0.2">
      <c r="A330" s="3030"/>
      <c r="B330" s="3070">
        <f t="shared" si="35"/>
        <v>10</v>
      </c>
      <c r="C330" s="5106"/>
      <c r="D330" s="5064"/>
      <c r="E330" s="5065"/>
      <c r="F330" s="5065"/>
      <c r="G330" s="5065"/>
      <c r="H330" s="5065"/>
      <c r="I330" s="2862" t="str">
        <f>IF(OR(D323="",D330=""),"",MAX(1,SUMPRODUCT(--(INDEX('Tablas Técnicas'!$O$10:$X$639,,1)=D323),--(INDEX('Tablas Técnicas'!$O$10:$X$639,,2)=D330),INDEX('Tablas Técnicas'!$O$10:$X$639,,9))))</f>
        <v/>
      </c>
      <c r="J330" s="5065"/>
      <c r="K330" s="5065"/>
      <c r="L330" s="5065"/>
      <c r="M330" s="5065"/>
      <c r="N330" s="5065"/>
      <c r="O330" s="2862" t="str">
        <f>IF(OR(J323="",J330=""),"",MAX(1,SUMPRODUCT(--(INDEX('Tablas Técnicas'!$O$10:$X$639,,1)=J323),--(INDEX('Tablas Técnicas'!$O$10:$X$639,,2)=J330),INDEX('Tablas Técnicas'!$O$10:$X$639,,9))))</f>
        <v/>
      </c>
      <c r="P330" s="5064"/>
      <c r="Q330" s="5065"/>
      <c r="R330" s="5065"/>
      <c r="S330" s="5065"/>
      <c r="T330" s="5065"/>
      <c r="U330" s="2862" t="str">
        <f>IF(OR(P323="",P330=""),"",MAX(1,SUMPRODUCT(--(INDEX('Tablas Técnicas'!$O$10:$X$639,,1)=P323),--(INDEX('Tablas Técnicas'!$O$10:$X$639,,2)=P330),INDEX('Tablas Técnicas'!$O$10:$X$639,,9))))</f>
        <v/>
      </c>
      <c r="V330" s="5064"/>
      <c r="W330" s="5065"/>
      <c r="X330" s="5065"/>
      <c r="Y330" s="5065"/>
      <c r="Z330" s="5065"/>
      <c r="AA330" s="2862" t="str">
        <f>IF(OR(V323="",V330=""),"",MAX(1,SUMPRODUCT(--(INDEX('Tablas Técnicas'!$O$10:$X$639,,1)=V323),--(INDEX('Tablas Técnicas'!$O$10:$X$639,,2)=V330),INDEX('Tablas Técnicas'!$O$10:$X$639,,9))))</f>
        <v/>
      </c>
      <c r="AB330" s="5064"/>
      <c r="AC330" s="5065"/>
      <c r="AD330" s="5065"/>
      <c r="AE330" s="5065"/>
      <c r="AF330" s="5065"/>
      <c r="AG330" s="2863" t="str">
        <f>IF(OR(AB323="",AB330=""),"",MAX(1,SUMPRODUCT(--(INDEX('Tablas Técnicas'!$O$10:$X$639,,1)=AB323),--(INDEX('Tablas Técnicas'!$O$10:$X$639,,2)=AB330),INDEX('Tablas Técnicas'!$O$10:$X$639,,9))))</f>
        <v/>
      </c>
      <c r="AH330" s="2821">
        <f>P310</f>
        <v>1</v>
      </c>
      <c r="AI330" s="3030"/>
      <c r="AJ330" s="2816" t="s">
        <v>10242</v>
      </c>
      <c r="AL330" s="2816">
        <f t="array" ref="AL330">MAX(0,SUM(VALUE(RIGHT(O314:O318,2)))+ABS($AC320*2/5))+IF(AM337,Y320,0)+IF(S310="Si",3*P310,0)</f>
        <v>0</v>
      </c>
      <c r="AM330" s="2816">
        <f t="array" ref="AM330">IF(ISNUMBER(SEARCH("Mantenido",K314&amp;K315&amp;K316&amp;K317&amp;K318)),MAX(0,SUM(VALUE(RIGHT($P314:$P318,2)))),0)</f>
        <v>0</v>
      </c>
      <c r="AR330" s="3035"/>
      <c r="AT330" s="3035"/>
      <c r="AV330" s="3035"/>
      <c r="AW330" s="3035"/>
      <c r="AX330" s="3035"/>
      <c r="AZ330" s="3035"/>
      <c r="BA330" s="3035"/>
      <c r="BB330" s="2816"/>
      <c r="BC330" s="2816"/>
    </row>
    <row r="331" spans="1:55" x14ac:dyDescent="0.2">
      <c r="A331" s="3030"/>
      <c r="B331" s="3070">
        <f t="shared" si="35"/>
        <v>10</v>
      </c>
      <c r="C331" s="5106"/>
      <c r="D331" s="5064"/>
      <c r="E331" s="5065"/>
      <c r="F331" s="5065"/>
      <c r="G331" s="5065"/>
      <c r="H331" s="5065"/>
      <c r="I331" s="2862" t="str">
        <f>IF(OR(D323="",D331=""),"",MAX(1,SUMPRODUCT(--(INDEX('Tablas Técnicas'!$O$10:$X$639,,1)=D323),--(INDEX('Tablas Técnicas'!$O$10:$X$639,,2)=D331),INDEX('Tablas Técnicas'!$O$10:$X$639,,9))))</f>
        <v/>
      </c>
      <c r="J331" s="5065"/>
      <c r="K331" s="5065"/>
      <c r="L331" s="5065"/>
      <c r="M331" s="5065"/>
      <c r="N331" s="5065"/>
      <c r="O331" s="2862" t="str">
        <f>IF(OR(J323="",J331=""),"",MAX(1,SUMPRODUCT(--(INDEX('Tablas Técnicas'!$O$10:$X$639,,1)=J323),--(INDEX('Tablas Técnicas'!$O$10:$X$639,,2)=J331),INDEX('Tablas Técnicas'!$O$10:$X$639,,9))))</f>
        <v/>
      </c>
      <c r="P331" s="5064"/>
      <c r="Q331" s="5065"/>
      <c r="R331" s="5065"/>
      <c r="S331" s="5065"/>
      <c r="T331" s="5065"/>
      <c r="U331" s="2862" t="str">
        <f>IF(OR(P323="",P331=""),"",MAX(1,SUMPRODUCT(--(INDEX('Tablas Técnicas'!$O$10:$X$639,,1)=P323),--(INDEX('Tablas Técnicas'!$O$10:$X$639,,2)=P331),INDEX('Tablas Técnicas'!$O$10:$X$639,,9))))</f>
        <v/>
      </c>
      <c r="V331" s="5064"/>
      <c r="W331" s="5065"/>
      <c r="X331" s="5065"/>
      <c r="Y331" s="5065"/>
      <c r="Z331" s="5065"/>
      <c r="AA331" s="2862" t="str">
        <f>IF(OR(V323="",V331=""),"",MAX(1,SUMPRODUCT(--(INDEX('Tablas Técnicas'!$O$10:$X$639,,1)=V323),--(INDEX('Tablas Técnicas'!$O$10:$X$639,,2)=V331),INDEX('Tablas Técnicas'!$O$10:$X$639,,9))))</f>
        <v/>
      </c>
      <c r="AB331" s="5064"/>
      <c r="AC331" s="5065"/>
      <c r="AD331" s="5065"/>
      <c r="AE331" s="5065"/>
      <c r="AF331" s="5065"/>
      <c r="AG331" s="2863" t="str">
        <f>IF(OR(AB323="",AB331=""),"",MAX(1,SUMPRODUCT(--(INDEX('Tablas Técnicas'!$O$10:$X$639,,1)=AB323),--(INDEX('Tablas Técnicas'!$O$10:$X$639,,2)=AB331),INDEX('Tablas Técnicas'!$O$10:$X$639,,9))))</f>
        <v/>
      </c>
      <c r="AH331" s="2821">
        <f>P310</f>
        <v>1</v>
      </c>
      <c r="AI331" s="3030"/>
      <c r="AJ331" s="2816" t="s">
        <v>9668</v>
      </c>
      <c r="AL331" s="2816">
        <f>SUM(V314:V318,X314:X318,Z314:Z318,AB314:AB318,AD314:AD318,AF314:AF318)+SUM(V321:AG321)</f>
        <v>0</v>
      </c>
      <c r="AM331" s="2816">
        <f>SUM(W314:W318,Y314:Y318,AA314:AA318,AC314:AC318,AE314:AE318,AG314:AG318)</f>
        <v>0</v>
      </c>
      <c r="AR331" s="3035"/>
      <c r="AT331" s="3035"/>
      <c r="AV331" s="3035"/>
      <c r="AW331" s="3035"/>
      <c r="AX331" s="3035"/>
      <c r="AZ331" s="3035"/>
      <c r="BA331" s="3035"/>
      <c r="BB331" s="2816"/>
      <c r="BC331" s="2816"/>
    </row>
    <row r="332" spans="1:55" x14ac:dyDescent="0.2">
      <c r="A332" s="3030"/>
      <c r="B332" s="3070">
        <f t="shared" si="35"/>
        <v>10</v>
      </c>
      <c r="C332" s="5106"/>
      <c r="D332" s="5064"/>
      <c r="E332" s="5065"/>
      <c r="F332" s="5065"/>
      <c r="G332" s="5065"/>
      <c r="H332" s="5065"/>
      <c r="I332" s="2862" t="str">
        <f>IF(OR(D323="",D332=""),"",MAX(1,SUMPRODUCT(--(INDEX('Tablas Técnicas'!$O$10:$X$639,,1)=D323),--(INDEX('Tablas Técnicas'!$O$10:$X$639,,2)=D332),INDEX('Tablas Técnicas'!$O$10:$X$639,,9))))</f>
        <v/>
      </c>
      <c r="J332" s="5065"/>
      <c r="K332" s="5065"/>
      <c r="L332" s="5065"/>
      <c r="M332" s="5065"/>
      <c r="N332" s="5065"/>
      <c r="O332" s="2862" t="str">
        <f>IF(OR(J323="",J332=""),"",MAX(1,SUMPRODUCT(--(INDEX('Tablas Técnicas'!$O$10:$X$639,,1)=J323),--(INDEX('Tablas Técnicas'!$O$10:$X$639,,2)=J332),INDEX('Tablas Técnicas'!$O$10:$X$639,,9))))</f>
        <v/>
      </c>
      <c r="P332" s="5064"/>
      <c r="Q332" s="5065"/>
      <c r="R332" s="5065"/>
      <c r="S332" s="5065"/>
      <c r="T332" s="5065"/>
      <c r="U332" s="2862" t="str">
        <f>IF(OR(P323="",P332=""),"",MAX(1,SUMPRODUCT(--(INDEX('Tablas Técnicas'!$O$10:$X$639,,1)=P323),--(INDEX('Tablas Técnicas'!$O$10:$X$639,,2)=P332),INDEX('Tablas Técnicas'!$O$10:$X$639,,9))))</f>
        <v/>
      </c>
      <c r="V332" s="5064"/>
      <c r="W332" s="5065"/>
      <c r="X332" s="5065"/>
      <c r="Y332" s="5065"/>
      <c r="Z332" s="5065"/>
      <c r="AA332" s="2862" t="str">
        <f>IF(OR(V323="",V332=""),"",MAX(1,SUMPRODUCT(--(INDEX('Tablas Técnicas'!$O$10:$X$639,,1)=V323),--(INDEX('Tablas Técnicas'!$O$10:$X$639,,2)=V332),INDEX('Tablas Técnicas'!$O$10:$X$639,,9))))</f>
        <v/>
      </c>
      <c r="AB332" s="5064"/>
      <c r="AC332" s="5065"/>
      <c r="AD332" s="5065"/>
      <c r="AE332" s="5065"/>
      <c r="AF332" s="5065"/>
      <c r="AG332" s="2863" t="str">
        <f>IF(OR(AB323="",AB332=""),"",MAX(1,SUMPRODUCT(--(INDEX('Tablas Técnicas'!$O$10:$X$639,,1)=AB323),--(INDEX('Tablas Técnicas'!$O$10:$X$639,,2)=AB332),INDEX('Tablas Técnicas'!$O$10:$X$639,,9))))</f>
        <v/>
      </c>
      <c r="AH332" s="2821">
        <f>P310</f>
        <v>1</v>
      </c>
      <c r="AI332" s="3030"/>
      <c r="AR332" s="3035"/>
      <c r="AT332" s="3035"/>
      <c r="AV332" s="3035"/>
      <c r="AW332" s="3035"/>
      <c r="AX332" s="3035"/>
      <c r="AZ332" s="3035"/>
      <c r="BA332" s="3035"/>
      <c r="BB332" s="2816"/>
      <c r="BC332" s="2816"/>
    </row>
    <row r="333" spans="1:55" x14ac:dyDescent="0.2">
      <c r="A333" s="3030"/>
      <c r="B333" s="3070">
        <f t="shared" si="35"/>
        <v>10</v>
      </c>
      <c r="C333" s="5106"/>
      <c r="D333" s="5079"/>
      <c r="E333" s="5080"/>
      <c r="F333" s="5080"/>
      <c r="G333" s="5080"/>
      <c r="H333" s="5080"/>
      <c r="I333" s="2864" t="str">
        <f>IF(OR(D323="",D333=""),"",MAX(1,SUMPRODUCT(--(INDEX('Tablas Técnicas'!$O$10:$X$639,,1)=D323),--(INDEX('Tablas Técnicas'!$O$10:$X$639,,2)=D333),INDEX('Tablas Técnicas'!$O$10:$X$639,,9))))</f>
        <v/>
      </c>
      <c r="J333" s="5080"/>
      <c r="K333" s="5080"/>
      <c r="L333" s="5080"/>
      <c r="M333" s="5080"/>
      <c r="N333" s="5080"/>
      <c r="O333" s="2864" t="str">
        <f>IF(OR(J323="",J333=""),"",MAX(1,SUMPRODUCT(--(INDEX('Tablas Técnicas'!$O$10:$X$639,,1)=J323),--(INDEX('Tablas Técnicas'!$O$10:$X$639,,2)=J333),INDEX('Tablas Técnicas'!$O$10:$X$639,,9))))</f>
        <v/>
      </c>
      <c r="P333" s="5079"/>
      <c r="Q333" s="5080"/>
      <c r="R333" s="5080"/>
      <c r="S333" s="5080"/>
      <c r="T333" s="5080"/>
      <c r="U333" s="2864" t="str">
        <f>IF(OR(P323="",P333=""),"",MAX(1,SUMPRODUCT(--(INDEX('Tablas Técnicas'!$O$10:$X$639,,1)=P323),--(INDEX('Tablas Técnicas'!$O$10:$X$639,,2)=P333),INDEX('Tablas Técnicas'!$O$10:$X$639,,9))))</f>
        <v/>
      </c>
      <c r="V333" s="5079"/>
      <c r="W333" s="5080"/>
      <c r="X333" s="5080"/>
      <c r="Y333" s="5080"/>
      <c r="Z333" s="5080"/>
      <c r="AA333" s="2864" t="str">
        <f>IF(OR(V323="",V333=""),"",MAX(1,SUMPRODUCT(--(INDEX('Tablas Técnicas'!$O$10:$X$639,,1)=V323),--(INDEX('Tablas Técnicas'!$O$10:$X$639,,2)=V333),INDEX('Tablas Técnicas'!$O$10:$X$639,,9))))</f>
        <v/>
      </c>
      <c r="AB333" s="5079"/>
      <c r="AC333" s="5080"/>
      <c r="AD333" s="5080"/>
      <c r="AE333" s="5080"/>
      <c r="AF333" s="5080"/>
      <c r="AG333" s="2865" t="str">
        <f>IF(OR(AB323="",AB333=""),"",MAX(1,SUMPRODUCT(--(INDEX('Tablas Técnicas'!$O$10:$X$639,,1)=AB323),--(INDEX('Tablas Técnicas'!$O$10:$X$639,,2)=AB333),INDEX('Tablas Técnicas'!$O$10:$X$639,,9))))</f>
        <v/>
      </c>
      <c r="AH333" s="2821">
        <f>P310</f>
        <v>1</v>
      </c>
      <c r="AI333" s="3030"/>
      <c r="AJ333" s="2816" t="s">
        <v>9669</v>
      </c>
      <c r="AN333" s="2817" t="s">
        <v>10256</v>
      </c>
      <c r="AO333" s="2816" t="s">
        <v>10255</v>
      </c>
      <c r="AQ333" s="2816"/>
      <c r="AR333" s="2816" t="b">
        <f>AND(D314="Primario",COUNTIF(D314:E318,"Primario")&gt;1)</f>
        <v>0</v>
      </c>
      <c r="AS333" s="2816"/>
      <c r="AT333" s="3035"/>
      <c r="AV333" s="3035"/>
      <c r="AW333" s="3035"/>
      <c r="AX333" s="3035"/>
      <c r="AZ333" s="3035"/>
      <c r="BA333" s="3035"/>
      <c r="BB333" s="2816"/>
      <c r="BC333" s="2816"/>
    </row>
    <row r="334" spans="1:55" x14ac:dyDescent="0.2">
      <c r="A334" s="3030"/>
      <c r="B334" s="3070">
        <f t="shared" si="35"/>
        <v>10</v>
      </c>
      <c r="C334" s="5106"/>
      <c r="D334" s="5069" t="s">
        <v>1824</v>
      </c>
      <c r="E334" s="5070"/>
      <c r="F334" s="5070"/>
      <c r="G334" s="5070"/>
      <c r="H334" s="5070"/>
      <c r="I334" s="5070"/>
      <c r="J334" s="5070"/>
      <c r="K334" s="5070"/>
      <c r="L334" s="5070"/>
      <c r="M334" s="5070"/>
      <c r="N334" s="5070"/>
      <c r="O334" s="5070"/>
      <c r="P334" s="5070"/>
      <c r="Q334" s="5070"/>
      <c r="R334" s="5070"/>
      <c r="S334" s="5070"/>
      <c r="T334" s="5070"/>
      <c r="U334" s="5070"/>
      <c r="V334" s="5070"/>
      <c r="W334" s="5070"/>
      <c r="X334" s="5070"/>
      <c r="Y334" s="5070"/>
      <c r="Z334" s="5070"/>
      <c r="AA334" s="5070"/>
      <c r="AB334" s="5070"/>
      <c r="AC334" s="5070"/>
      <c r="AD334" s="5070"/>
      <c r="AE334" s="5070"/>
      <c r="AF334" s="5070"/>
      <c r="AG334" s="5071"/>
      <c r="AH334" s="2821"/>
      <c r="AI334" s="3030"/>
      <c r="AJ334" s="2816" t="s">
        <v>9670</v>
      </c>
      <c r="AM334" s="2816" t="b">
        <f t="array" ref="AM334">MAX(I327:I333,O327:O333,U327:U333,AA327:AA333,AG327:AG333,RIGHT(S319:S321,1))&gt;P310</f>
        <v>0</v>
      </c>
      <c r="AN334" s="2817" t="s">
        <v>10257</v>
      </c>
      <c r="AO334" s="2816" t="s">
        <v>10255</v>
      </c>
      <c r="AR334" s="2816" t="b">
        <f>AND(D315="Primario",COUNTIF(D314:E318,"Primario")&gt;1)</f>
        <v>0</v>
      </c>
      <c r="AS334" s="2816"/>
      <c r="AT334" s="3035"/>
      <c r="AV334" s="3035"/>
      <c r="AW334" s="3035"/>
      <c r="AX334" s="3035"/>
      <c r="AZ334" s="3035"/>
      <c r="BA334" s="3035"/>
      <c r="BB334" s="2816" t="str">
        <f>$F318&amp;INDEX($D327:$AG333,Tablas!E$1,1+6*(Tablas!$A$4-1))</f>
        <v/>
      </c>
      <c r="BC334" s="2816" t="str">
        <f>$F318&amp;INDEX($D327:$AG333,Tablas!F$1,1+6*(Tablas!$A$4-1))</f>
        <v/>
      </c>
    </row>
    <row r="335" spans="1:55" x14ac:dyDescent="0.2">
      <c r="A335" s="3030"/>
      <c r="B335" s="3070">
        <f t="shared" si="35"/>
        <v>10</v>
      </c>
      <c r="C335" s="5106"/>
      <c r="D335" s="5072"/>
      <c r="E335" s="5073"/>
      <c r="F335" s="5073"/>
      <c r="G335" s="5073"/>
      <c r="H335" s="5073"/>
      <c r="I335" s="5073"/>
      <c r="J335" s="5073"/>
      <c r="K335" s="5073"/>
      <c r="L335" s="5073"/>
      <c r="M335" s="5073"/>
      <c r="N335" s="5073"/>
      <c r="O335" s="5073"/>
      <c r="P335" s="5073"/>
      <c r="Q335" s="5073"/>
      <c r="R335" s="5073"/>
      <c r="S335" s="5073"/>
      <c r="T335" s="5073"/>
      <c r="U335" s="5073"/>
      <c r="V335" s="5073"/>
      <c r="W335" s="5073"/>
      <c r="X335" s="5073"/>
      <c r="Y335" s="5073"/>
      <c r="Z335" s="5073"/>
      <c r="AA335" s="5073"/>
      <c r="AB335" s="5073"/>
      <c r="AC335" s="5073"/>
      <c r="AD335" s="5073"/>
      <c r="AE335" s="5073"/>
      <c r="AF335" s="5073"/>
      <c r="AG335" s="5074"/>
      <c r="AH335" s="2821"/>
      <c r="AI335" s="3030"/>
      <c r="AJ335" s="2816" t="s">
        <v>10243</v>
      </c>
      <c r="AM335" s="2816" t="b">
        <f>NOT(AND(AW314:AW318))</f>
        <v>0</v>
      </c>
      <c r="AN335" s="2817" t="s">
        <v>10258</v>
      </c>
      <c r="AO335" s="2816" t="s">
        <v>10255</v>
      </c>
      <c r="AR335" s="2816" t="b">
        <f>AND(D316="Primario",COUNTIF(D314:E318,"Primario")&gt;1)</f>
        <v>0</v>
      </c>
      <c r="AS335" s="2816"/>
      <c r="AT335" s="3035"/>
      <c r="AV335" s="3035"/>
      <c r="AW335" s="3035"/>
      <c r="AX335" s="3035"/>
      <c r="AZ335" s="3035"/>
      <c r="BA335" s="3035"/>
      <c r="BB335" s="2816"/>
      <c r="BC335" s="2816"/>
    </row>
    <row r="336" spans="1:55" x14ac:dyDescent="0.2">
      <c r="A336" s="3030"/>
      <c r="B336" s="3070">
        <f t="shared" si="35"/>
        <v>10</v>
      </c>
      <c r="C336" s="5106"/>
      <c r="D336" s="5072"/>
      <c r="E336" s="5073"/>
      <c r="F336" s="5073"/>
      <c r="G336" s="5073"/>
      <c r="H336" s="5073"/>
      <c r="I336" s="5073"/>
      <c r="J336" s="5073"/>
      <c r="K336" s="5073"/>
      <c r="L336" s="5073"/>
      <c r="M336" s="5073"/>
      <c r="N336" s="5073"/>
      <c r="O336" s="5073"/>
      <c r="P336" s="5073"/>
      <c r="Q336" s="5073"/>
      <c r="R336" s="5073"/>
      <c r="S336" s="5073"/>
      <c r="T336" s="5073"/>
      <c r="U336" s="5073"/>
      <c r="V336" s="5073"/>
      <c r="W336" s="5073"/>
      <c r="X336" s="5073"/>
      <c r="Y336" s="5073"/>
      <c r="Z336" s="5073"/>
      <c r="AA336" s="5073"/>
      <c r="AB336" s="5073"/>
      <c r="AC336" s="5073"/>
      <c r="AD336" s="5073"/>
      <c r="AE336" s="5073"/>
      <c r="AF336" s="5073"/>
      <c r="AG336" s="5074"/>
      <c r="AH336" s="2821"/>
      <c r="AI336" s="3030"/>
      <c r="AJ336" s="2816" t="s">
        <v>10244</v>
      </c>
      <c r="AM336" s="2816" t="b">
        <f>AL330-AL331+AM330-AM331&lt;&gt;0</f>
        <v>0</v>
      </c>
      <c r="AN336" s="2817" t="s">
        <v>10259</v>
      </c>
      <c r="AO336" s="2816" t="s">
        <v>10255</v>
      </c>
      <c r="AR336" s="2816" t="b">
        <f>AND(D317="Primario",COUNTIF(D314:E318,"Primario")&gt;1)</f>
        <v>0</v>
      </c>
      <c r="AS336" s="2816"/>
      <c r="AT336" s="3035"/>
      <c r="AV336" s="3035"/>
      <c r="AW336" s="3035"/>
      <c r="AX336" s="3035"/>
      <c r="AZ336" s="3035"/>
      <c r="BA336" s="3035"/>
      <c r="BB336" s="2816"/>
      <c r="BC336" s="2816"/>
    </row>
    <row r="337" spans="1:55" x14ac:dyDescent="0.2">
      <c r="A337" s="3030"/>
      <c r="B337" s="3070">
        <f t="shared" si="35"/>
        <v>10</v>
      </c>
      <c r="C337" s="5106"/>
      <c r="D337" s="5072"/>
      <c r="E337" s="5073"/>
      <c r="F337" s="5073"/>
      <c r="G337" s="5073"/>
      <c r="H337" s="5073"/>
      <c r="I337" s="5073"/>
      <c r="J337" s="5073"/>
      <c r="K337" s="5073"/>
      <c r="L337" s="5073"/>
      <c r="M337" s="5073"/>
      <c r="N337" s="5073"/>
      <c r="O337" s="5073"/>
      <c r="P337" s="5073"/>
      <c r="Q337" s="5073"/>
      <c r="R337" s="5073"/>
      <c r="S337" s="5073"/>
      <c r="T337" s="5073"/>
      <c r="U337" s="5073"/>
      <c r="V337" s="5073"/>
      <c r="W337" s="5073"/>
      <c r="X337" s="5073"/>
      <c r="Y337" s="5073"/>
      <c r="Z337" s="5073"/>
      <c r="AA337" s="5073"/>
      <c r="AB337" s="5073"/>
      <c r="AC337" s="5073"/>
      <c r="AD337" s="5073"/>
      <c r="AE337" s="5073"/>
      <c r="AF337" s="5073"/>
      <c r="AG337" s="5074"/>
      <c r="AH337" s="2821"/>
      <c r="AI337" s="3030"/>
      <c r="AJ337" s="2816" t="s">
        <v>10247</v>
      </c>
      <c r="AM337" s="2816" t="b">
        <f>(IF(SUM(V314:V318)&gt;0,1,0)+IF(SUM(X314:X318)&gt;0,1,0)+IF(SUM(Z314:Z318)&gt;0,1,0)+IF(SUM(AB314:AB318)&gt;0,1,0)+IF(SUM(AD314:AD318,)&gt;0,1,0)+IF(SUM(AF314:AF318)&gt;0,1,0))&lt;3</f>
        <v>1</v>
      </c>
      <c r="AN337" s="2817" t="s">
        <v>10260</v>
      </c>
      <c r="AO337" s="2816" t="s">
        <v>10255</v>
      </c>
      <c r="AQ337" s="2816"/>
      <c r="AR337" s="2816" t="b">
        <f>AND(D318="Primario",COUNTIF(D314:E318,"Primario")&gt;1)</f>
        <v>0</v>
      </c>
      <c r="AS337" s="2816"/>
      <c r="AT337" s="3035"/>
      <c r="AV337" s="3035"/>
      <c r="AW337" s="3035"/>
      <c r="AX337" s="3035"/>
      <c r="AZ337" s="3035"/>
      <c r="BA337" s="3035"/>
      <c r="BB337" s="2816"/>
      <c r="BC337" s="2816"/>
    </row>
    <row r="338" spans="1:55" x14ac:dyDescent="0.2">
      <c r="A338" s="3030"/>
      <c r="B338" s="3070">
        <f t="shared" si="35"/>
        <v>10</v>
      </c>
      <c r="C338" s="5106"/>
      <c r="D338" s="5072"/>
      <c r="E338" s="5073"/>
      <c r="F338" s="5073"/>
      <c r="G338" s="5073"/>
      <c r="H338" s="5073"/>
      <c r="I338" s="5073"/>
      <c r="J338" s="5073"/>
      <c r="K338" s="5073"/>
      <c r="L338" s="5073"/>
      <c r="M338" s="5073"/>
      <c r="N338" s="5073"/>
      <c r="O338" s="5073"/>
      <c r="P338" s="5073"/>
      <c r="Q338" s="5073"/>
      <c r="R338" s="5073"/>
      <c r="S338" s="5073"/>
      <c r="T338" s="5073"/>
      <c r="U338" s="5073"/>
      <c r="V338" s="5073"/>
      <c r="W338" s="5073"/>
      <c r="X338" s="5073"/>
      <c r="Y338" s="5073"/>
      <c r="Z338" s="5073"/>
      <c r="AA338" s="5073"/>
      <c r="AB338" s="5073"/>
      <c r="AC338" s="5073"/>
      <c r="AD338" s="5073"/>
      <c r="AE338" s="5073"/>
      <c r="AF338" s="5073"/>
      <c r="AG338" s="5074"/>
      <c r="AH338" s="2821"/>
      <c r="AI338" s="3030"/>
      <c r="AJ338" s="2816" t="s">
        <v>10246</v>
      </c>
      <c r="AM338" s="2816" t="b">
        <f>SUM(V321:AG321)&lt;&gt;Y320+ABS(AC320)*2/5+IF(S310="Si",3*P310,0)</f>
        <v>0</v>
      </c>
      <c r="AQ338" s="2816"/>
      <c r="AR338" s="2817"/>
      <c r="AS338" s="2817"/>
      <c r="AT338" s="3035"/>
      <c r="AV338" s="3035"/>
      <c r="AW338" s="2816"/>
      <c r="AX338" s="2816"/>
      <c r="AY338" s="2816"/>
      <c r="AZ338" s="2816"/>
      <c r="BA338" s="2816"/>
      <c r="BB338" s="2816"/>
      <c r="BC338" s="2817"/>
    </row>
    <row r="339" spans="1:55" x14ac:dyDescent="0.2">
      <c r="A339" s="3030"/>
      <c r="B339" s="3070">
        <f t="shared" si="35"/>
        <v>10</v>
      </c>
      <c r="C339" s="5106"/>
      <c r="D339" s="5072"/>
      <c r="E339" s="5073"/>
      <c r="F339" s="5073"/>
      <c r="G339" s="5073"/>
      <c r="H339" s="5073"/>
      <c r="I339" s="5073"/>
      <c r="J339" s="5073"/>
      <c r="K339" s="5073"/>
      <c r="L339" s="5073"/>
      <c r="M339" s="5073"/>
      <c r="N339" s="5073"/>
      <c r="O339" s="5073"/>
      <c r="P339" s="5073"/>
      <c r="Q339" s="5073"/>
      <c r="R339" s="5073"/>
      <c r="S339" s="5073"/>
      <c r="T339" s="5073"/>
      <c r="U339" s="5073"/>
      <c r="V339" s="5073"/>
      <c r="W339" s="5073"/>
      <c r="X339" s="5073"/>
      <c r="Y339" s="5073"/>
      <c r="Z339" s="5073"/>
      <c r="AA339" s="5073"/>
      <c r="AB339" s="5073"/>
      <c r="AC339" s="5073"/>
      <c r="AD339" s="5073"/>
      <c r="AE339" s="5073"/>
      <c r="AF339" s="5073"/>
      <c r="AG339" s="5074"/>
      <c r="AH339" s="2821"/>
      <c r="AI339" s="3030"/>
      <c r="AQ339" s="2816"/>
      <c r="AR339" s="2817"/>
      <c r="AS339" s="2817"/>
      <c r="AT339" s="3035"/>
      <c r="AV339" s="3035"/>
      <c r="AW339" s="2816"/>
      <c r="AX339" s="3035"/>
      <c r="AZ339" s="3035"/>
      <c r="BA339" s="3035"/>
      <c r="BB339" s="3035"/>
      <c r="BC339" s="2816"/>
    </row>
    <row r="340" spans="1:55" ht="12" thickBot="1" x14ac:dyDescent="0.25">
      <c r="A340" s="3030"/>
      <c r="B340" s="3070">
        <f t="shared" si="35"/>
        <v>10</v>
      </c>
      <c r="C340" s="5107"/>
      <c r="D340" s="5075"/>
      <c r="E340" s="5076"/>
      <c r="F340" s="5076"/>
      <c r="G340" s="5076"/>
      <c r="H340" s="5076"/>
      <c r="I340" s="5076"/>
      <c r="J340" s="5076"/>
      <c r="K340" s="5076"/>
      <c r="L340" s="5076"/>
      <c r="M340" s="5076"/>
      <c r="N340" s="5076"/>
      <c r="O340" s="5076"/>
      <c r="P340" s="5076"/>
      <c r="Q340" s="5076"/>
      <c r="R340" s="5076"/>
      <c r="S340" s="5076"/>
      <c r="T340" s="5076"/>
      <c r="U340" s="5076"/>
      <c r="V340" s="5076"/>
      <c r="W340" s="5076"/>
      <c r="X340" s="5076"/>
      <c r="Y340" s="5076"/>
      <c r="Z340" s="5076"/>
      <c r="AA340" s="5076"/>
      <c r="AB340" s="5076"/>
      <c r="AC340" s="5076"/>
      <c r="AD340" s="5076"/>
      <c r="AE340" s="5076"/>
      <c r="AF340" s="5076"/>
      <c r="AG340" s="5077"/>
      <c r="AH340" s="2821"/>
      <c r="AI340" s="3030"/>
      <c r="AQ340" s="2816"/>
      <c r="AR340" s="2817"/>
      <c r="AS340" s="2817"/>
      <c r="AT340" s="3035"/>
      <c r="AV340" s="3035"/>
      <c r="AW340" s="2816"/>
      <c r="AX340" s="3035"/>
      <c r="AZ340" s="2816"/>
      <c r="BA340" s="2816"/>
      <c r="BB340" s="2816"/>
      <c r="BC340" s="2816"/>
    </row>
    <row r="341" spans="1:55" x14ac:dyDescent="0.2">
      <c r="A341" s="3030"/>
      <c r="B341" s="3070"/>
      <c r="C341" s="5092"/>
      <c r="D341" s="5092" t="str">
        <f>IFERROR(VLOOKUP(D323,'Tablas Técnicas'!$C$9:$H$81,2,FALSE),"")</f>
        <v/>
      </c>
      <c r="E341" s="5092"/>
      <c r="F341" s="5092"/>
      <c r="G341" s="5092"/>
      <c r="H341" s="5092"/>
      <c r="I341" s="5092"/>
      <c r="J341" s="5078" t="str">
        <f>IFERROR(VLOOKUP(J323,'Tablas Técnicas'!$C$9:$H$81,2,FALSE),"")</f>
        <v/>
      </c>
      <c r="K341" s="5078"/>
      <c r="L341" s="5078"/>
      <c r="M341" s="5078"/>
      <c r="N341" s="5078"/>
      <c r="O341" s="5078"/>
      <c r="P341" s="5078" t="str">
        <f>IFERROR(VLOOKUP(P323,'Tablas Técnicas'!$C$9:$H$81,2,FALSE),"")</f>
        <v/>
      </c>
      <c r="Q341" s="5078"/>
      <c r="R341" s="5078"/>
      <c r="S341" s="5078"/>
      <c r="T341" s="5078"/>
      <c r="U341" s="5078"/>
      <c r="V341" s="5078" t="str">
        <f>IFERROR(VLOOKUP(V323,'Tablas Técnicas'!$C$9:$H$81,2,FALSE),"")</f>
        <v/>
      </c>
      <c r="W341" s="5078"/>
      <c r="X341" s="5078"/>
      <c r="Y341" s="5078"/>
      <c r="Z341" s="5078"/>
      <c r="AA341" s="5078"/>
      <c r="AB341" s="5078" t="str">
        <f>IFERROR(VLOOKUP(AB323,'Tablas Técnicas'!$C$9:$H$81,2,FALSE),"")</f>
        <v/>
      </c>
      <c r="AC341" s="5078"/>
      <c r="AD341" s="5078"/>
      <c r="AE341" s="5078"/>
      <c r="AF341" s="5078"/>
      <c r="AG341" s="5078"/>
      <c r="AH341" s="2821"/>
      <c r="AI341" s="3030"/>
      <c r="AQ341" s="2816"/>
      <c r="AR341" s="2817"/>
      <c r="AS341" s="2817"/>
      <c r="AT341" s="3023"/>
      <c r="AV341" s="3023"/>
      <c r="AW341" s="3023"/>
      <c r="AX341" s="3023"/>
      <c r="AZ341" s="3023"/>
      <c r="BA341" s="3023"/>
      <c r="BB341" s="3023"/>
      <c r="BC341" s="3023"/>
    </row>
    <row r="342" spans="1:55" ht="12" thickBot="1" x14ac:dyDescent="0.25">
      <c r="A342" s="3030"/>
      <c r="B342" s="3071"/>
      <c r="C342" s="5207"/>
      <c r="D342" s="3055"/>
      <c r="E342" s="3027"/>
      <c r="F342" s="3027"/>
      <c r="G342" s="3027"/>
      <c r="H342" s="3027"/>
      <c r="I342" s="3027"/>
      <c r="J342" s="3027"/>
      <c r="K342" s="3027"/>
      <c r="L342" s="3027"/>
      <c r="M342" s="3027"/>
      <c r="N342" s="3027"/>
      <c r="O342" s="3027"/>
      <c r="P342" s="3027"/>
      <c r="Q342" s="3027"/>
      <c r="R342" s="3027"/>
      <c r="S342" s="3027"/>
      <c r="T342" s="3027"/>
      <c r="U342" s="3027"/>
      <c r="V342" s="3056"/>
      <c r="W342" s="3056"/>
      <c r="X342" s="3056"/>
      <c r="Y342" s="3056"/>
      <c r="Z342" s="3056"/>
      <c r="AA342" s="3056"/>
      <c r="AB342" s="3056"/>
      <c r="AC342" s="3056"/>
      <c r="AD342" s="3056"/>
      <c r="AE342" s="3056"/>
      <c r="AF342" s="3027"/>
      <c r="AG342" s="3027"/>
      <c r="AH342" s="2869"/>
      <c r="AI342" s="3030"/>
      <c r="AJ342" s="2870"/>
      <c r="AK342" s="2870"/>
      <c r="AL342" s="2870"/>
      <c r="AM342" s="2870"/>
      <c r="AN342" s="2870"/>
      <c r="AO342" s="2870"/>
      <c r="AR342" s="3023"/>
      <c r="AT342" s="3023"/>
      <c r="AV342" s="3023"/>
      <c r="AW342" s="3023"/>
      <c r="AX342" s="2867"/>
      <c r="AY342" s="2867"/>
      <c r="AZ342" s="2867"/>
      <c r="BA342" s="2867"/>
      <c r="BB342" s="2867"/>
      <c r="BC342" s="2868"/>
    </row>
    <row r="343" spans="1:55" x14ac:dyDescent="0.2">
      <c r="A343" s="3030"/>
      <c r="B343" s="3068"/>
      <c r="C343" s="3030"/>
      <c r="D343" s="2815"/>
      <c r="E343" s="3030"/>
      <c r="F343" s="3030"/>
      <c r="G343" s="3030"/>
      <c r="H343" s="3030"/>
      <c r="I343" s="3030"/>
      <c r="J343" s="3030"/>
      <c r="K343" s="3030"/>
      <c r="L343" s="3030"/>
      <c r="M343" s="3030"/>
      <c r="N343" s="3030"/>
      <c r="O343" s="3030"/>
      <c r="P343" s="3030"/>
      <c r="Q343" s="3030"/>
      <c r="R343" s="3030"/>
      <c r="S343" s="3030"/>
      <c r="T343" s="3030"/>
      <c r="U343" s="3030"/>
      <c r="V343" s="3030"/>
      <c r="W343" s="3030"/>
      <c r="X343" s="3030"/>
      <c r="Y343" s="3030"/>
      <c r="Z343" s="3030"/>
      <c r="AA343" s="3030"/>
      <c r="AB343" s="3030"/>
      <c r="AC343" s="3030"/>
      <c r="AD343" s="3030"/>
      <c r="AE343" s="3030"/>
      <c r="AF343" s="3030"/>
      <c r="AG343" s="3030"/>
      <c r="AH343" s="3030"/>
      <c r="AI343" s="3048"/>
    </row>
  </sheetData>
  <sheetProtection selectLockedCells="1"/>
  <protectedRanges>
    <protectedRange sqref="BE152" name="Poderes Ki_1"/>
    <protectedRange sqref="BE80:BE99 BE110:BE111 BE121:BE122 BE132:BE133 BE143:BE144 BE146 BE113 BE124 BE135 BE102 V45:AE45 AJ45:AO45 V78:AE78 AJ78:AO78 V111:AE111 AJ111:AO111 V144:AE144 AJ144:AO144 V177:AE177 AJ177:AO177 V210:AE210 AJ210:AO210 V243:AE243 AJ243:AO243 V276:AE276 AJ276:AO276 V309:AE309 AJ309:AO309 V342:AE342 AJ342:AO342" name="Técnicas_1_1"/>
  </protectedRanges>
  <mergeCells count="1203">
    <mergeCell ref="D323:I323"/>
    <mergeCell ref="J323:O323"/>
    <mergeCell ref="P323:U323"/>
    <mergeCell ref="D331:H331"/>
    <mergeCell ref="J331:N331"/>
    <mergeCell ref="P331:T331"/>
    <mergeCell ref="D332:H332"/>
    <mergeCell ref="J332:N332"/>
    <mergeCell ref="P332:T332"/>
    <mergeCell ref="D333:H333"/>
    <mergeCell ref="J333:N333"/>
    <mergeCell ref="P333:T333"/>
    <mergeCell ref="C341:C342"/>
    <mergeCell ref="D341:I341"/>
    <mergeCell ref="J341:O341"/>
    <mergeCell ref="P341:U341"/>
    <mergeCell ref="AD3:AG8"/>
    <mergeCell ref="K319:M319"/>
    <mergeCell ref="O319:P319"/>
    <mergeCell ref="Q319:R319"/>
    <mergeCell ref="V319:AG319"/>
    <mergeCell ref="F320:J320"/>
    <mergeCell ref="K320:M320"/>
    <mergeCell ref="O320:P320"/>
    <mergeCell ref="Q320:R320"/>
    <mergeCell ref="V320:X320"/>
    <mergeCell ref="Z320:AB320"/>
    <mergeCell ref="AD320:AG320"/>
    <mergeCell ref="F321:J321"/>
    <mergeCell ref="K321:M321"/>
    <mergeCell ref="O321:P321"/>
    <mergeCell ref="Q321:R321"/>
    <mergeCell ref="AF288:AG288"/>
    <mergeCell ref="D290:I290"/>
    <mergeCell ref="J290:O290"/>
    <mergeCell ref="P290:U290"/>
    <mergeCell ref="D298:H298"/>
    <mergeCell ref="J298:N298"/>
    <mergeCell ref="P298:T298"/>
    <mergeCell ref="D299:H299"/>
    <mergeCell ref="J299:N299"/>
    <mergeCell ref="P299:T299"/>
    <mergeCell ref="D300:H300"/>
    <mergeCell ref="J300:N300"/>
    <mergeCell ref="P300:T300"/>
    <mergeCell ref="D301:AG301"/>
    <mergeCell ref="D308:I308"/>
    <mergeCell ref="J308:O308"/>
    <mergeCell ref="P308:U308"/>
    <mergeCell ref="AB296:AF296"/>
    <mergeCell ref="V293:Z293"/>
    <mergeCell ref="AB293:AF293"/>
    <mergeCell ref="V294:Z294"/>
    <mergeCell ref="AB294:AF294"/>
    <mergeCell ref="X288:Y288"/>
    <mergeCell ref="Z288:AA288"/>
    <mergeCell ref="AB288:AC288"/>
    <mergeCell ref="AD288:AE288"/>
    <mergeCell ref="D296:H296"/>
    <mergeCell ref="J296:N296"/>
    <mergeCell ref="P296:T296"/>
    <mergeCell ref="V299:Z299"/>
    <mergeCell ref="AB299:AF299"/>
    <mergeCell ref="D297:H297"/>
    <mergeCell ref="V277:W278"/>
    <mergeCell ref="X277:AG278"/>
    <mergeCell ref="D279:J280"/>
    <mergeCell ref="K279:M280"/>
    <mergeCell ref="N279:N280"/>
    <mergeCell ref="O279:O280"/>
    <mergeCell ref="P279:P280"/>
    <mergeCell ref="Q279:U280"/>
    <mergeCell ref="D283:E283"/>
    <mergeCell ref="Q283:U283"/>
    <mergeCell ref="D284:E284"/>
    <mergeCell ref="Q284:U284"/>
    <mergeCell ref="D285:E285"/>
    <mergeCell ref="Q285:U285"/>
    <mergeCell ref="D286:E288"/>
    <mergeCell ref="F286:J286"/>
    <mergeCell ref="K286:M286"/>
    <mergeCell ref="O286:P286"/>
    <mergeCell ref="Q286:R286"/>
    <mergeCell ref="V286:AG286"/>
    <mergeCell ref="F287:J287"/>
    <mergeCell ref="K287:M287"/>
    <mergeCell ref="O287:P287"/>
    <mergeCell ref="Q287:R287"/>
    <mergeCell ref="V287:X287"/>
    <mergeCell ref="Z287:AB287"/>
    <mergeCell ref="AD287:AG287"/>
    <mergeCell ref="F288:J288"/>
    <mergeCell ref="K288:M288"/>
    <mergeCell ref="O288:P288"/>
    <mergeCell ref="Q288:R288"/>
    <mergeCell ref="V288:W288"/>
    <mergeCell ref="D265:H265"/>
    <mergeCell ref="J265:N265"/>
    <mergeCell ref="P265:T265"/>
    <mergeCell ref="D266:H266"/>
    <mergeCell ref="J266:N266"/>
    <mergeCell ref="P266:T266"/>
    <mergeCell ref="D267:H267"/>
    <mergeCell ref="J267:N267"/>
    <mergeCell ref="P267:T267"/>
    <mergeCell ref="D275:I275"/>
    <mergeCell ref="J275:O275"/>
    <mergeCell ref="P275:U275"/>
    <mergeCell ref="D277:N278"/>
    <mergeCell ref="O277:O278"/>
    <mergeCell ref="P277:P278"/>
    <mergeCell ref="Q277:R278"/>
    <mergeCell ref="S277:S278"/>
    <mergeCell ref="T277:T278"/>
    <mergeCell ref="U277:U278"/>
    <mergeCell ref="O244:O245"/>
    <mergeCell ref="P244:P245"/>
    <mergeCell ref="Q244:R245"/>
    <mergeCell ref="S244:S245"/>
    <mergeCell ref="T244:T245"/>
    <mergeCell ref="U244:U245"/>
    <mergeCell ref="D251:E251"/>
    <mergeCell ref="Q251:U251"/>
    <mergeCell ref="D252:E252"/>
    <mergeCell ref="Q252:U252"/>
    <mergeCell ref="D253:E255"/>
    <mergeCell ref="F253:J253"/>
    <mergeCell ref="K253:M253"/>
    <mergeCell ref="O253:P253"/>
    <mergeCell ref="Q253:R253"/>
    <mergeCell ref="V253:AG253"/>
    <mergeCell ref="F254:J254"/>
    <mergeCell ref="K254:M254"/>
    <mergeCell ref="O254:P254"/>
    <mergeCell ref="Q254:R254"/>
    <mergeCell ref="V254:X254"/>
    <mergeCell ref="Z254:AB254"/>
    <mergeCell ref="AD254:AG254"/>
    <mergeCell ref="F255:J255"/>
    <mergeCell ref="K255:M255"/>
    <mergeCell ref="O255:P255"/>
    <mergeCell ref="Q255:R255"/>
    <mergeCell ref="V255:W255"/>
    <mergeCell ref="X255:Y255"/>
    <mergeCell ref="Z255:AA255"/>
    <mergeCell ref="AB255:AC255"/>
    <mergeCell ref="AD255:AE255"/>
    <mergeCell ref="O211:O212"/>
    <mergeCell ref="P211:P212"/>
    <mergeCell ref="Q211:R212"/>
    <mergeCell ref="S211:S212"/>
    <mergeCell ref="T211:T212"/>
    <mergeCell ref="U211:U212"/>
    <mergeCell ref="D218:E218"/>
    <mergeCell ref="Q218:U218"/>
    <mergeCell ref="D219:E219"/>
    <mergeCell ref="Q219:U219"/>
    <mergeCell ref="D220:E222"/>
    <mergeCell ref="F220:J220"/>
    <mergeCell ref="K220:M220"/>
    <mergeCell ref="O220:P220"/>
    <mergeCell ref="Q220:R220"/>
    <mergeCell ref="V220:AG220"/>
    <mergeCell ref="F221:J221"/>
    <mergeCell ref="K221:M221"/>
    <mergeCell ref="O221:P221"/>
    <mergeCell ref="Q221:R221"/>
    <mergeCell ref="V221:X221"/>
    <mergeCell ref="Z221:AB221"/>
    <mergeCell ref="AD221:AG221"/>
    <mergeCell ref="F222:J222"/>
    <mergeCell ref="K222:M222"/>
    <mergeCell ref="O222:P222"/>
    <mergeCell ref="Q222:R222"/>
    <mergeCell ref="V222:W222"/>
    <mergeCell ref="X222:Y222"/>
    <mergeCell ref="Z222:AA222"/>
    <mergeCell ref="AB222:AC222"/>
    <mergeCell ref="AD222:AE222"/>
    <mergeCell ref="O178:O179"/>
    <mergeCell ref="P178:P179"/>
    <mergeCell ref="Q178:R179"/>
    <mergeCell ref="S178:S179"/>
    <mergeCell ref="T178:T179"/>
    <mergeCell ref="U178:U179"/>
    <mergeCell ref="D185:E185"/>
    <mergeCell ref="Q185:U185"/>
    <mergeCell ref="D186:E186"/>
    <mergeCell ref="Q186:U186"/>
    <mergeCell ref="D187:E189"/>
    <mergeCell ref="F187:J187"/>
    <mergeCell ref="K187:M187"/>
    <mergeCell ref="O187:P187"/>
    <mergeCell ref="Q187:R187"/>
    <mergeCell ref="V187:AG187"/>
    <mergeCell ref="F188:J188"/>
    <mergeCell ref="K188:M188"/>
    <mergeCell ref="O188:P188"/>
    <mergeCell ref="Q188:R188"/>
    <mergeCell ref="V188:X188"/>
    <mergeCell ref="Z188:AB188"/>
    <mergeCell ref="AD188:AG188"/>
    <mergeCell ref="F189:J189"/>
    <mergeCell ref="K189:M189"/>
    <mergeCell ref="O189:P189"/>
    <mergeCell ref="Q189:R189"/>
    <mergeCell ref="V189:W189"/>
    <mergeCell ref="X189:Y189"/>
    <mergeCell ref="Z189:AA189"/>
    <mergeCell ref="AB189:AC189"/>
    <mergeCell ref="AD189:AE189"/>
    <mergeCell ref="O145:O146"/>
    <mergeCell ref="P145:P146"/>
    <mergeCell ref="Q145:R146"/>
    <mergeCell ref="S145:S146"/>
    <mergeCell ref="T145:T146"/>
    <mergeCell ref="U145:U146"/>
    <mergeCell ref="D152:E152"/>
    <mergeCell ref="Q152:U152"/>
    <mergeCell ref="D153:E153"/>
    <mergeCell ref="Q153:U153"/>
    <mergeCell ref="D154:E156"/>
    <mergeCell ref="F154:J154"/>
    <mergeCell ref="K154:M154"/>
    <mergeCell ref="O154:P154"/>
    <mergeCell ref="Q154:R154"/>
    <mergeCell ref="V154:AG154"/>
    <mergeCell ref="F155:J155"/>
    <mergeCell ref="K155:M155"/>
    <mergeCell ref="O155:P155"/>
    <mergeCell ref="Q155:R155"/>
    <mergeCell ref="V155:X155"/>
    <mergeCell ref="Z155:AB155"/>
    <mergeCell ref="AD155:AG155"/>
    <mergeCell ref="F156:J156"/>
    <mergeCell ref="K156:M156"/>
    <mergeCell ref="O156:P156"/>
    <mergeCell ref="Q156:R156"/>
    <mergeCell ref="V156:W156"/>
    <mergeCell ref="X156:Y156"/>
    <mergeCell ref="Z156:AA156"/>
    <mergeCell ref="AB156:AC156"/>
    <mergeCell ref="AD156:AE156"/>
    <mergeCell ref="F121:J121"/>
    <mergeCell ref="K121:M121"/>
    <mergeCell ref="O121:P121"/>
    <mergeCell ref="Q121:R121"/>
    <mergeCell ref="V121:AG121"/>
    <mergeCell ref="F122:J122"/>
    <mergeCell ref="K122:M122"/>
    <mergeCell ref="O122:P122"/>
    <mergeCell ref="Q122:R122"/>
    <mergeCell ref="V122:X122"/>
    <mergeCell ref="Z122:AB122"/>
    <mergeCell ref="AD122:AG122"/>
    <mergeCell ref="F123:J123"/>
    <mergeCell ref="K123:M123"/>
    <mergeCell ref="O123:P123"/>
    <mergeCell ref="Q123:R123"/>
    <mergeCell ref="V123:W123"/>
    <mergeCell ref="X123:Y123"/>
    <mergeCell ref="Z123:AA123"/>
    <mergeCell ref="AB123:AC123"/>
    <mergeCell ref="AD123:AE123"/>
    <mergeCell ref="AF123:AG123"/>
    <mergeCell ref="D100:H100"/>
    <mergeCell ref="J100:N100"/>
    <mergeCell ref="P100:T100"/>
    <mergeCell ref="D101:H101"/>
    <mergeCell ref="J101:N101"/>
    <mergeCell ref="P101:T101"/>
    <mergeCell ref="D102:H102"/>
    <mergeCell ref="J102:N102"/>
    <mergeCell ref="P102:T102"/>
    <mergeCell ref="D77:I77"/>
    <mergeCell ref="J77:O77"/>
    <mergeCell ref="P77:U77"/>
    <mergeCell ref="D110:I110"/>
    <mergeCell ref="J110:O110"/>
    <mergeCell ref="P110:U110"/>
    <mergeCell ref="D112:N113"/>
    <mergeCell ref="O112:O113"/>
    <mergeCell ref="P112:P113"/>
    <mergeCell ref="Q112:R113"/>
    <mergeCell ref="S112:S113"/>
    <mergeCell ref="T112:T113"/>
    <mergeCell ref="U112:U113"/>
    <mergeCell ref="D86:E86"/>
    <mergeCell ref="Q86:U86"/>
    <mergeCell ref="D87:E87"/>
    <mergeCell ref="Q87:U87"/>
    <mergeCell ref="D88:E90"/>
    <mergeCell ref="F88:J88"/>
    <mergeCell ref="K88:M88"/>
    <mergeCell ref="O88:P88"/>
    <mergeCell ref="Q88:R88"/>
    <mergeCell ref="D91:AG91"/>
    <mergeCell ref="V88:AG88"/>
    <mergeCell ref="F89:J89"/>
    <mergeCell ref="K89:M89"/>
    <mergeCell ref="O89:P89"/>
    <mergeCell ref="Q89:R89"/>
    <mergeCell ref="V89:X89"/>
    <mergeCell ref="Z89:AB89"/>
    <mergeCell ref="AD89:AG89"/>
    <mergeCell ref="F90:J90"/>
    <mergeCell ref="K90:M90"/>
    <mergeCell ref="O90:P90"/>
    <mergeCell ref="Q90:R90"/>
    <mergeCell ref="V90:W90"/>
    <mergeCell ref="X90:Y90"/>
    <mergeCell ref="Z90:AA90"/>
    <mergeCell ref="AB90:AC90"/>
    <mergeCell ref="AD90:AE90"/>
    <mergeCell ref="AF90:AG90"/>
    <mergeCell ref="D69:H69"/>
    <mergeCell ref="J69:N69"/>
    <mergeCell ref="P69:T69"/>
    <mergeCell ref="V69:Z69"/>
    <mergeCell ref="AB69:AF69"/>
    <mergeCell ref="D70:AG70"/>
    <mergeCell ref="D71:AG76"/>
    <mergeCell ref="D79:N80"/>
    <mergeCell ref="O79:O80"/>
    <mergeCell ref="P79:P80"/>
    <mergeCell ref="Q79:R80"/>
    <mergeCell ref="S79:S80"/>
    <mergeCell ref="T79:T80"/>
    <mergeCell ref="U79:U80"/>
    <mergeCell ref="V79:W80"/>
    <mergeCell ref="X79:AG80"/>
    <mergeCell ref="D81:J82"/>
    <mergeCell ref="K81:M82"/>
    <mergeCell ref="N81:N82"/>
    <mergeCell ref="O81:O82"/>
    <mergeCell ref="P81:P82"/>
    <mergeCell ref="Q81:U82"/>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U46:U47"/>
    <mergeCell ref="V46:W47"/>
    <mergeCell ref="X46:AG47"/>
    <mergeCell ref="Q48:U49"/>
    <mergeCell ref="V48:W48"/>
    <mergeCell ref="X48:Y48"/>
    <mergeCell ref="Z48:AA48"/>
    <mergeCell ref="AB48:AC48"/>
    <mergeCell ref="AD48:AE48"/>
    <mergeCell ref="AF48:AG48"/>
    <mergeCell ref="V25:AA25"/>
    <mergeCell ref="AB25:AG25"/>
    <mergeCell ref="F50:J50"/>
    <mergeCell ref="K50:M50"/>
    <mergeCell ref="Q50:U50"/>
    <mergeCell ref="D51:E51"/>
    <mergeCell ref="F51:J51"/>
    <mergeCell ref="K51:M51"/>
    <mergeCell ref="Q51:U51"/>
    <mergeCell ref="D43:AG43"/>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C46:C76"/>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AJ11:BF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D32:H32"/>
    <mergeCell ref="J32:N32"/>
    <mergeCell ref="P32:T32"/>
    <mergeCell ref="V32:Z32"/>
    <mergeCell ref="AB32:AF32"/>
    <mergeCell ref="D33:H33"/>
    <mergeCell ref="J33:N33"/>
    <mergeCell ref="P33:T33"/>
    <mergeCell ref="V33:Z33"/>
    <mergeCell ref="AB33:AF33"/>
    <mergeCell ref="K18:M18"/>
    <mergeCell ref="Q18:U18"/>
    <mergeCell ref="K23:M23"/>
    <mergeCell ref="O23:P23"/>
    <mergeCell ref="Q23:R23"/>
    <mergeCell ref="X23:Y23"/>
    <mergeCell ref="Z23:AA23"/>
    <mergeCell ref="AB23:AC23"/>
    <mergeCell ref="AD23:AE23"/>
    <mergeCell ref="AF23:AG23"/>
    <mergeCell ref="K22:M22"/>
    <mergeCell ref="O22:P22"/>
    <mergeCell ref="Q22:R22"/>
    <mergeCell ref="AB30:AF30"/>
    <mergeCell ref="D31:H31"/>
    <mergeCell ref="J31:N31"/>
    <mergeCell ref="P31:T31"/>
    <mergeCell ref="V31:Z31"/>
    <mergeCell ref="AB31:AF31"/>
    <mergeCell ref="D28:H28"/>
    <mergeCell ref="J28:N28"/>
    <mergeCell ref="P28:T28"/>
    <mergeCell ref="C77:C78"/>
    <mergeCell ref="V77:AA77"/>
    <mergeCell ref="AB77:AG77"/>
    <mergeCell ref="X81:Y81"/>
    <mergeCell ref="Z81:AA81"/>
    <mergeCell ref="AB81:AC81"/>
    <mergeCell ref="AD81:AE81"/>
    <mergeCell ref="AF81:AG81"/>
    <mergeCell ref="D83:E83"/>
    <mergeCell ref="F83:J83"/>
    <mergeCell ref="K83:M83"/>
    <mergeCell ref="Q83:U83"/>
    <mergeCell ref="D84:E84"/>
    <mergeCell ref="F84:J84"/>
    <mergeCell ref="K84:M84"/>
    <mergeCell ref="Q84:U84"/>
    <mergeCell ref="V81:W81"/>
    <mergeCell ref="AB97:AF97"/>
    <mergeCell ref="D95:H95"/>
    <mergeCell ref="J95:N95"/>
    <mergeCell ref="P95:T95"/>
    <mergeCell ref="V98:Z98"/>
    <mergeCell ref="AB98:AF98"/>
    <mergeCell ref="V95:Z95"/>
    <mergeCell ref="AB95:AF95"/>
    <mergeCell ref="V96:Z96"/>
    <mergeCell ref="AB96:AF96"/>
    <mergeCell ref="D92:I92"/>
    <mergeCell ref="J92:O92"/>
    <mergeCell ref="P92:U92"/>
    <mergeCell ref="D30:H30"/>
    <mergeCell ref="J30:N30"/>
    <mergeCell ref="P30:T30"/>
    <mergeCell ref="V30:Z30"/>
    <mergeCell ref="D44:I44"/>
    <mergeCell ref="J44:O44"/>
    <mergeCell ref="P44:U44"/>
    <mergeCell ref="V44:AA44"/>
    <mergeCell ref="AB44:AG44"/>
    <mergeCell ref="D34:H34"/>
    <mergeCell ref="J34:N34"/>
    <mergeCell ref="P34:T34"/>
    <mergeCell ref="V34:Z34"/>
    <mergeCell ref="AB34:AF34"/>
    <mergeCell ref="D35:H35"/>
    <mergeCell ref="J35:N35"/>
    <mergeCell ref="P35:T35"/>
    <mergeCell ref="V35:Z35"/>
    <mergeCell ref="AB35:AF35"/>
    <mergeCell ref="D98:H98"/>
    <mergeCell ref="J98:N98"/>
    <mergeCell ref="P98:T98"/>
    <mergeCell ref="V101:Z101"/>
    <mergeCell ref="AB101:AF101"/>
    <mergeCell ref="D99:H99"/>
    <mergeCell ref="J99:N99"/>
    <mergeCell ref="P99:T99"/>
    <mergeCell ref="V102:Z102"/>
    <mergeCell ref="AB102:AF102"/>
    <mergeCell ref="C79:C109"/>
    <mergeCell ref="D96:H96"/>
    <mergeCell ref="J96:N96"/>
    <mergeCell ref="P96:T96"/>
    <mergeCell ref="V99:Z99"/>
    <mergeCell ref="AB99:AF99"/>
    <mergeCell ref="D97:H97"/>
    <mergeCell ref="J97:N97"/>
    <mergeCell ref="P97:T97"/>
    <mergeCell ref="V100:Z100"/>
    <mergeCell ref="AB100:AF100"/>
    <mergeCell ref="V92:AA92"/>
    <mergeCell ref="AB92:AG92"/>
    <mergeCell ref="F87:J87"/>
    <mergeCell ref="K87:M87"/>
    <mergeCell ref="F86:J86"/>
    <mergeCell ref="K86:M86"/>
    <mergeCell ref="F85:J85"/>
    <mergeCell ref="K85:M85"/>
    <mergeCell ref="D85:E85"/>
    <mergeCell ref="Q85:U85"/>
    <mergeCell ref="V97:Z97"/>
    <mergeCell ref="V112:W113"/>
    <mergeCell ref="X112:AG113"/>
    <mergeCell ref="D114:J115"/>
    <mergeCell ref="K114:M115"/>
    <mergeCell ref="N114:N115"/>
    <mergeCell ref="O114:O115"/>
    <mergeCell ref="P114:P115"/>
    <mergeCell ref="Q114:U115"/>
    <mergeCell ref="D116:E116"/>
    <mergeCell ref="F116:J116"/>
    <mergeCell ref="K116:M116"/>
    <mergeCell ref="Q116:U116"/>
    <mergeCell ref="D103:AG103"/>
    <mergeCell ref="D104:AG109"/>
    <mergeCell ref="C110:C111"/>
    <mergeCell ref="V110:AA110"/>
    <mergeCell ref="AB110:AG110"/>
    <mergeCell ref="D117:E117"/>
    <mergeCell ref="F117:J117"/>
    <mergeCell ref="K117:M117"/>
    <mergeCell ref="Q117:U117"/>
    <mergeCell ref="V114:W114"/>
    <mergeCell ref="D124:AG124"/>
    <mergeCell ref="V125:AA125"/>
    <mergeCell ref="AB125:AG125"/>
    <mergeCell ref="F120:J120"/>
    <mergeCell ref="K120:M120"/>
    <mergeCell ref="F119:J119"/>
    <mergeCell ref="K119:M119"/>
    <mergeCell ref="F118:J118"/>
    <mergeCell ref="K118:M118"/>
    <mergeCell ref="D118:E118"/>
    <mergeCell ref="Q118:U118"/>
    <mergeCell ref="V130:Z130"/>
    <mergeCell ref="AB130:AF130"/>
    <mergeCell ref="D128:H128"/>
    <mergeCell ref="J128:N128"/>
    <mergeCell ref="P128:T128"/>
    <mergeCell ref="P130:T130"/>
    <mergeCell ref="X114:Y114"/>
    <mergeCell ref="Z114:AA114"/>
    <mergeCell ref="AB114:AC114"/>
    <mergeCell ref="AD114:AE114"/>
    <mergeCell ref="AF114:AG114"/>
    <mergeCell ref="D119:E119"/>
    <mergeCell ref="Q119:U119"/>
    <mergeCell ref="D120:E120"/>
    <mergeCell ref="Q120:U120"/>
    <mergeCell ref="D121:E123"/>
    <mergeCell ref="V131:Z131"/>
    <mergeCell ref="AB131:AF131"/>
    <mergeCell ref="V128:Z128"/>
    <mergeCell ref="AB128:AF128"/>
    <mergeCell ref="V129:Z129"/>
    <mergeCell ref="AB129:AF129"/>
    <mergeCell ref="D125:I125"/>
    <mergeCell ref="J125:O125"/>
    <mergeCell ref="P125:U125"/>
    <mergeCell ref="D136:AG136"/>
    <mergeCell ref="D137:AG142"/>
    <mergeCell ref="C143:C144"/>
    <mergeCell ref="V143:AA143"/>
    <mergeCell ref="AB143:AG143"/>
    <mergeCell ref="D131:H131"/>
    <mergeCell ref="J131:N131"/>
    <mergeCell ref="P131:T131"/>
    <mergeCell ref="V134:Z134"/>
    <mergeCell ref="AB134:AF134"/>
    <mergeCell ref="D132:H132"/>
    <mergeCell ref="J132:N132"/>
    <mergeCell ref="P132:T132"/>
    <mergeCell ref="V135:Z135"/>
    <mergeCell ref="AB135:AF135"/>
    <mergeCell ref="C112:C142"/>
    <mergeCell ref="D129:H129"/>
    <mergeCell ref="J129:N129"/>
    <mergeCell ref="P129:T129"/>
    <mergeCell ref="V132:Z132"/>
    <mergeCell ref="AB132:AF132"/>
    <mergeCell ref="D130:H130"/>
    <mergeCell ref="J130:N130"/>
    <mergeCell ref="V133:Z133"/>
    <mergeCell ref="AB133:AF133"/>
    <mergeCell ref="X147:Y147"/>
    <mergeCell ref="Z147:AA147"/>
    <mergeCell ref="AB147:AC147"/>
    <mergeCell ref="AD147:AE147"/>
    <mergeCell ref="AF147:AG147"/>
    <mergeCell ref="V145:W146"/>
    <mergeCell ref="X145:AG146"/>
    <mergeCell ref="D147:J148"/>
    <mergeCell ref="K147:M148"/>
    <mergeCell ref="N147:N148"/>
    <mergeCell ref="O147:O148"/>
    <mergeCell ref="P147:P148"/>
    <mergeCell ref="Q147:U148"/>
    <mergeCell ref="D149:E149"/>
    <mergeCell ref="F149:J149"/>
    <mergeCell ref="K149:M149"/>
    <mergeCell ref="Q149:U149"/>
    <mergeCell ref="D133:H133"/>
    <mergeCell ref="J133:N133"/>
    <mergeCell ref="P133:T133"/>
    <mergeCell ref="D134:H134"/>
    <mergeCell ref="J134:N134"/>
    <mergeCell ref="P134:T134"/>
    <mergeCell ref="D135:H135"/>
    <mergeCell ref="J135:N135"/>
    <mergeCell ref="P135:T135"/>
    <mergeCell ref="D143:I143"/>
    <mergeCell ref="J143:O143"/>
    <mergeCell ref="P143:U143"/>
    <mergeCell ref="D145:N146"/>
    <mergeCell ref="D150:E150"/>
    <mergeCell ref="F150:J150"/>
    <mergeCell ref="K150:M150"/>
    <mergeCell ref="Q150:U150"/>
    <mergeCell ref="V147:W147"/>
    <mergeCell ref="D157:AG157"/>
    <mergeCell ref="V158:AA158"/>
    <mergeCell ref="AB158:AG158"/>
    <mergeCell ref="F153:J153"/>
    <mergeCell ref="K153:M153"/>
    <mergeCell ref="F152:J152"/>
    <mergeCell ref="K152:M152"/>
    <mergeCell ref="F151:J151"/>
    <mergeCell ref="K151:M151"/>
    <mergeCell ref="D151:E151"/>
    <mergeCell ref="Q151:U151"/>
    <mergeCell ref="V163:Z163"/>
    <mergeCell ref="AB163:AF163"/>
    <mergeCell ref="D161:H161"/>
    <mergeCell ref="J161:N161"/>
    <mergeCell ref="P161:T161"/>
    <mergeCell ref="P163:T163"/>
    <mergeCell ref="AF156:AG156"/>
    <mergeCell ref="V164:Z164"/>
    <mergeCell ref="AB164:AF164"/>
    <mergeCell ref="V161:Z161"/>
    <mergeCell ref="AB161:AF161"/>
    <mergeCell ref="V162:Z162"/>
    <mergeCell ref="AB162:AF162"/>
    <mergeCell ref="D158:I158"/>
    <mergeCell ref="J158:O158"/>
    <mergeCell ref="P158:U158"/>
    <mergeCell ref="D169:AG169"/>
    <mergeCell ref="D170:AG175"/>
    <mergeCell ref="C176:C177"/>
    <mergeCell ref="V176:AA176"/>
    <mergeCell ref="AB176:AG176"/>
    <mergeCell ref="D164:H164"/>
    <mergeCell ref="J164:N164"/>
    <mergeCell ref="P164:T164"/>
    <mergeCell ref="V167:Z167"/>
    <mergeCell ref="AB167:AF167"/>
    <mergeCell ref="D165:H165"/>
    <mergeCell ref="J165:N165"/>
    <mergeCell ref="P165:T165"/>
    <mergeCell ref="V168:Z168"/>
    <mergeCell ref="AB168:AF168"/>
    <mergeCell ref="C145:C175"/>
    <mergeCell ref="D162:H162"/>
    <mergeCell ref="J162:N162"/>
    <mergeCell ref="P162:T162"/>
    <mergeCell ref="V165:Z165"/>
    <mergeCell ref="AB165:AF165"/>
    <mergeCell ref="D163:H163"/>
    <mergeCell ref="J163:N163"/>
    <mergeCell ref="V166:Z166"/>
    <mergeCell ref="AB166:AF166"/>
    <mergeCell ref="X180:Y180"/>
    <mergeCell ref="Z180:AA180"/>
    <mergeCell ref="AB180:AC180"/>
    <mergeCell ref="AD180:AE180"/>
    <mergeCell ref="AF180:AG180"/>
    <mergeCell ref="V178:W179"/>
    <mergeCell ref="X178:AG179"/>
    <mergeCell ref="D180:J181"/>
    <mergeCell ref="K180:M181"/>
    <mergeCell ref="N180:N181"/>
    <mergeCell ref="O180:O181"/>
    <mergeCell ref="P180:P181"/>
    <mergeCell ref="Q180:U181"/>
    <mergeCell ref="D182:E182"/>
    <mergeCell ref="F182:J182"/>
    <mergeCell ref="K182:M182"/>
    <mergeCell ref="Q182:U182"/>
    <mergeCell ref="D166:H166"/>
    <mergeCell ref="J166:N166"/>
    <mergeCell ref="P166:T166"/>
    <mergeCell ref="D167:H167"/>
    <mergeCell ref="J167:N167"/>
    <mergeCell ref="P167:T167"/>
    <mergeCell ref="D168:H168"/>
    <mergeCell ref="J168:N168"/>
    <mergeCell ref="P168:T168"/>
    <mergeCell ref="D176:I176"/>
    <mergeCell ref="J176:O176"/>
    <mergeCell ref="P176:U176"/>
    <mergeCell ref="D178:N179"/>
    <mergeCell ref="D183:E183"/>
    <mergeCell ref="F183:J183"/>
    <mergeCell ref="K183:M183"/>
    <mergeCell ref="Q183:U183"/>
    <mergeCell ref="V180:W180"/>
    <mergeCell ref="D190:AG190"/>
    <mergeCell ref="V191:AA191"/>
    <mergeCell ref="AB191:AG191"/>
    <mergeCell ref="F186:J186"/>
    <mergeCell ref="K186:M186"/>
    <mergeCell ref="F185:J185"/>
    <mergeCell ref="K185:M185"/>
    <mergeCell ref="F184:J184"/>
    <mergeCell ref="K184:M184"/>
    <mergeCell ref="D184:E184"/>
    <mergeCell ref="Q184:U184"/>
    <mergeCell ref="V196:Z196"/>
    <mergeCell ref="AB196:AF196"/>
    <mergeCell ref="D194:H194"/>
    <mergeCell ref="J194:N194"/>
    <mergeCell ref="P194:T194"/>
    <mergeCell ref="P196:T196"/>
    <mergeCell ref="AF189:AG189"/>
    <mergeCell ref="V197:Z197"/>
    <mergeCell ref="AB197:AF197"/>
    <mergeCell ref="V194:Z194"/>
    <mergeCell ref="AB194:AF194"/>
    <mergeCell ref="V195:Z195"/>
    <mergeCell ref="AB195:AF195"/>
    <mergeCell ref="D191:I191"/>
    <mergeCell ref="J191:O191"/>
    <mergeCell ref="P191:U191"/>
    <mergeCell ref="D202:AG202"/>
    <mergeCell ref="D203:AG208"/>
    <mergeCell ref="C209:C210"/>
    <mergeCell ref="V209:AA209"/>
    <mergeCell ref="AB209:AG209"/>
    <mergeCell ref="D197:H197"/>
    <mergeCell ref="J197:N197"/>
    <mergeCell ref="P197:T197"/>
    <mergeCell ref="V200:Z200"/>
    <mergeCell ref="AB200:AF200"/>
    <mergeCell ref="D198:H198"/>
    <mergeCell ref="J198:N198"/>
    <mergeCell ref="P198:T198"/>
    <mergeCell ref="V201:Z201"/>
    <mergeCell ref="AB201:AF201"/>
    <mergeCell ref="C178:C208"/>
    <mergeCell ref="D195:H195"/>
    <mergeCell ref="J195:N195"/>
    <mergeCell ref="P195:T195"/>
    <mergeCell ref="V198:Z198"/>
    <mergeCell ref="AB198:AF198"/>
    <mergeCell ref="D196:H196"/>
    <mergeCell ref="J196:N196"/>
    <mergeCell ref="V199:Z199"/>
    <mergeCell ref="AB199:AF199"/>
    <mergeCell ref="X213:Y213"/>
    <mergeCell ref="Z213:AA213"/>
    <mergeCell ref="AB213:AC213"/>
    <mergeCell ref="AD213:AE213"/>
    <mergeCell ref="AF213:AG213"/>
    <mergeCell ref="V211:W212"/>
    <mergeCell ref="X211:AG212"/>
    <mergeCell ref="D213:J214"/>
    <mergeCell ref="K213:M214"/>
    <mergeCell ref="N213:N214"/>
    <mergeCell ref="O213:O214"/>
    <mergeCell ref="P213:P214"/>
    <mergeCell ref="Q213:U214"/>
    <mergeCell ref="D215:E215"/>
    <mergeCell ref="F215:J215"/>
    <mergeCell ref="K215:M215"/>
    <mergeCell ref="Q215:U215"/>
    <mergeCell ref="D199:H199"/>
    <mergeCell ref="J199:N199"/>
    <mergeCell ref="P199:T199"/>
    <mergeCell ref="D200:H200"/>
    <mergeCell ref="J200:N200"/>
    <mergeCell ref="P200:T200"/>
    <mergeCell ref="D201:H201"/>
    <mergeCell ref="J201:N201"/>
    <mergeCell ref="P201:T201"/>
    <mergeCell ref="D209:I209"/>
    <mergeCell ref="J209:O209"/>
    <mergeCell ref="P209:U209"/>
    <mergeCell ref="D211:N212"/>
    <mergeCell ref="D216:E216"/>
    <mergeCell ref="F216:J216"/>
    <mergeCell ref="K216:M216"/>
    <mergeCell ref="Q216:U216"/>
    <mergeCell ref="V213:W213"/>
    <mergeCell ref="D223:AG223"/>
    <mergeCell ref="V224:AA224"/>
    <mergeCell ref="AB224:AG224"/>
    <mergeCell ref="F219:J219"/>
    <mergeCell ref="K219:M219"/>
    <mergeCell ref="F218:J218"/>
    <mergeCell ref="K218:M218"/>
    <mergeCell ref="F217:J217"/>
    <mergeCell ref="K217:M217"/>
    <mergeCell ref="D217:E217"/>
    <mergeCell ref="Q217:U217"/>
    <mergeCell ref="V229:Z229"/>
    <mergeCell ref="AB229:AF229"/>
    <mergeCell ref="D227:H227"/>
    <mergeCell ref="J227:N227"/>
    <mergeCell ref="P227:T227"/>
    <mergeCell ref="P229:T229"/>
    <mergeCell ref="AF222:AG222"/>
    <mergeCell ref="V230:Z230"/>
    <mergeCell ref="AB230:AF230"/>
    <mergeCell ref="V227:Z227"/>
    <mergeCell ref="AB227:AF227"/>
    <mergeCell ref="V228:Z228"/>
    <mergeCell ref="AB228:AF228"/>
    <mergeCell ref="D224:I224"/>
    <mergeCell ref="J224:O224"/>
    <mergeCell ref="P224:U224"/>
    <mergeCell ref="D235:AG235"/>
    <mergeCell ref="D236:AG241"/>
    <mergeCell ref="C242:C243"/>
    <mergeCell ref="V242:AA242"/>
    <mergeCell ref="AB242:AG242"/>
    <mergeCell ref="D230:H230"/>
    <mergeCell ref="J230:N230"/>
    <mergeCell ref="P230:T230"/>
    <mergeCell ref="V233:Z233"/>
    <mergeCell ref="AB233:AF233"/>
    <mergeCell ref="D231:H231"/>
    <mergeCell ref="J231:N231"/>
    <mergeCell ref="P231:T231"/>
    <mergeCell ref="V234:Z234"/>
    <mergeCell ref="AB234:AF234"/>
    <mergeCell ref="C211:C241"/>
    <mergeCell ref="D228:H228"/>
    <mergeCell ref="J228:N228"/>
    <mergeCell ref="P228:T228"/>
    <mergeCell ref="V231:Z231"/>
    <mergeCell ref="AB231:AF231"/>
    <mergeCell ref="D229:H229"/>
    <mergeCell ref="J229:N229"/>
    <mergeCell ref="V232:Z232"/>
    <mergeCell ref="AB232:AF232"/>
    <mergeCell ref="X246:Y246"/>
    <mergeCell ref="Z246:AA246"/>
    <mergeCell ref="AB246:AC246"/>
    <mergeCell ref="AD246:AE246"/>
    <mergeCell ref="AF246:AG246"/>
    <mergeCell ref="V244:W245"/>
    <mergeCell ref="X244:AG245"/>
    <mergeCell ref="D246:J247"/>
    <mergeCell ref="K246:M247"/>
    <mergeCell ref="N246:N247"/>
    <mergeCell ref="O246:O247"/>
    <mergeCell ref="P246:P247"/>
    <mergeCell ref="Q246:U247"/>
    <mergeCell ref="D248:E248"/>
    <mergeCell ref="F248:J248"/>
    <mergeCell ref="K248:M248"/>
    <mergeCell ref="Q248:U248"/>
    <mergeCell ref="D232:H232"/>
    <mergeCell ref="J232:N232"/>
    <mergeCell ref="P232:T232"/>
    <mergeCell ref="D233:H233"/>
    <mergeCell ref="J233:N233"/>
    <mergeCell ref="P233:T233"/>
    <mergeCell ref="D234:H234"/>
    <mergeCell ref="J234:N234"/>
    <mergeCell ref="P234:T234"/>
    <mergeCell ref="D242:I242"/>
    <mergeCell ref="J242:O242"/>
    <mergeCell ref="P242:U242"/>
    <mergeCell ref="D244:N245"/>
    <mergeCell ref="D249:E249"/>
    <mergeCell ref="F249:J249"/>
    <mergeCell ref="K249:M249"/>
    <mergeCell ref="Q249:U249"/>
    <mergeCell ref="V246:W246"/>
    <mergeCell ref="D256:AG256"/>
    <mergeCell ref="V257:AA257"/>
    <mergeCell ref="AB257:AG257"/>
    <mergeCell ref="F252:J252"/>
    <mergeCell ref="K252:M252"/>
    <mergeCell ref="F251:J251"/>
    <mergeCell ref="K251:M251"/>
    <mergeCell ref="F250:J250"/>
    <mergeCell ref="K250:M250"/>
    <mergeCell ref="D250:E250"/>
    <mergeCell ref="Q250:U250"/>
    <mergeCell ref="V262:Z262"/>
    <mergeCell ref="AB262:AF262"/>
    <mergeCell ref="D260:H260"/>
    <mergeCell ref="J260:N260"/>
    <mergeCell ref="P260:T260"/>
    <mergeCell ref="P262:T262"/>
    <mergeCell ref="AF255:AG255"/>
    <mergeCell ref="V263:Z263"/>
    <mergeCell ref="AB263:AF263"/>
    <mergeCell ref="V260:Z260"/>
    <mergeCell ref="AB260:AF260"/>
    <mergeCell ref="V261:Z261"/>
    <mergeCell ref="AB261:AF261"/>
    <mergeCell ref="D257:I257"/>
    <mergeCell ref="J257:O257"/>
    <mergeCell ref="P257:U257"/>
    <mergeCell ref="D268:AG268"/>
    <mergeCell ref="D269:AG274"/>
    <mergeCell ref="C275:C276"/>
    <mergeCell ref="V275:AA275"/>
    <mergeCell ref="AB275:AG275"/>
    <mergeCell ref="D263:H263"/>
    <mergeCell ref="J263:N263"/>
    <mergeCell ref="P263:T263"/>
    <mergeCell ref="V266:Z266"/>
    <mergeCell ref="AB266:AF266"/>
    <mergeCell ref="D264:H264"/>
    <mergeCell ref="J264:N264"/>
    <mergeCell ref="P264:T264"/>
    <mergeCell ref="V267:Z267"/>
    <mergeCell ref="AB267:AF267"/>
    <mergeCell ref="C244:C274"/>
    <mergeCell ref="D261:H261"/>
    <mergeCell ref="J261:N261"/>
    <mergeCell ref="P261:T261"/>
    <mergeCell ref="V264:Z264"/>
    <mergeCell ref="AB264:AF264"/>
    <mergeCell ref="D262:H262"/>
    <mergeCell ref="J262:N262"/>
    <mergeCell ref="V265:Z265"/>
    <mergeCell ref="AB265:AF265"/>
    <mergeCell ref="X279:Y279"/>
    <mergeCell ref="Z279:AA279"/>
    <mergeCell ref="AB279:AC279"/>
    <mergeCell ref="AD279:AE279"/>
    <mergeCell ref="AF279:AG279"/>
    <mergeCell ref="C277:C307"/>
    <mergeCell ref="D281:E281"/>
    <mergeCell ref="F281:J281"/>
    <mergeCell ref="K281:M281"/>
    <mergeCell ref="Q281:U281"/>
    <mergeCell ref="D282:E282"/>
    <mergeCell ref="F282:J282"/>
    <mergeCell ref="K282:M282"/>
    <mergeCell ref="Q282:U282"/>
    <mergeCell ref="V279:W279"/>
    <mergeCell ref="D289:AG289"/>
    <mergeCell ref="V290:AA290"/>
    <mergeCell ref="AB290:AG290"/>
    <mergeCell ref="F285:J285"/>
    <mergeCell ref="K285:M285"/>
    <mergeCell ref="F284:J284"/>
    <mergeCell ref="K284:M284"/>
    <mergeCell ref="F283:J283"/>
    <mergeCell ref="K283:M283"/>
    <mergeCell ref="V295:Z295"/>
    <mergeCell ref="AB295:AF295"/>
    <mergeCell ref="D293:H293"/>
    <mergeCell ref="J293:N293"/>
    <mergeCell ref="P293:T293"/>
    <mergeCell ref="V296:Z296"/>
    <mergeCell ref="C310:C340"/>
    <mergeCell ref="D302:AG307"/>
    <mergeCell ref="C308:C309"/>
    <mergeCell ref="V308:AA308"/>
    <mergeCell ref="AB308:AG308"/>
    <mergeCell ref="V312:W312"/>
    <mergeCell ref="X312:Y312"/>
    <mergeCell ref="Z312:AA312"/>
    <mergeCell ref="AB312:AC312"/>
    <mergeCell ref="AD312:AE312"/>
    <mergeCell ref="AF312:AG312"/>
    <mergeCell ref="F317:J317"/>
    <mergeCell ref="K317:M317"/>
    <mergeCell ref="F316:J316"/>
    <mergeCell ref="K316:M316"/>
    <mergeCell ref="D314:E314"/>
    <mergeCell ref="F314:J314"/>
    <mergeCell ref="K314:M314"/>
    <mergeCell ref="V321:W321"/>
    <mergeCell ref="X321:Y321"/>
    <mergeCell ref="Z321:AA321"/>
    <mergeCell ref="AB321:AC321"/>
    <mergeCell ref="AD321:AE321"/>
    <mergeCell ref="AF321:AG321"/>
    <mergeCell ref="D310:N311"/>
    <mergeCell ref="O310:O311"/>
    <mergeCell ref="P310:P311"/>
    <mergeCell ref="Q310:R311"/>
    <mergeCell ref="S310:S311"/>
    <mergeCell ref="T310:T311"/>
    <mergeCell ref="U310:U311"/>
    <mergeCell ref="V310:W311"/>
    <mergeCell ref="F319:J319"/>
    <mergeCell ref="D327:H327"/>
    <mergeCell ref="J327:N327"/>
    <mergeCell ref="P327:T327"/>
    <mergeCell ref="J297:N297"/>
    <mergeCell ref="P297:T297"/>
    <mergeCell ref="V300:Z300"/>
    <mergeCell ref="AB300:AF300"/>
    <mergeCell ref="D294:H294"/>
    <mergeCell ref="J294:N294"/>
    <mergeCell ref="P294:T294"/>
    <mergeCell ref="V297:Z297"/>
    <mergeCell ref="AB297:AF297"/>
    <mergeCell ref="D295:H295"/>
    <mergeCell ref="J295:N295"/>
    <mergeCell ref="P295:T295"/>
    <mergeCell ref="V298:Z298"/>
    <mergeCell ref="AB298:AF298"/>
    <mergeCell ref="X310:AG311"/>
    <mergeCell ref="D312:J313"/>
    <mergeCell ref="K312:M313"/>
    <mergeCell ref="N312:N313"/>
    <mergeCell ref="O312:O313"/>
    <mergeCell ref="P312:P313"/>
    <mergeCell ref="Q312:U313"/>
    <mergeCell ref="D316:E316"/>
    <mergeCell ref="Q316:U316"/>
    <mergeCell ref="Q314:U314"/>
    <mergeCell ref="D315:E315"/>
    <mergeCell ref="F315:J315"/>
    <mergeCell ref="K315:M315"/>
    <mergeCell ref="Q315:U315"/>
    <mergeCell ref="D334:AG334"/>
    <mergeCell ref="D335:AG340"/>
    <mergeCell ref="V341:AA341"/>
    <mergeCell ref="AB341:AG341"/>
    <mergeCell ref="D329:H329"/>
    <mergeCell ref="J329:N329"/>
    <mergeCell ref="P329:T329"/>
    <mergeCell ref="V332:Z332"/>
    <mergeCell ref="AB332:AF332"/>
    <mergeCell ref="D330:H330"/>
    <mergeCell ref="J330:N330"/>
    <mergeCell ref="P330:T330"/>
    <mergeCell ref="V333:Z333"/>
    <mergeCell ref="AB333:AF333"/>
    <mergeCell ref="V326:Z326"/>
    <mergeCell ref="AB326:AF326"/>
    <mergeCell ref="V327:Z327"/>
    <mergeCell ref="AB327:AF327"/>
    <mergeCell ref="BA13:BB13"/>
    <mergeCell ref="BA47:BB47"/>
    <mergeCell ref="BA80:BB80"/>
    <mergeCell ref="BA146:BB146"/>
    <mergeCell ref="BA179:BB179"/>
    <mergeCell ref="BA245:BB245"/>
    <mergeCell ref="BA278:BB278"/>
    <mergeCell ref="BA311:BB311"/>
    <mergeCell ref="V330:Z330"/>
    <mergeCell ref="AB330:AF330"/>
    <mergeCell ref="D328:H328"/>
    <mergeCell ref="J328:N328"/>
    <mergeCell ref="P328:T328"/>
    <mergeCell ref="V331:Z331"/>
    <mergeCell ref="AB331:AF331"/>
    <mergeCell ref="V328:Z328"/>
    <mergeCell ref="AB328:AF328"/>
    <mergeCell ref="D326:H326"/>
    <mergeCell ref="J326:N326"/>
    <mergeCell ref="P326:T326"/>
    <mergeCell ref="V329:Z329"/>
    <mergeCell ref="AB329:AF329"/>
    <mergeCell ref="D322:AG322"/>
    <mergeCell ref="V323:AA323"/>
    <mergeCell ref="AB323:AG323"/>
    <mergeCell ref="F318:J318"/>
    <mergeCell ref="K318:M318"/>
    <mergeCell ref="D317:E317"/>
    <mergeCell ref="Q317:U317"/>
    <mergeCell ref="D318:E318"/>
    <mergeCell ref="Q318:U318"/>
    <mergeCell ref="D319:E321"/>
  </mergeCells>
  <conditionalFormatting sqref="BC45:BD45">
    <cfRule type="cellIs" dxfId="696" priority="1767" stopIfTrue="1" operator="notBetween">
      <formula>#REF!</formula>
      <formula>#REF!</formula>
    </cfRule>
  </conditionalFormatting>
  <conditionalFormatting sqref="W16:W20 Y16:Y20 AA16:AA20 AC16:AC20 AE16:AE20 AG16:AG20">
    <cfRule type="expression" dxfId="695" priority="1250" stopIfTrue="1">
      <formula>$K16&lt;&gt;"Mantenido"</formula>
    </cfRule>
  </conditionalFormatting>
  <conditionalFormatting sqref="O23:R23 O21:R21">
    <cfRule type="expression" dxfId="694" priority="1249" stopIfTrue="1">
      <formula>$F21&lt;&gt;"Atadura Elemental"</formula>
    </cfRule>
  </conditionalFormatting>
  <conditionalFormatting sqref="O22:R22">
    <cfRule type="expression" dxfId="693" priority="1248" stopIfTrue="1">
      <formula>$F22&lt;&gt;"Atadura Elemental"</formula>
    </cfRule>
  </conditionalFormatting>
  <conditionalFormatting sqref="Q21:R23">
    <cfRule type="expression" dxfId="692" priority="8249" stopIfTrue="1">
      <formula>$K21&lt;&gt;"A dos elementos"</formula>
    </cfRule>
  </conditionalFormatting>
  <conditionalFormatting sqref="V16:AG20">
    <cfRule type="cellIs" dxfId="691" priority="1151" stopIfTrue="1" operator="lessThan">
      <formula>0</formula>
    </cfRule>
    <cfRule type="expression" dxfId="690" priority="1152" stopIfTrue="1">
      <formula>NOT(ISNUMBER(SEARCH(V$14,$Q16)))</formula>
    </cfRule>
  </conditionalFormatting>
  <conditionalFormatting sqref="U12:U13">
    <cfRule type="expression" dxfId="689" priority="1150">
      <formula>OR(AND(P12=1,U12&gt;50),AND(P12=2,U12&gt;100),AND(P12=3,U12&gt;200))</formula>
    </cfRule>
  </conditionalFormatting>
  <conditionalFormatting sqref="D29:AG35">
    <cfRule type="expression" dxfId="688" priority="8490" stopIfTrue="1">
      <formula>AND(ISNUMBER(D29),D29&gt;$AH29)</formula>
    </cfRule>
  </conditionalFormatting>
  <conditionalFormatting sqref="F22:N22 S22 U22">
    <cfRule type="expression" dxfId="687" priority="8547" stopIfTrue="1">
      <formula>$P12&lt;2</formula>
    </cfRule>
  </conditionalFormatting>
  <conditionalFormatting sqref="F23:N23 S23 U23">
    <cfRule type="expression" dxfId="686" priority="8550" stopIfTrue="1">
      <formula>$P12&lt;3</formula>
    </cfRule>
  </conditionalFormatting>
  <conditionalFormatting sqref="O16:P20">
    <cfRule type="expression" dxfId="685" priority="1138" stopIfTrue="1">
      <formula>VALUE(LEFT(O16,2))&lt;&gt;VALUE(RIGHT(O16,2))</formula>
    </cfRule>
  </conditionalFormatting>
  <conditionalFormatting sqref="BC78">
    <cfRule type="cellIs" dxfId="684" priority="1061" stopIfTrue="1" operator="notBetween">
      <formula>#REF!</formula>
      <formula>#REF!</formula>
    </cfRule>
  </conditionalFormatting>
  <conditionalFormatting sqref="BC111">
    <cfRule type="cellIs" dxfId="683" priority="1039" stopIfTrue="1" operator="notBetween">
      <formula>#REF!</formula>
      <formula>#REF!</formula>
    </cfRule>
  </conditionalFormatting>
  <conditionalFormatting sqref="BC144">
    <cfRule type="cellIs" dxfId="682" priority="1017" stopIfTrue="1" operator="notBetween">
      <formula>#REF!</formula>
      <formula>#REF!</formula>
    </cfRule>
  </conditionalFormatting>
  <conditionalFormatting sqref="BC177">
    <cfRule type="cellIs" dxfId="681" priority="995" stopIfTrue="1" operator="notBetween">
      <formula>#REF!</formula>
      <formula>#REF!</formula>
    </cfRule>
  </conditionalFormatting>
  <conditionalFormatting sqref="BC210">
    <cfRule type="cellIs" dxfId="680" priority="973" stopIfTrue="1" operator="notBetween">
      <formula>#REF!</formula>
      <formula>#REF!</formula>
    </cfRule>
  </conditionalFormatting>
  <conditionalFormatting sqref="BC243">
    <cfRule type="cellIs" dxfId="679" priority="951" stopIfTrue="1" operator="notBetween">
      <formula>#REF!</formula>
      <formula>#REF!</formula>
    </cfRule>
  </conditionalFormatting>
  <conditionalFormatting sqref="BC276">
    <cfRule type="cellIs" dxfId="678" priority="929" stopIfTrue="1" operator="notBetween">
      <formula>#REF!</formula>
      <formula>#REF!</formula>
    </cfRule>
  </conditionalFormatting>
  <conditionalFormatting sqref="BC309">
    <cfRule type="cellIs" dxfId="677" priority="907" stopIfTrue="1" operator="notBetween">
      <formula>#REF!</formula>
      <formula>#REF!</formula>
    </cfRule>
  </conditionalFormatting>
  <conditionalFormatting sqref="BC342">
    <cfRule type="cellIs" dxfId="676" priority="885" stopIfTrue="1" operator="notBetween">
      <formula>#REF!</formula>
      <formula>#REF!</formula>
    </cfRule>
  </conditionalFormatting>
  <conditionalFormatting sqref="AM136">
    <cfRule type="expression" dxfId="675" priority="827" stopIfTrue="1">
      <formula>$Q136&lt;#REF!</formula>
    </cfRule>
  </conditionalFormatting>
  <conditionalFormatting sqref="AM235">
    <cfRule type="expression" dxfId="674" priority="761" stopIfTrue="1">
      <formula>$Q235&lt;#REF!</formula>
    </cfRule>
  </conditionalFormatting>
  <conditionalFormatting sqref="D16:E20">
    <cfRule type="expression" dxfId="673" priority="8573" stopIfTrue="1">
      <formula>$AR35</formula>
    </cfRule>
  </conditionalFormatting>
  <conditionalFormatting sqref="S21:S23">
    <cfRule type="expression" dxfId="672" priority="297" stopIfTrue="1">
      <formula>VALUE(RIGHT($S21,1))&gt;$AK21</formula>
    </cfRule>
  </conditionalFormatting>
  <conditionalFormatting sqref="AM70">
    <cfRule type="expression" dxfId="671" priority="292" stopIfTrue="1">
      <formula>$Q70&lt;#REF!</formula>
    </cfRule>
  </conditionalFormatting>
  <conditionalFormatting sqref="AM103">
    <cfRule type="expression" dxfId="670" priority="273" stopIfTrue="1">
      <formula>$Q103&lt;#REF!</formula>
    </cfRule>
  </conditionalFormatting>
  <conditionalFormatting sqref="AM169">
    <cfRule type="expression" dxfId="669" priority="254" stopIfTrue="1">
      <formula>$Q169&lt;#REF!</formula>
    </cfRule>
  </conditionalFormatting>
  <conditionalFormatting sqref="AM202">
    <cfRule type="expression" dxfId="668" priority="235" stopIfTrue="1">
      <formula>$Q202&lt;#REF!</formula>
    </cfRule>
  </conditionalFormatting>
  <conditionalFormatting sqref="AM268">
    <cfRule type="expression" dxfId="667" priority="216" stopIfTrue="1">
      <formula>$Q268&lt;#REF!</formula>
    </cfRule>
  </conditionalFormatting>
  <conditionalFormatting sqref="AM301">
    <cfRule type="expression" dxfId="666" priority="197" stopIfTrue="1">
      <formula>$Q301&lt;#REF!</formula>
    </cfRule>
  </conditionalFormatting>
  <conditionalFormatting sqref="AM334">
    <cfRule type="expression" dxfId="665" priority="178" stopIfTrue="1">
      <formula>$Q334&lt;#REF!</formula>
    </cfRule>
  </conditionalFormatting>
  <conditionalFormatting sqref="W50:W54 Y50:Y54 AA50:AA54 AC50:AC54 AE50:AE54 AG50:AG54">
    <cfRule type="expression" dxfId="664" priority="155" stopIfTrue="1">
      <formula>$K50&lt;&gt;"Mantenido"</formula>
    </cfRule>
  </conditionalFormatting>
  <conditionalFormatting sqref="O57:R57 O55:R55">
    <cfRule type="expression" dxfId="663" priority="154" stopIfTrue="1">
      <formula>$F55&lt;&gt;"Atadura Elemental"</formula>
    </cfRule>
  </conditionalFormatting>
  <conditionalFormatting sqref="O56:R56">
    <cfRule type="expression" dxfId="662" priority="153" stopIfTrue="1">
      <formula>$F56&lt;&gt;"Atadura Elemental"</formula>
    </cfRule>
  </conditionalFormatting>
  <conditionalFormatting sqref="Q55:R57">
    <cfRule type="expression" dxfId="661" priority="156" stopIfTrue="1">
      <formula>$K55&lt;&gt;"A dos elementos"</formula>
    </cfRule>
  </conditionalFormatting>
  <conditionalFormatting sqref="V50:AG54">
    <cfRule type="cellIs" dxfId="660" priority="151" stopIfTrue="1" operator="lessThan">
      <formula>0</formula>
    </cfRule>
    <cfRule type="expression" dxfId="659" priority="152" stopIfTrue="1">
      <formula>NOT(ISNUMBER(SEARCH(V$14,$Q50)))</formula>
    </cfRule>
  </conditionalFormatting>
  <conditionalFormatting sqref="U46:U47">
    <cfRule type="expression" dxfId="658" priority="150">
      <formula>OR(AND(P46=1,U46&gt;50),AND(P46=2,U46&gt;100),AND(P46=3,U46&gt;200))</formula>
    </cfRule>
  </conditionalFormatting>
  <conditionalFormatting sqref="D63:AG69">
    <cfRule type="expression" dxfId="657" priority="157" stopIfTrue="1">
      <formula>AND(ISNUMBER(D63),D63&gt;$AH63)</formula>
    </cfRule>
  </conditionalFormatting>
  <conditionalFormatting sqref="V57:AG57">
    <cfRule type="expression" dxfId="656" priority="147" stopIfTrue="1">
      <formula>$AM74</formula>
    </cfRule>
    <cfRule type="cellIs" dxfId="655" priority="148" stopIfTrue="1" operator="lessThan">
      <formula>-TRUNC(SUM(V50:V54)/2)</formula>
    </cfRule>
  </conditionalFormatting>
  <conditionalFormatting sqref="F56:N56 S56 U56">
    <cfRule type="expression" dxfId="654" priority="158" stopIfTrue="1">
      <formula>$P46&lt;2</formula>
    </cfRule>
  </conditionalFormatting>
  <conditionalFormatting sqref="F57:N57 S57 U57">
    <cfRule type="expression" dxfId="653" priority="159" stopIfTrue="1">
      <formula>$P46&lt;3</formula>
    </cfRule>
  </conditionalFormatting>
  <conditionalFormatting sqref="O50:P54">
    <cfRule type="expression" dxfId="652" priority="149" stopIfTrue="1">
      <formula>VALUE(LEFT(O50,2))&lt;&gt;VALUE(RIGHT(O50,2))</formula>
    </cfRule>
  </conditionalFormatting>
  <conditionalFormatting sqref="O55:R56">
    <cfRule type="expression" dxfId="651" priority="160" stopIfTrue="1">
      <formula>$AM71</formula>
    </cfRule>
  </conditionalFormatting>
  <conditionalFormatting sqref="AD56">
    <cfRule type="expression" dxfId="650" priority="161">
      <formula>$AM72</formula>
    </cfRule>
  </conditionalFormatting>
  <conditionalFormatting sqref="Y56">
    <cfRule type="expression" dxfId="649" priority="162" stopIfTrue="1">
      <formula>AND(AM73,$Y56&lt;&gt;0)</formula>
    </cfRule>
  </conditionalFormatting>
  <conditionalFormatting sqref="D50:E54">
    <cfRule type="expression" dxfId="648" priority="163" stopIfTrue="1">
      <formula>$AR69</formula>
    </cfRule>
  </conditionalFormatting>
  <conditionalFormatting sqref="S55:S57">
    <cfRule type="expression" dxfId="647" priority="146" stopIfTrue="1">
      <formula>VALUE(RIGHT($S55,1))&gt;$AK55</formula>
    </cfRule>
  </conditionalFormatting>
  <conditionalFormatting sqref="W83:W87 Y83:Y87 AA83:AA87 AC83:AC87 AE83:AE87 AG83:AG87">
    <cfRule type="expression" dxfId="646" priority="137" stopIfTrue="1">
      <formula>$K83&lt;&gt;"Mantenido"</formula>
    </cfRule>
  </conditionalFormatting>
  <conditionalFormatting sqref="O90:R90 O88:R88">
    <cfRule type="expression" dxfId="645" priority="136" stopIfTrue="1">
      <formula>$F88&lt;&gt;"Atadura Elemental"</formula>
    </cfRule>
  </conditionalFormatting>
  <conditionalFormatting sqref="O89:R89">
    <cfRule type="expression" dxfId="644" priority="135" stopIfTrue="1">
      <formula>$F89&lt;&gt;"Atadura Elemental"</formula>
    </cfRule>
  </conditionalFormatting>
  <conditionalFormatting sqref="Q88:R90">
    <cfRule type="expression" dxfId="643" priority="138" stopIfTrue="1">
      <formula>$K88&lt;&gt;"A dos elementos"</formula>
    </cfRule>
  </conditionalFormatting>
  <conditionalFormatting sqref="V83:AG87">
    <cfRule type="cellIs" dxfId="642" priority="133" stopIfTrue="1" operator="lessThan">
      <formula>0</formula>
    </cfRule>
    <cfRule type="expression" dxfId="641" priority="134" stopIfTrue="1">
      <formula>NOT(ISNUMBER(SEARCH(V$14,$Q83)))</formula>
    </cfRule>
  </conditionalFormatting>
  <conditionalFormatting sqref="U79:U80">
    <cfRule type="expression" dxfId="640" priority="132">
      <formula>OR(AND(P79=1,U79&gt;50),AND(P79=2,U79&gt;100),AND(P79=3,U79&gt;200))</formula>
    </cfRule>
  </conditionalFormatting>
  <conditionalFormatting sqref="D96:AG102">
    <cfRule type="expression" dxfId="639" priority="139" stopIfTrue="1">
      <formula>AND(ISNUMBER(D96),D96&gt;$AH96)</formula>
    </cfRule>
  </conditionalFormatting>
  <conditionalFormatting sqref="V90:AG90">
    <cfRule type="expression" dxfId="638" priority="129" stopIfTrue="1">
      <formula>$AM107</formula>
    </cfRule>
    <cfRule type="cellIs" dxfId="637" priority="130" stopIfTrue="1" operator="lessThan">
      <formula>-TRUNC(SUM(V83:V87)/2)</formula>
    </cfRule>
  </conditionalFormatting>
  <conditionalFormatting sqref="F89:N89 S89 U89">
    <cfRule type="expression" dxfId="636" priority="140" stopIfTrue="1">
      <formula>$P79&lt;2</formula>
    </cfRule>
  </conditionalFormatting>
  <conditionalFormatting sqref="F90:N90 S90 U90">
    <cfRule type="expression" dxfId="635" priority="141" stopIfTrue="1">
      <formula>$P79&lt;3</formula>
    </cfRule>
  </conditionalFormatting>
  <conditionalFormatting sqref="O83:P87">
    <cfRule type="expression" dxfId="634" priority="131" stopIfTrue="1">
      <formula>VALUE(LEFT(O83,2))&lt;&gt;VALUE(RIGHT(O83,2))</formula>
    </cfRule>
  </conditionalFormatting>
  <conditionalFormatting sqref="O88:R89">
    <cfRule type="expression" dxfId="633" priority="142" stopIfTrue="1">
      <formula>$AM104</formula>
    </cfRule>
  </conditionalFormatting>
  <conditionalFormatting sqref="AD89">
    <cfRule type="expression" dxfId="632" priority="143">
      <formula>$AM105</formula>
    </cfRule>
  </conditionalFormatting>
  <conditionalFormatting sqref="Y89">
    <cfRule type="expression" dxfId="631" priority="144" stopIfTrue="1">
      <formula>AND(AM106,$Y89&lt;&gt;0)</formula>
    </cfRule>
  </conditionalFormatting>
  <conditionalFormatting sqref="D83:E87">
    <cfRule type="expression" dxfId="630" priority="145" stopIfTrue="1">
      <formula>$AR102</formula>
    </cfRule>
  </conditionalFormatting>
  <conditionalFormatting sqref="S88:S90">
    <cfRule type="expression" dxfId="629" priority="128" stopIfTrue="1">
      <formula>VALUE(RIGHT($S88,1))&gt;$AK88</formula>
    </cfRule>
  </conditionalFormatting>
  <conditionalFormatting sqref="W116:W120 Y116:Y120 AA116:AA120 AC116:AC120 AE116:AE120 AG116:AG120">
    <cfRule type="expression" dxfId="628" priority="119" stopIfTrue="1">
      <formula>$K116&lt;&gt;"Mantenido"</formula>
    </cfRule>
  </conditionalFormatting>
  <conditionalFormatting sqref="O123:R123 O121:R121">
    <cfRule type="expression" dxfId="627" priority="118" stopIfTrue="1">
      <formula>$F121&lt;&gt;"Atadura Elemental"</formula>
    </cfRule>
  </conditionalFormatting>
  <conditionalFormatting sqref="O122:R122">
    <cfRule type="expression" dxfId="626" priority="117" stopIfTrue="1">
      <formula>$F122&lt;&gt;"Atadura Elemental"</formula>
    </cfRule>
  </conditionalFormatting>
  <conditionalFormatting sqref="Q121:R123">
    <cfRule type="expression" dxfId="625" priority="120" stopIfTrue="1">
      <formula>$K121&lt;&gt;"A dos elementos"</formula>
    </cfRule>
  </conditionalFormatting>
  <conditionalFormatting sqref="V116:AG120">
    <cfRule type="cellIs" dxfId="624" priority="115" stopIfTrue="1" operator="lessThan">
      <formula>0</formula>
    </cfRule>
    <cfRule type="expression" dxfId="623" priority="116" stopIfTrue="1">
      <formula>NOT(ISNUMBER(SEARCH(V$14,$Q116)))</formula>
    </cfRule>
  </conditionalFormatting>
  <conditionalFormatting sqref="U112:U113">
    <cfRule type="expression" dxfId="622" priority="114">
      <formula>OR(AND(P112=1,U112&gt;50),AND(P112=2,U112&gt;100),AND(P112=3,U112&gt;200))</formula>
    </cfRule>
  </conditionalFormatting>
  <conditionalFormatting sqref="D129:AG135">
    <cfRule type="expression" dxfId="621" priority="121" stopIfTrue="1">
      <formula>AND(ISNUMBER(D129),D129&gt;$AH129)</formula>
    </cfRule>
  </conditionalFormatting>
  <conditionalFormatting sqref="V123:AG123">
    <cfRule type="expression" dxfId="620" priority="111" stopIfTrue="1">
      <formula>$AM140</formula>
    </cfRule>
    <cfRule type="cellIs" dxfId="619" priority="112" stopIfTrue="1" operator="lessThan">
      <formula>-TRUNC(SUM(V116:V120)/2)</formula>
    </cfRule>
  </conditionalFormatting>
  <conditionalFormatting sqref="F122:N122 S122 U122">
    <cfRule type="expression" dxfId="618" priority="122" stopIfTrue="1">
      <formula>$P112&lt;2</formula>
    </cfRule>
  </conditionalFormatting>
  <conditionalFormatting sqref="F123:N123 S123 U123">
    <cfRule type="expression" dxfId="617" priority="123" stopIfTrue="1">
      <formula>$P112&lt;3</formula>
    </cfRule>
  </conditionalFormatting>
  <conditionalFormatting sqref="O116:P120">
    <cfRule type="expression" dxfId="616" priority="113" stopIfTrue="1">
      <formula>VALUE(LEFT(O116,2))&lt;&gt;VALUE(RIGHT(O116,2))</formula>
    </cfRule>
  </conditionalFormatting>
  <conditionalFormatting sqref="O121:R122">
    <cfRule type="expression" dxfId="615" priority="124" stopIfTrue="1">
      <formula>$AM137</formula>
    </cfRule>
  </conditionalFormatting>
  <conditionalFormatting sqref="AD122">
    <cfRule type="expression" dxfId="614" priority="125">
      <formula>$AM138</formula>
    </cfRule>
  </conditionalFormatting>
  <conditionalFormatting sqref="Y122">
    <cfRule type="expression" dxfId="613" priority="126" stopIfTrue="1">
      <formula>AND(AM139,$Y122&lt;&gt;0)</formula>
    </cfRule>
  </conditionalFormatting>
  <conditionalFormatting sqref="D116:E120">
    <cfRule type="expression" dxfId="612" priority="127" stopIfTrue="1">
      <formula>$AR135</formula>
    </cfRule>
  </conditionalFormatting>
  <conditionalFormatting sqref="S121:S123">
    <cfRule type="expression" dxfId="611" priority="110" stopIfTrue="1">
      <formula>VALUE(RIGHT($S121,1))&gt;$AK121</formula>
    </cfRule>
  </conditionalFormatting>
  <conditionalFormatting sqref="W149:W153 Y149:Y153 AA149:AA153 AC149:AC153 AE149:AE153 AG149:AG153">
    <cfRule type="expression" dxfId="610" priority="101" stopIfTrue="1">
      <formula>$K149&lt;&gt;"Mantenido"</formula>
    </cfRule>
  </conditionalFormatting>
  <conditionalFormatting sqref="O156:R156 O154:R154">
    <cfRule type="expression" dxfId="609" priority="100" stopIfTrue="1">
      <formula>$F154&lt;&gt;"Atadura Elemental"</formula>
    </cfRule>
  </conditionalFormatting>
  <conditionalFormatting sqref="O155:R155">
    <cfRule type="expression" dxfId="608" priority="99" stopIfTrue="1">
      <formula>$F155&lt;&gt;"Atadura Elemental"</formula>
    </cfRule>
  </conditionalFormatting>
  <conditionalFormatting sqref="Q154:R156">
    <cfRule type="expression" dxfId="607" priority="102" stopIfTrue="1">
      <formula>$K154&lt;&gt;"A dos elementos"</formula>
    </cfRule>
  </conditionalFormatting>
  <conditionalFormatting sqref="V149:AG153">
    <cfRule type="cellIs" dxfId="606" priority="97" stopIfTrue="1" operator="lessThan">
      <formula>0</formula>
    </cfRule>
    <cfRule type="expression" dxfId="605" priority="98" stopIfTrue="1">
      <formula>NOT(ISNUMBER(SEARCH(V$14,$Q149)))</formula>
    </cfRule>
  </conditionalFormatting>
  <conditionalFormatting sqref="U145:U146">
    <cfRule type="expression" dxfId="604" priority="96">
      <formula>OR(AND(P145=1,U145&gt;50),AND(P145=2,U145&gt;100),AND(P145=3,U145&gt;200))</formula>
    </cfRule>
  </conditionalFormatting>
  <conditionalFormatting sqref="D162:AG168">
    <cfRule type="expression" dxfId="603" priority="103" stopIfTrue="1">
      <formula>AND(ISNUMBER(D162),D162&gt;$AH162)</formula>
    </cfRule>
  </conditionalFormatting>
  <conditionalFormatting sqref="V156:AG156">
    <cfRule type="expression" dxfId="602" priority="93" stopIfTrue="1">
      <formula>$AM173</formula>
    </cfRule>
    <cfRule type="cellIs" dxfId="601" priority="94" stopIfTrue="1" operator="lessThan">
      <formula>-TRUNC(SUM(V149:V153)/2)</formula>
    </cfRule>
  </conditionalFormatting>
  <conditionalFormatting sqref="F155:N155 S155 U155">
    <cfRule type="expression" dxfId="600" priority="104" stopIfTrue="1">
      <formula>$P145&lt;2</formula>
    </cfRule>
  </conditionalFormatting>
  <conditionalFormatting sqref="F156:N156 S156 U156">
    <cfRule type="expression" dxfId="599" priority="105" stopIfTrue="1">
      <formula>$P145&lt;3</formula>
    </cfRule>
  </conditionalFormatting>
  <conditionalFormatting sqref="O149:P153">
    <cfRule type="expression" dxfId="598" priority="95" stopIfTrue="1">
      <formula>VALUE(LEFT(O149,2))&lt;&gt;VALUE(RIGHT(O149,2))</formula>
    </cfRule>
  </conditionalFormatting>
  <conditionalFormatting sqref="O154:R155">
    <cfRule type="expression" dxfId="597" priority="106" stopIfTrue="1">
      <formula>$AM170</formula>
    </cfRule>
  </conditionalFormatting>
  <conditionalFormatting sqref="AD155">
    <cfRule type="expression" dxfId="596" priority="107">
      <formula>$AM171</formula>
    </cfRule>
  </conditionalFormatting>
  <conditionalFormatting sqref="Y155">
    <cfRule type="expression" dxfId="595" priority="108" stopIfTrue="1">
      <formula>AND(AM172,$Y155&lt;&gt;0)</formula>
    </cfRule>
  </conditionalFormatting>
  <conditionalFormatting sqref="D149:E153">
    <cfRule type="expression" dxfId="594" priority="109" stopIfTrue="1">
      <formula>$AR168</formula>
    </cfRule>
  </conditionalFormatting>
  <conditionalFormatting sqref="S154:S156">
    <cfRule type="expression" dxfId="593" priority="92" stopIfTrue="1">
      <formula>VALUE(RIGHT($S154,1))&gt;$AK154</formula>
    </cfRule>
  </conditionalFormatting>
  <conditionalFormatting sqref="W182:W186 Y182:Y186 AA182:AA186 AC182:AC186 AE182:AE186 AG182:AG186">
    <cfRule type="expression" dxfId="592" priority="83" stopIfTrue="1">
      <formula>$K182&lt;&gt;"Mantenido"</formula>
    </cfRule>
  </conditionalFormatting>
  <conditionalFormatting sqref="O189:R189 O187:R187">
    <cfRule type="expression" dxfId="591" priority="82" stopIfTrue="1">
      <formula>$F187&lt;&gt;"Atadura Elemental"</formula>
    </cfRule>
  </conditionalFormatting>
  <conditionalFormatting sqref="O188:R188">
    <cfRule type="expression" dxfId="590" priority="81" stopIfTrue="1">
      <formula>$F188&lt;&gt;"Atadura Elemental"</formula>
    </cfRule>
  </conditionalFormatting>
  <conditionalFormatting sqref="Q187:R189">
    <cfRule type="expression" dxfId="589" priority="84" stopIfTrue="1">
      <formula>$K187&lt;&gt;"A dos elementos"</formula>
    </cfRule>
  </conditionalFormatting>
  <conditionalFormatting sqref="V182:AG186">
    <cfRule type="cellIs" dxfId="588" priority="79" stopIfTrue="1" operator="lessThan">
      <formula>0</formula>
    </cfRule>
    <cfRule type="expression" dxfId="587" priority="80" stopIfTrue="1">
      <formula>NOT(ISNUMBER(SEARCH(V$14,$Q182)))</formula>
    </cfRule>
  </conditionalFormatting>
  <conditionalFormatting sqref="U178:U179">
    <cfRule type="expression" dxfId="586" priority="78">
      <formula>OR(AND(P178=1,U178&gt;50),AND(P178=2,U178&gt;100),AND(P178=3,U178&gt;200))</formula>
    </cfRule>
  </conditionalFormatting>
  <conditionalFormatting sqref="D195:AG201">
    <cfRule type="expression" dxfId="585" priority="85" stopIfTrue="1">
      <formula>AND(ISNUMBER(D195),D195&gt;$AH195)</formula>
    </cfRule>
  </conditionalFormatting>
  <conditionalFormatting sqref="V189:AG189">
    <cfRule type="expression" dxfId="584" priority="75" stopIfTrue="1">
      <formula>$AM206</formula>
    </cfRule>
    <cfRule type="cellIs" dxfId="583" priority="76" stopIfTrue="1" operator="lessThan">
      <formula>-TRUNC(SUM(V182:V186)/2)</formula>
    </cfRule>
  </conditionalFormatting>
  <conditionalFormatting sqref="F188:N188 S188 U188">
    <cfRule type="expression" dxfId="582" priority="86" stopIfTrue="1">
      <formula>$P178&lt;2</formula>
    </cfRule>
  </conditionalFormatting>
  <conditionalFormatting sqref="F189:N189 S189 U189">
    <cfRule type="expression" dxfId="581" priority="87" stopIfTrue="1">
      <formula>$P178&lt;3</formula>
    </cfRule>
  </conditionalFormatting>
  <conditionalFormatting sqref="O182:P186">
    <cfRule type="expression" dxfId="580" priority="77" stopIfTrue="1">
      <formula>VALUE(LEFT(O182,2))&lt;&gt;VALUE(RIGHT(O182,2))</formula>
    </cfRule>
  </conditionalFormatting>
  <conditionalFormatting sqref="O187:R188">
    <cfRule type="expression" dxfId="579" priority="88" stopIfTrue="1">
      <formula>$AM203</formula>
    </cfRule>
  </conditionalFormatting>
  <conditionalFormatting sqref="AD188">
    <cfRule type="expression" dxfId="578" priority="89">
      <formula>$AM204</formula>
    </cfRule>
  </conditionalFormatting>
  <conditionalFormatting sqref="Y188">
    <cfRule type="expression" dxfId="577" priority="90" stopIfTrue="1">
      <formula>AND(AM205,$Y188&lt;&gt;0)</formula>
    </cfRule>
  </conditionalFormatting>
  <conditionalFormatting sqref="D182:E186">
    <cfRule type="expression" dxfId="576" priority="91" stopIfTrue="1">
      <formula>$AR201</formula>
    </cfRule>
  </conditionalFormatting>
  <conditionalFormatting sqref="S187:S189">
    <cfRule type="expression" dxfId="575" priority="74" stopIfTrue="1">
      <formula>VALUE(RIGHT($S187,1))&gt;$AK187</formula>
    </cfRule>
  </conditionalFormatting>
  <conditionalFormatting sqref="W215:W219 Y215:Y219 AA215:AA219 AC215:AC219 AE215:AE219 AG215:AG219">
    <cfRule type="expression" dxfId="574" priority="65" stopIfTrue="1">
      <formula>$K215&lt;&gt;"Mantenido"</formula>
    </cfRule>
  </conditionalFormatting>
  <conditionalFormatting sqref="O222:R222 O220:R220">
    <cfRule type="expression" dxfId="573" priority="64" stopIfTrue="1">
      <formula>$F220&lt;&gt;"Atadura Elemental"</formula>
    </cfRule>
  </conditionalFormatting>
  <conditionalFormatting sqref="O221:R221">
    <cfRule type="expression" dxfId="572" priority="63" stopIfTrue="1">
      <formula>$F221&lt;&gt;"Atadura Elemental"</formula>
    </cfRule>
  </conditionalFormatting>
  <conditionalFormatting sqref="Q220:R222">
    <cfRule type="expression" dxfId="571" priority="66" stopIfTrue="1">
      <formula>$K220&lt;&gt;"A dos elementos"</formula>
    </cfRule>
  </conditionalFormatting>
  <conditionalFormatting sqref="V215:AG219">
    <cfRule type="cellIs" dxfId="570" priority="61" stopIfTrue="1" operator="lessThan">
      <formula>0</formula>
    </cfRule>
    <cfRule type="expression" dxfId="569" priority="62" stopIfTrue="1">
      <formula>NOT(ISNUMBER(SEARCH(V$14,$Q215)))</formula>
    </cfRule>
  </conditionalFormatting>
  <conditionalFormatting sqref="U211:U212">
    <cfRule type="expression" dxfId="568" priority="60">
      <formula>OR(AND(P211=1,U211&gt;50),AND(P211=2,U211&gt;100),AND(P211=3,U211&gt;200))</formula>
    </cfRule>
  </conditionalFormatting>
  <conditionalFormatting sqref="D228:AG234">
    <cfRule type="expression" dxfId="567" priority="67" stopIfTrue="1">
      <formula>AND(ISNUMBER(D228),D228&gt;$AH228)</formula>
    </cfRule>
  </conditionalFormatting>
  <conditionalFormatting sqref="V222:AG222">
    <cfRule type="expression" dxfId="566" priority="57" stopIfTrue="1">
      <formula>$AM239</formula>
    </cfRule>
    <cfRule type="cellIs" dxfId="565" priority="58" stopIfTrue="1" operator="lessThan">
      <formula>-TRUNC(SUM(V215:V219)/2)</formula>
    </cfRule>
  </conditionalFormatting>
  <conditionalFormatting sqref="F221:N221 S221 U221">
    <cfRule type="expression" dxfId="564" priority="68" stopIfTrue="1">
      <formula>$P211&lt;2</formula>
    </cfRule>
  </conditionalFormatting>
  <conditionalFormatting sqref="F222:N222 S222 U222">
    <cfRule type="expression" dxfId="563" priority="69" stopIfTrue="1">
      <formula>$P211&lt;3</formula>
    </cfRule>
  </conditionalFormatting>
  <conditionalFormatting sqref="O215:P219">
    <cfRule type="expression" dxfId="562" priority="59" stopIfTrue="1">
      <formula>VALUE(LEFT(O215,2))&lt;&gt;VALUE(RIGHT(O215,2))</formula>
    </cfRule>
  </conditionalFormatting>
  <conditionalFormatting sqref="O220:R221">
    <cfRule type="expression" dxfId="561" priority="70" stopIfTrue="1">
      <formula>$AM236</formula>
    </cfRule>
  </conditionalFormatting>
  <conditionalFormatting sqref="AD221">
    <cfRule type="expression" dxfId="560" priority="71">
      <formula>$AM237</formula>
    </cfRule>
  </conditionalFormatting>
  <conditionalFormatting sqref="Y221">
    <cfRule type="expression" dxfId="559" priority="72" stopIfTrue="1">
      <formula>AND(AM238,$Y221&lt;&gt;0)</formula>
    </cfRule>
  </conditionalFormatting>
  <conditionalFormatting sqref="D215:E219">
    <cfRule type="expression" dxfId="558" priority="73" stopIfTrue="1">
      <formula>$AR234</formula>
    </cfRule>
  </conditionalFormatting>
  <conditionalFormatting sqref="S220:S222">
    <cfRule type="expression" dxfId="557" priority="56" stopIfTrue="1">
      <formula>VALUE(RIGHT($S220,1))&gt;$AK220</formula>
    </cfRule>
  </conditionalFormatting>
  <conditionalFormatting sqref="W248:W252 Y248:Y252 AA248:AA252 AC248:AC252 AE248:AE252 AG248:AG252">
    <cfRule type="expression" dxfId="556" priority="47" stopIfTrue="1">
      <formula>$K248&lt;&gt;"Mantenido"</formula>
    </cfRule>
  </conditionalFormatting>
  <conditionalFormatting sqref="O255:R255 O253:R253">
    <cfRule type="expression" dxfId="555" priority="46" stopIfTrue="1">
      <formula>$F253&lt;&gt;"Atadura Elemental"</formula>
    </cfRule>
  </conditionalFormatting>
  <conditionalFormatting sqref="O254:R254">
    <cfRule type="expression" dxfId="554" priority="45" stopIfTrue="1">
      <formula>$F254&lt;&gt;"Atadura Elemental"</formula>
    </cfRule>
  </conditionalFormatting>
  <conditionalFormatting sqref="Q253:R255">
    <cfRule type="expression" dxfId="553" priority="48" stopIfTrue="1">
      <formula>$K253&lt;&gt;"A dos elementos"</formula>
    </cfRule>
  </conditionalFormatting>
  <conditionalFormatting sqref="V248:AG252">
    <cfRule type="cellIs" dxfId="552" priority="43" stopIfTrue="1" operator="lessThan">
      <formula>0</formula>
    </cfRule>
    <cfRule type="expression" dxfId="551" priority="44" stopIfTrue="1">
      <formula>NOT(ISNUMBER(SEARCH(V$14,$Q248)))</formula>
    </cfRule>
  </conditionalFormatting>
  <conditionalFormatting sqref="U244:U245">
    <cfRule type="expression" dxfId="550" priority="42">
      <formula>OR(AND(P244=1,U244&gt;50),AND(P244=2,U244&gt;100),AND(P244=3,U244&gt;200))</formula>
    </cfRule>
  </conditionalFormatting>
  <conditionalFormatting sqref="D261:AG267">
    <cfRule type="expression" dxfId="549" priority="49" stopIfTrue="1">
      <formula>AND(ISNUMBER(D261),D261&gt;$AH261)</formula>
    </cfRule>
  </conditionalFormatting>
  <conditionalFormatting sqref="V255:AG255">
    <cfRule type="expression" dxfId="548" priority="39" stopIfTrue="1">
      <formula>$AM272</formula>
    </cfRule>
    <cfRule type="cellIs" dxfId="547" priority="40" stopIfTrue="1" operator="lessThan">
      <formula>-TRUNC(SUM(V248:V252)/2)</formula>
    </cfRule>
  </conditionalFormatting>
  <conditionalFormatting sqref="F254:N254 S254 U254">
    <cfRule type="expression" dxfId="546" priority="50" stopIfTrue="1">
      <formula>$P244&lt;2</formula>
    </cfRule>
  </conditionalFormatting>
  <conditionalFormatting sqref="F255:N255 S255 U255">
    <cfRule type="expression" dxfId="545" priority="51" stopIfTrue="1">
      <formula>$P244&lt;3</formula>
    </cfRule>
  </conditionalFormatting>
  <conditionalFormatting sqref="O248:P252">
    <cfRule type="expression" dxfId="544" priority="41" stopIfTrue="1">
      <formula>VALUE(LEFT(O248,2))&lt;&gt;VALUE(RIGHT(O248,2))</formula>
    </cfRule>
  </conditionalFormatting>
  <conditionalFormatting sqref="O253:R254">
    <cfRule type="expression" dxfId="543" priority="52" stopIfTrue="1">
      <formula>$AM269</formula>
    </cfRule>
  </conditionalFormatting>
  <conditionalFormatting sqref="AD254">
    <cfRule type="expression" dxfId="542" priority="53">
      <formula>$AM270</formula>
    </cfRule>
  </conditionalFormatting>
  <conditionalFormatting sqref="Y254">
    <cfRule type="expression" dxfId="541" priority="54" stopIfTrue="1">
      <formula>AND(AM271,$Y254&lt;&gt;0)</formula>
    </cfRule>
  </conditionalFormatting>
  <conditionalFormatting sqref="D248:E252">
    <cfRule type="expression" dxfId="540" priority="55" stopIfTrue="1">
      <formula>$AR267</formula>
    </cfRule>
  </conditionalFormatting>
  <conditionalFormatting sqref="S253:S255">
    <cfRule type="expression" dxfId="539" priority="38" stopIfTrue="1">
      <formula>VALUE(RIGHT($S253,1))&gt;$AK253</formula>
    </cfRule>
  </conditionalFormatting>
  <conditionalFormatting sqref="W281:W285 Y281:Y285 AA281:AA285 AC281:AC285 AE281:AE285 AG281:AG285">
    <cfRule type="expression" dxfId="538" priority="29" stopIfTrue="1">
      <formula>$K281&lt;&gt;"Mantenido"</formula>
    </cfRule>
  </conditionalFormatting>
  <conditionalFormatting sqref="O288:R288 O286:R286">
    <cfRule type="expression" dxfId="537" priority="28" stopIfTrue="1">
      <formula>$F286&lt;&gt;"Atadura Elemental"</formula>
    </cfRule>
  </conditionalFormatting>
  <conditionalFormatting sqref="O287:R287">
    <cfRule type="expression" dxfId="536" priority="27" stopIfTrue="1">
      <formula>$F287&lt;&gt;"Atadura Elemental"</formula>
    </cfRule>
  </conditionalFormatting>
  <conditionalFormatting sqref="Q286:R288">
    <cfRule type="expression" dxfId="535" priority="30" stopIfTrue="1">
      <formula>$K286&lt;&gt;"A dos elementos"</formula>
    </cfRule>
  </conditionalFormatting>
  <conditionalFormatting sqref="V281:AG285">
    <cfRule type="cellIs" dxfId="534" priority="25" stopIfTrue="1" operator="lessThan">
      <formula>0</formula>
    </cfRule>
    <cfRule type="expression" dxfId="533" priority="26" stopIfTrue="1">
      <formula>NOT(ISNUMBER(SEARCH(V$14,$Q281)))</formula>
    </cfRule>
  </conditionalFormatting>
  <conditionalFormatting sqref="U277:U278">
    <cfRule type="expression" dxfId="532" priority="24">
      <formula>OR(AND(P277=1,U277&gt;50),AND(P277=2,U277&gt;100),AND(P277=3,U277&gt;200))</formula>
    </cfRule>
  </conditionalFormatting>
  <conditionalFormatting sqref="D294:AG300">
    <cfRule type="expression" dxfId="531" priority="31" stopIfTrue="1">
      <formula>AND(ISNUMBER(D294),D294&gt;$AH294)</formula>
    </cfRule>
  </conditionalFormatting>
  <conditionalFormatting sqref="V288:AG288">
    <cfRule type="expression" dxfId="530" priority="21" stopIfTrue="1">
      <formula>$AM305</formula>
    </cfRule>
    <cfRule type="cellIs" dxfId="529" priority="22" stopIfTrue="1" operator="lessThan">
      <formula>-TRUNC(SUM(V281:V285)/2)</formula>
    </cfRule>
  </conditionalFormatting>
  <conditionalFormatting sqref="F287:N287 S287 U287">
    <cfRule type="expression" dxfId="528" priority="32" stopIfTrue="1">
      <formula>$P277&lt;2</formula>
    </cfRule>
  </conditionalFormatting>
  <conditionalFormatting sqref="F288:N288 S288 U288">
    <cfRule type="expression" dxfId="527" priority="33" stopIfTrue="1">
      <formula>$P277&lt;3</formula>
    </cfRule>
  </conditionalFormatting>
  <conditionalFormatting sqref="O281:P285">
    <cfRule type="expression" dxfId="526" priority="23" stopIfTrue="1">
      <formula>VALUE(LEFT(O281,2))&lt;&gt;VALUE(RIGHT(O281,2))</formula>
    </cfRule>
  </conditionalFormatting>
  <conditionalFormatting sqref="O286:R287">
    <cfRule type="expression" dxfId="525" priority="34" stopIfTrue="1">
      <formula>$AM302</formula>
    </cfRule>
  </conditionalFormatting>
  <conditionalFormatting sqref="AD287">
    <cfRule type="expression" dxfId="524" priority="35">
      <formula>$AM303</formula>
    </cfRule>
  </conditionalFormatting>
  <conditionalFormatting sqref="Y287">
    <cfRule type="expression" dxfId="523" priority="36" stopIfTrue="1">
      <formula>AND(AM304,$Y287&lt;&gt;0)</formula>
    </cfRule>
  </conditionalFormatting>
  <conditionalFormatting sqref="D281:E285">
    <cfRule type="expression" dxfId="522" priority="37" stopIfTrue="1">
      <formula>$AR300</formula>
    </cfRule>
  </conditionalFormatting>
  <conditionalFormatting sqref="S286:S288">
    <cfRule type="expression" dxfId="521" priority="20" stopIfTrue="1">
      <formula>VALUE(RIGHT($S286,1))&gt;$AK286</formula>
    </cfRule>
  </conditionalFormatting>
  <conditionalFormatting sqref="W314:W318 Y314:Y318 AA314:AA318 AC314:AC318 AE314:AE318 AG314:AG318">
    <cfRule type="expression" dxfId="520" priority="11" stopIfTrue="1">
      <formula>$K314&lt;&gt;"Mantenido"</formula>
    </cfRule>
  </conditionalFormatting>
  <conditionalFormatting sqref="O321:R321 O319:R319">
    <cfRule type="expression" dxfId="519" priority="10" stopIfTrue="1">
      <formula>$F319&lt;&gt;"Atadura Elemental"</formula>
    </cfRule>
  </conditionalFormatting>
  <conditionalFormatting sqref="O320:R320">
    <cfRule type="expression" dxfId="518" priority="9" stopIfTrue="1">
      <formula>$F320&lt;&gt;"Atadura Elemental"</formula>
    </cfRule>
  </conditionalFormatting>
  <conditionalFormatting sqref="Q319:R321">
    <cfRule type="expression" dxfId="517" priority="12" stopIfTrue="1">
      <formula>$K319&lt;&gt;"A dos elementos"</formula>
    </cfRule>
  </conditionalFormatting>
  <conditionalFormatting sqref="V314:AG318">
    <cfRule type="cellIs" dxfId="516" priority="7" stopIfTrue="1" operator="lessThan">
      <formula>0</formula>
    </cfRule>
    <cfRule type="expression" dxfId="515" priority="8" stopIfTrue="1">
      <formula>NOT(ISNUMBER(SEARCH(V$14,$Q314)))</formula>
    </cfRule>
  </conditionalFormatting>
  <conditionalFormatting sqref="U310:U311">
    <cfRule type="expression" dxfId="514" priority="6">
      <formula>OR(AND(P310=1,U310&gt;50),AND(P310=2,U310&gt;100),AND(P310=3,U310&gt;200))</formula>
    </cfRule>
  </conditionalFormatting>
  <conditionalFormatting sqref="D327:AG333">
    <cfRule type="expression" dxfId="513" priority="13" stopIfTrue="1">
      <formula>AND(ISNUMBER(D327),D327&gt;$AH327)</formula>
    </cfRule>
  </conditionalFormatting>
  <conditionalFormatting sqref="V321:AG321">
    <cfRule type="expression" dxfId="512" priority="3" stopIfTrue="1">
      <formula>$AM338</formula>
    </cfRule>
    <cfRule type="cellIs" dxfId="511" priority="4" stopIfTrue="1" operator="lessThan">
      <formula>-TRUNC(SUM(V314:V318)/2)</formula>
    </cfRule>
  </conditionalFormatting>
  <conditionalFormatting sqref="F320:N320 S320 U320">
    <cfRule type="expression" dxfId="510" priority="14" stopIfTrue="1">
      <formula>$P310&lt;2</formula>
    </cfRule>
  </conditionalFormatting>
  <conditionalFormatting sqref="F321:N321 S321 U321">
    <cfRule type="expression" dxfId="509" priority="15" stopIfTrue="1">
      <formula>$P310&lt;3</formula>
    </cfRule>
  </conditionalFormatting>
  <conditionalFormatting sqref="O314:P318">
    <cfRule type="expression" dxfId="508" priority="5" stopIfTrue="1">
      <formula>VALUE(LEFT(O314,2))&lt;&gt;VALUE(RIGHT(O314,2))</formula>
    </cfRule>
  </conditionalFormatting>
  <conditionalFormatting sqref="O319:R320">
    <cfRule type="expression" dxfId="507" priority="16" stopIfTrue="1">
      <formula>$AM335</formula>
    </cfRule>
  </conditionalFormatting>
  <conditionalFormatting sqref="AD320">
    <cfRule type="expression" dxfId="506" priority="17">
      <formula>$AM336</formula>
    </cfRule>
  </conditionalFormatting>
  <conditionalFormatting sqref="Y320">
    <cfRule type="expression" dxfId="505" priority="18" stopIfTrue="1">
      <formula>AND(AM337,$Y320&lt;&gt;0)</formula>
    </cfRule>
  </conditionalFormatting>
  <conditionalFormatting sqref="D314:E318">
    <cfRule type="expression" dxfId="504" priority="19" stopIfTrue="1">
      <formula>$AR333</formula>
    </cfRule>
  </conditionalFormatting>
  <conditionalFormatting sqref="S319:S321">
    <cfRule type="expression" dxfId="503" priority="2" stopIfTrue="1">
      <formula>VALUE(RIGHT($S319,1))&gt;$AK319</formula>
    </cfRule>
  </conditionalFormatting>
  <conditionalFormatting sqref="AM36">
    <cfRule type="expression" dxfId="502" priority="1" stopIfTrue="1">
      <formula>$Q36&lt;#REF!</formula>
    </cfRule>
  </conditionalFormatting>
  <conditionalFormatting sqref="V23:AG23">
    <cfRule type="expression" dxfId="501" priority="8583" stopIfTrue="1">
      <formula>$AM37</formula>
    </cfRule>
    <cfRule type="cellIs" dxfId="500" priority="8584" stopIfTrue="1" operator="lessThan">
      <formula>-TRUNC(SUM(V16:V20)/2)</formula>
    </cfRule>
  </conditionalFormatting>
  <conditionalFormatting sqref="O21:R21">
    <cfRule type="expression" dxfId="499" priority="8587" stopIfTrue="1">
      <formula>$AM39</formula>
    </cfRule>
  </conditionalFormatting>
  <conditionalFormatting sqref="Y22">
    <cfRule type="expression" dxfId="498" priority="8597" stopIfTrue="1">
      <formula>AND(AM40,$Y22&lt;&gt;0)</formula>
    </cfRule>
  </conditionalFormatting>
  <conditionalFormatting sqref="O22:R22">
    <cfRule type="expression" dxfId="1" priority="8604" stopIfTrue="1">
      <formula>$AM44</formula>
    </cfRule>
  </conditionalFormatting>
  <conditionalFormatting sqref="AD22">
    <cfRule type="expression" dxfId="0" priority="8605">
      <formula>$AM44</formula>
    </cfRule>
  </conditionalFormatting>
  <dataValidations count="5">
    <dataValidation type="list" allowBlank="1" showInputMessage="1" showErrorMessage="1" sqref="K21:M23 K187:M189 K154:M156 K220:M222 K253:M255 K286:M288 K88:M90 K55:M57 K121:M123 K319:M321">
      <formula1>INDIRECT($AL21)</formula1>
    </dataValidation>
    <dataValidation type="list" allowBlank="1" showInputMessage="1" showErrorMessage="1" sqref="BE152">
      <formula1>$G121</formula1>
    </dataValidation>
    <dataValidation type="list" allowBlank="1" showInputMessage="1" showErrorMessage="1" sqref="S12:S13 S178:S179 S145:S146 S211:S212 S244:S245 S277:S278 S79:S80 S46:S47 S112:S113 S310:S311">
      <formula1>Tabla_SiNo</formula1>
    </dataValidation>
    <dataValidation type="list" allowBlank="1" showInputMessage="1" showErrorMessage="1" sqref="P12:P13 P178:P179 P145:P146 P211:P212 P244:P245 P277:P278 P79:P80 P46:P47 P112:P113 P310:P311">
      <formula1>"1,2,3"</formula1>
    </dataValidation>
    <dataValidation type="list" allowBlank="1" showInputMessage="1" showErrorMessage="1" sqref="J29:J35 D327:D333 AB327:AB333 V327:V333 P327:P333 J327:J333 D129:D135 AB129:AB135 V129:V135 P129:P135 J129:J135 D63:D69 AB63:AB69 V63:V69 P63:P69 J63:J69 D96:D102 AB96:AB102 V96:V102 P96:P102 J96:J102 D294:D300 AB294:AB300 V294:V300 P294:P300 J294:J300 D261:D267 AB261:AB267 V261:V267 P261:P267 J261:J267 D228:D234 AB228:AB234 V228:V234 P228:P234 J228:J234 D162:D168 AB162:AB168 V162:V168 P162:P168 J162:J168 D195:D201 AB195:AB201 V195:V201 P195:P201 J195:J201 D29:D35 AB29:AB35 V29:V35 P29:P35">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'Tablas Técnicas'!$C$9:$C$81</xm:f>
          </x14:formula1>
          <xm:sqref>F248:J252 F16:J20 F83:J87 F182:J186 F116:J120 F149:J153 F281:J285 F215:J219 F50:J54 F314:J318</xm:sqref>
        </x14:dataValidation>
        <x14:dataValidation type="list" allowBlank="1" showInputMessage="1" showErrorMessage="1">
          <x14:formula1>
            <xm:f>'Tablas Técnicas'!$C$86:$C$108</xm:f>
          </x14:formula1>
          <xm:sqref>F21:J23 F187:J189 F154:J156 F220:J222 F253:J255 F286:J288 F88:J90 F55:J57 F121:J123 F319:J321</xm:sqref>
        </x14:dataValidation>
        <x14:dataValidation type="list" allowBlank="1" showInputMessage="1" showErrorMessage="1">
          <x14:formula1>
            <xm:f>'Tablas Técnicas'!$Z$13:$Z$14</xm:f>
          </x14:formula1>
          <xm:sqref>D16:E20 D314:E318 D116:E120 D50:E54 D83:E87 D281:E285 D248:E252 D215:E219 D149:E153 D182:E186</xm:sqref>
        </x14:dataValidation>
        <x14:dataValidation type="list" allowBlank="1" showInputMessage="1" showErrorMessage="1">
          <x14:formula1>
            <xm:f>'Tablas Técnicas'!$Z$17:$Z$21</xm:f>
          </x14:formula1>
          <xm:sqref>AC22:AC23 AC320:AC321 AC122:AC123 AC56:AC57 AC89:AC90 AC287:AC288 AC254:AC255 AC221:AC222 AC155:AC156 AC188:AC189</xm:sqref>
        </x14:dataValidation>
        <x14:dataValidation type="list" allowBlank="1" showInputMessage="1" showErrorMessage="1">
          <x14:formula1>
            <xm:f>'Tablas Técnicas'!$AA$17:$AA$22</xm:f>
          </x14:formula1>
          <xm:sqref>Y22:Y23 Y320:Y321 Y122:Y123 Y56:Y57 Y89:Y90 Y287:Y288 Y254:Y255 Y221:Y222 Y155:Y156 Y188:Y189</xm:sqref>
        </x14:dataValidation>
        <x14:dataValidation type="list" allowBlank="1" showInputMessage="1" showErrorMessage="1">
          <x14:formula1>
            <xm:f>'Tablas Técnicas'!$Z$25:$Z$30</xm:f>
          </x14:formula1>
          <xm:sqref>O21:R23 O319:R321 O187:R189 O121:R123 O55:R57 O88:R90 O286:R288 O253:R255 O220:R222 O154:R156</xm:sqref>
        </x14:dataValidation>
        <x14:dataValidation type="list" allowBlank="1" showInputMessage="1" showErrorMessage="1">
          <x14:formula1>
            <xm:f>IF(#REF!,'Tablas Técnicas'!$AA$7:$AA$10,'Tablas Técnicas'!$Z$7:$Z$8)</xm:f>
          </x14:formula1>
          <xm:sqref>M16:M20 M314:M318 M182:M186 M83:M87 M248:M252 M215:M219 M149:M153 M116:M120 M50:M54 M281:M285</xm:sqref>
        </x14:dataValidation>
        <x14:dataValidation type="list" allowBlank="1" showInputMessage="1" showErrorMessage="1">
          <x14:formula1>
            <xm:f>IF(AX16,'Tablas Técnicas'!$AA$7:$AA$10,'Tablas Técnicas'!$Z$7:$Z$8)</xm:f>
          </x14:formula1>
          <xm:sqref>K182:K186 K314:K318 K248:K252 K116:K120 K50:K54 K83:K87 K281:K285 K16:K20 K215:K219 K149:K153</xm:sqref>
        </x14:dataValidation>
        <x14:dataValidation type="list" allowBlank="1" showInputMessage="1" showErrorMessage="1">
          <x14:formula1>
            <xm:f>IF(AZ16,'Tablas Técnicas'!$AA$7:$AA$10,'Tablas Técnicas'!$Z$7:$Z$8)</xm:f>
          </x14:formula1>
          <xm:sqref>L182:L186 L314:L318 L248:L252 L116:L120 L50:L54 L83:L87 L281:L285 L16:L20 L215:L219 L149:L153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1" sqref="G11:G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89"/>
      <c r="D3" s="4890"/>
      <c r="E3" s="4890"/>
      <c r="F3" s="4890"/>
      <c r="G3" s="4890"/>
      <c r="H3" s="4890"/>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91"/>
      <c r="D4" s="3231"/>
      <c r="E4" s="3231"/>
      <c r="F4" s="3231"/>
      <c r="G4" s="3231"/>
      <c r="H4" s="3231"/>
      <c r="I4" s="10"/>
      <c r="J4" s="3232" t="s">
        <v>1595</v>
      </c>
      <c r="K4" s="3232"/>
      <c r="L4" s="3233" t="str">
        <f>IF(OR(General!$F$22="",General!$F$22=0),"",General!$F$22)</f>
        <v/>
      </c>
      <c r="M4" s="3233"/>
      <c r="N4" s="3233"/>
      <c r="O4" s="3233"/>
      <c r="P4" s="3233"/>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91"/>
      <c r="D5" s="3231"/>
      <c r="E5" s="3231"/>
      <c r="F5" s="3231"/>
      <c r="G5" s="3231"/>
      <c r="H5" s="3231"/>
      <c r="I5" s="10"/>
      <c r="J5" s="3223" t="s">
        <v>1596</v>
      </c>
      <c r="K5" s="3223"/>
      <c r="L5" s="3224" t="str">
        <f>Principal!$L$5</f>
        <v/>
      </c>
      <c r="M5" s="3224"/>
      <c r="N5" s="3224"/>
      <c r="O5" s="12" t="s">
        <v>1597</v>
      </c>
      <c r="P5" s="13" t="str">
        <f>Principal!$P$5</f>
        <v>0 + 1</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91"/>
      <c r="D6" s="3231"/>
      <c r="E6" s="3231"/>
      <c r="F6" s="3231"/>
      <c r="G6" s="3231"/>
      <c r="H6" s="3231"/>
      <c r="I6" s="10"/>
      <c r="J6" s="3225" t="s">
        <v>2105</v>
      </c>
      <c r="K6" s="3225"/>
      <c r="L6" s="3225"/>
      <c r="M6" s="3225"/>
      <c r="N6" s="3225"/>
      <c r="O6" s="3225"/>
      <c r="P6" s="3225"/>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91"/>
      <c r="D7" s="3231"/>
      <c r="E7" s="3231"/>
      <c r="F7" s="3231"/>
      <c r="G7" s="3231"/>
      <c r="H7" s="3231"/>
      <c r="I7" s="10"/>
      <c r="J7" s="3225"/>
      <c r="K7" s="3225"/>
      <c r="L7" s="3225"/>
      <c r="M7" s="3225"/>
      <c r="N7" s="3225"/>
      <c r="O7" s="3225"/>
      <c r="P7" s="3225"/>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92"/>
      <c r="D8" s="4893"/>
      <c r="E8" s="4893"/>
      <c r="F8" s="4893"/>
      <c r="G8" s="4893"/>
      <c r="H8" s="4893"/>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61" t="s">
        <v>2105</v>
      </c>
      <c r="D10" s="5262"/>
      <c r="E10" s="5262"/>
      <c r="F10" s="5262"/>
      <c r="G10" s="5263"/>
      <c r="H10" s="49"/>
      <c r="I10" s="3335" t="str">
        <f>"Modificadores Elan: "&amp;C11</f>
        <v xml:space="preserve">Modificadores Elan: </v>
      </c>
      <c r="J10" s="3336"/>
      <c r="K10" s="3336"/>
      <c r="L10" s="3336"/>
      <c r="M10" s="3336"/>
      <c r="N10" s="3336"/>
      <c r="O10" s="3336"/>
      <c r="P10" s="3336"/>
      <c r="Q10" s="3337"/>
      <c r="R10" s="85"/>
      <c r="S10" s="1476"/>
      <c r="T10" s="1017"/>
      <c r="U10" s="5261" t="s">
        <v>2105</v>
      </c>
      <c r="V10" s="5262"/>
      <c r="W10" s="5262"/>
      <c r="X10" s="5262"/>
      <c r="Y10" s="5263"/>
      <c r="Z10" s="49"/>
      <c r="AA10" s="3234" t="str">
        <f>"Modificadores Elan: "&amp;U11</f>
        <v xml:space="preserve">Modificadores Elan: </v>
      </c>
      <c r="AB10" s="3235"/>
      <c r="AC10" s="3235"/>
      <c r="AD10" s="3235"/>
      <c r="AE10" s="3235"/>
      <c r="AF10" s="3235"/>
      <c r="AG10" s="3235"/>
      <c r="AH10" s="3235"/>
      <c r="AI10" s="3236"/>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57"/>
      <c r="D11" s="5258"/>
      <c r="E11" s="5258"/>
      <c r="F11" s="5258"/>
      <c r="G11" s="5259"/>
      <c r="H11" s="49"/>
      <c r="I11" s="5253" t="s">
        <v>7279</v>
      </c>
      <c r="J11" s="5254"/>
      <c r="K11" s="5254"/>
      <c r="L11" s="5254"/>
      <c r="M11" s="5254"/>
      <c r="N11" s="5255"/>
      <c r="O11" s="5256" t="s">
        <v>7281</v>
      </c>
      <c r="P11" s="5254"/>
      <c r="Q11" s="4410"/>
      <c r="R11" s="85"/>
      <c r="S11" s="1476"/>
      <c r="T11" s="1017"/>
      <c r="U11" s="5245"/>
      <c r="V11" s="5246"/>
      <c r="W11" s="5246"/>
      <c r="X11" s="5247"/>
      <c r="Y11" s="5251"/>
      <c r="Z11" s="49"/>
      <c r="AA11" s="5253" t="s">
        <v>7279</v>
      </c>
      <c r="AB11" s="5254"/>
      <c r="AC11" s="5254"/>
      <c r="AD11" s="5254"/>
      <c r="AE11" s="5254"/>
      <c r="AF11" s="5255"/>
      <c r="AG11" s="5256" t="s">
        <v>7281</v>
      </c>
      <c r="AH11" s="5254"/>
      <c r="AI11" s="4410"/>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57"/>
      <c r="D12" s="5258"/>
      <c r="E12" s="5258"/>
      <c r="F12" s="5258"/>
      <c r="G12" s="5259"/>
      <c r="H12" s="49"/>
      <c r="I12" s="5242" t="str">
        <f>IF(C$11="","",INDEX(Tabla_ModElan,MATCH(C$11,INDEX(Tabla_ModElan,,1),0)+Tablas!$A1,1))</f>
        <v/>
      </c>
      <c r="J12" s="5243"/>
      <c r="K12" s="5243"/>
      <c r="L12" s="5243"/>
      <c r="M12" s="5244"/>
      <c r="N12" s="1280" t="str">
        <f t="shared" ref="N12:N18" si="0">IF(I12="","",INDEX(Tabla_ModElan,MATCH(I12,INDEX(Tabla_ModElan,,1),0),2))</f>
        <v/>
      </c>
      <c r="O12" s="5216" t="str">
        <f>IF(C$11="","",INDEX(Tabla_ModElan,MATCH(C$11,INDEX(Tabla_ModElan,,1),0)+Tablas!$A1,5))</f>
        <v/>
      </c>
      <c r="P12" s="5217"/>
      <c r="Q12" s="5221" t="str">
        <f>IF(O12="","",INDEX(Tabla_ModElan,MATCH(O12,INDEX(Tabla_ModElan,,5),0),6))</f>
        <v/>
      </c>
      <c r="R12" s="85"/>
      <c r="S12" s="1476"/>
      <c r="T12" s="1017"/>
      <c r="U12" s="5248"/>
      <c r="V12" s="5249"/>
      <c r="W12" s="5249"/>
      <c r="X12" s="5250"/>
      <c r="Y12" s="5252"/>
      <c r="Z12" s="49"/>
      <c r="AA12" s="5242" t="str">
        <f>IF(U$11="","",INDEX(Tabla_ModElan,MATCH(U$11,INDEX(Tabla_ModElan,,1),0)+Tablas!$A1,1))</f>
        <v/>
      </c>
      <c r="AB12" s="5243"/>
      <c r="AC12" s="5243"/>
      <c r="AD12" s="5243"/>
      <c r="AE12" s="5244"/>
      <c r="AF12" s="1280" t="str">
        <f t="shared" ref="AF12:AF18" si="1">IF(AA12="","",INDEX(Tabla_ModElan,MATCH(AA12,INDEX(Tabla_ModElan,,1),0),2))</f>
        <v/>
      </c>
      <c r="AG12" s="5216" t="str">
        <f>IF(U$11="","",INDEX(Tabla_ModElan,MATCH(U$11,INDEX(Tabla_ModElan,,1),0)+Tablas!$A1,5))</f>
        <v/>
      </c>
      <c r="AH12" s="5217"/>
      <c r="AI12" s="5221"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54"/>
      <c r="D13" s="4355"/>
      <c r="E13" s="4355"/>
      <c r="F13" s="4355"/>
      <c r="G13" s="1011" t="str">
        <f t="shared" ref="G13:G25" si="2">IF(C13="","",VLOOKUP(C13,Tabla_Elan,5,FALSE))</f>
        <v/>
      </c>
      <c r="H13" s="49"/>
      <c r="I13" s="5226" t="str">
        <f>IF(C$11="","",INDEX(Tabla_ModElan,MATCH(C$11,INDEX(Tabla_ModElan,,1),0)+Tablas!$A2,1))</f>
        <v/>
      </c>
      <c r="J13" s="3969"/>
      <c r="K13" s="3969"/>
      <c r="L13" s="3969"/>
      <c r="M13" s="5241"/>
      <c r="N13" s="1281" t="str">
        <f t="shared" si="0"/>
        <v/>
      </c>
      <c r="O13" s="5218"/>
      <c r="P13" s="5219"/>
      <c r="Q13" s="5222"/>
      <c r="R13" s="85"/>
      <c r="S13" s="1476"/>
      <c r="T13" s="1017"/>
      <c r="U13" s="4354"/>
      <c r="V13" s="4355"/>
      <c r="W13" s="4355"/>
      <c r="X13" s="4355"/>
      <c r="Y13" s="1011" t="str">
        <f t="shared" ref="Y13:Y25" si="3">IF(U13="","",VLOOKUP(U13,Tabla_Elan,5,FALSE))</f>
        <v/>
      </c>
      <c r="Z13" s="49"/>
      <c r="AA13" s="5226" t="str">
        <f>IF(U$11="","",INDEX(Tabla_ModElan,MATCH(U$11,INDEX(Tabla_ModElan,,1),0)+Tablas!$A2,1))</f>
        <v/>
      </c>
      <c r="AB13" s="3969"/>
      <c r="AC13" s="3969"/>
      <c r="AD13" s="3969"/>
      <c r="AE13" s="5241"/>
      <c r="AF13" s="1281" t="str">
        <f t="shared" si="1"/>
        <v/>
      </c>
      <c r="AG13" s="5218"/>
      <c r="AH13" s="5219"/>
      <c r="AI13" s="5222"/>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24"/>
      <c r="D14" s="5225"/>
      <c r="E14" s="5225"/>
      <c r="F14" s="5225"/>
      <c r="G14" s="1012" t="str">
        <f t="shared" si="2"/>
        <v/>
      </c>
      <c r="H14" s="1429" t="s">
        <v>2982</v>
      </c>
      <c r="I14" s="5226" t="str">
        <f>IF(C$11="","",INDEX(Tabla_ModElan,MATCH(C$11,INDEX(Tabla_ModElan,,1),0)+Tablas!$A3,1))</f>
        <v/>
      </c>
      <c r="J14" s="3969"/>
      <c r="K14" s="3969"/>
      <c r="L14" s="3969"/>
      <c r="M14" s="5241"/>
      <c r="N14" s="1281" t="str">
        <f t="shared" si="0"/>
        <v/>
      </c>
      <c r="O14" s="5220"/>
      <c r="P14" s="3237"/>
      <c r="Q14" s="5223"/>
      <c r="R14" s="85"/>
      <c r="S14" s="1476"/>
      <c r="T14" s="1017"/>
      <c r="U14" s="5224"/>
      <c r="V14" s="5225"/>
      <c r="W14" s="5225"/>
      <c r="X14" s="5225"/>
      <c r="Y14" s="1012" t="str">
        <f t="shared" si="3"/>
        <v/>
      </c>
      <c r="Z14" s="1429" t="s">
        <v>2982</v>
      </c>
      <c r="AA14" s="5226" t="str">
        <f>IF(U$11="","",INDEX(Tabla_ModElan,MATCH(U$11,INDEX(Tabla_ModElan,,1),0)+Tablas!$A3,1))</f>
        <v/>
      </c>
      <c r="AB14" s="3969"/>
      <c r="AC14" s="3969"/>
      <c r="AD14" s="3969"/>
      <c r="AE14" s="5241"/>
      <c r="AF14" s="1281" t="str">
        <f t="shared" si="1"/>
        <v/>
      </c>
      <c r="AG14" s="5260"/>
      <c r="AH14" s="3237"/>
      <c r="AI14" s="5223"/>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58"/>
      <c r="D15" s="4359"/>
      <c r="E15" s="4359"/>
      <c r="F15" s="4359"/>
      <c r="G15" s="1013" t="str">
        <f t="shared" si="2"/>
        <v/>
      </c>
      <c r="H15" s="1429" t="s">
        <v>2980</v>
      </c>
      <c r="I15" s="5226" t="str">
        <f>IF(C$11="","",INDEX(Tabla_ModElan,MATCH(C$11,INDEX(Tabla_ModElan,,1),0)+Tablas!$A4,1))</f>
        <v/>
      </c>
      <c r="J15" s="3969"/>
      <c r="K15" s="3969"/>
      <c r="L15" s="3969"/>
      <c r="M15" s="5241"/>
      <c r="N15" s="1281" t="str">
        <f t="shared" si="0"/>
        <v/>
      </c>
      <c r="O15" s="5216" t="str">
        <f>IF(C$11="","",INDEX(Tabla_ModElan,MATCH(C$11,INDEX(Tabla_ModElan,,1),0)+Tablas!$A2,5))</f>
        <v/>
      </c>
      <c r="P15" s="5217"/>
      <c r="Q15" s="5221" t="str">
        <f>IF(O15="","",INDEX(Tabla_ModElan,MATCH(O15,INDEX(Tabla_ModElan,,5),0),6))</f>
        <v/>
      </c>
      <c r="R15" s="85"/>
      <c r="S15" s="1476"/>
      <c r="T15" s="1017"/>
      <c r="U15" s="4358"/>
      <c r="V15" s="4359"/>
      <c r="W15" s="4359"/>
      <c r="X15" s="4359"/>
      <c r="Y15" s="1013" t="str">
        <f t="shared" si="3"/>
        <v/>
      </c>
      <c r="Z15" s="1429" t="s">
        <v>2980</v>
      </c>
      <c r="AA15" s="5226" t="str">
        <f>IF(U$11="","",INDEX(Tabla_ModElan,MATCH(U$11,INDEX(Tabla_ModElan,,1),0)+Tablas!$A4,1))</f>
        <v/>
      </c>
      <c r="AB15" s="3969"/>
      <c r="AC15" s="3969"/>
      <c r="AD15" s="3969"/>
      <c r="AE15" s="5241"/>
      <c r="AF15" s="1281" t="str">
        <f t="shared" si="1"/>
        <v/>
      </c>
      <c r="AG15" s="5216" t="str">
        <f>IF(U$11="","",INDEX(Tabla_ModElan,MATCH(U$11,INDEX(Tabla_ModElan,,1),0)+Tablas!$A2,5))</f>
        <v/>
      </c>
      <c r="AH15" s="5217"/>
      <c r="AI15" s="5221"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24"/>
      <c r="D16" s="5225"/>
      <c r="E16" s="5225"/>
      <c r="F16" s="5225"/>
      <c r="G16" s="1012" t="str">
        <f t="shared" si="2"/>
        <v/>
      </c>
      <c r="H16" s="49"/>
      <c r="I16" s="5226" t="str">
        <f>IF(C$11="","",INDEX(Tabla_ModElan,MATCH(C$11,INDEX(Tabla_ModElan,,1),0)+Tablas!$A5,1))</f>
        <v/>
      </c>
      <c r="J16" s="3969"/>
      <c r="K16" s="3969"/>
      <c r="L16" s="3969"/>
      <c r="M16" s="5241"/>
      <c r="N16" s="1281" t="str">
        <f t="shared" si="0"/>
        <v/>
      </c>
      <c r="O16" s="5218"/>
      <c r="P16" s="5219"/>
      <c r="Q16" s="5222"/>
      <c r="R16" s="85"/>
      <c r="S16" s="1476"/>
      <c r="T16" s="1017"/>
      <c r="U16" s="5224"/>
      <c r="V16" s="5225"/>
      <c r="W16" s="5225"/>
      <c r="X16" s="5225"/>
      <c r="Y16" s="1012" t="str">
        <f t="shared" si="3"/>
        <v/>
      </c>
      <c r="Z16" s="49"/>
      <c r="AA16" s="5226" t="str">
        <f>IF(U$11="","",INDEX(Tabla_ModElan,MATCH(U$11,INDEX(Tabla_ModElan,,1),0)+Tablas!$A5,1))</f>
        <v/>
      </c>
      <c r="AB16" s="3969"/>
      <c r="AC16" s="3969"/>
      <c r="AD16" s="3969"/>
      <c r="AE16" s="5241"/>
      <c r="AF16" s="1281" t="str">
        <f t="shared" si="1"/>
        <v/>
      </c>
      <c r="AG16" s="5218"/>
      <c r="AH16" s="5219"/>
      <c r="AI16" s="5222"/>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58"/>
      <c r="D17" s="4359"/>
      <c r="E17" s="4359"/>
      <c r="F17" s="4359"/>
      <c r="G17" s="1013" t="str">
        <f t="shared" si="2"/>
        <v/>
      </c>
      <c r="H17" s="49"/>
      <c r="I17" s="5226" t="str">
        <f>IF(C$11="","",INDEX(Tabla_ModElan,MATCH(C$11,INDEX(Tabla_ModElan,,1),0)+Tablas!$A6,1))</f>
        <v/>
      </c>
      <c r="J17" s="3969"/>
      <c r="K17" s="3969"/>
      <c r="L17" s="3969"/>
      <c r="M17" s="5241"/>
      <c r="N17" s="1281" t="str">
        <f t="shared" si="0"/>
        <v/>
      </c>
      <c r="O17" s="5220"/>
      <c r="P17" s="3237"/>
      <c r="Q17" s="5223"/>
      <c r="R17" s="85"/>
      <c r="S17" s="1476"/>
      <c r="T17" s="1017"/>
      <c r="U17" s="4358"/>
      <c r="V17" s="4359"/>
      <c r="W17" s="4359"/>
      <c r="X17" s="4359"/>
      <c r="Y17" s="1013" t="str">
        <f t="shared" si="3"/>
        <v/>
      </c>
      <c r="Z17" s="49"/>
      <c r="AA17" s="5226" t="str">
        <f>IF(U$11="","",INDEX(Tabla_ModElan,MATCH(U$11,INDEX(Tabla_ModElan,,1),0)+Tablas!$A6,1))</f>
        <v/>
      </c>
      <c r="AB17" s="3969"/>
      <c r="AC17" s="3969"/>
      <c r="AD17" s="3969"/>
      <c r="AE17" s="5241"/>
      <c r="AF17" s="1281" t="str">
        <f t="shared" si="1"/>
        <v/>
      </c>
      <c r="AG17" s="5220"/>
      <c r="AH17" s="3237"/>
      <c r="AI17" s="5223"/>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24"/>
      <c r="D18" s="5225"/>
      <c r="E18" s="5225"/>
      <c r="F18" s="5225"/>
      <c r="G18" s="1012" t="str">
        <f t="shared" si="2"/>
        <v/>
      </c>
      <c r="H18" s="49"/>
      <c r="I18" s="5235" t="str">
        <f>IF(C$11="","",INDEX(Tabla_ModElan,MATCH(C$11,INDEX(Tabla_ModElan,,1),0)+Tablas!$A7,1))</f>
        <v/>
      </c>
      <c r="J18" s="5236"/>
      <c r="K18" s="5236"/>
      <c r="L18" s="5236"/>
      <c r="M18" s="5237"/>
      <c r="N18" s="1281" t="str">
        <f t="shared" si="0"/>
        <v/>
      </c>
      <c r="O18" s="5216" t="str">
        <f>IF(C$11="","",INDEX(Tabla_ModElan,MATCH(C$11,INDEX(Tabla_ModElan,,1),0)+Tablas!$A3,5))</f>
        <v/>
      </c>
      <c r="P18" s="5217"/>
      <c r="Q18" s="5221" t="str">
        <f>IF(O18="","",INDEX(Tabla_ModElan,MATCH(O18,INDEX(Tabla_ModElan,,5),0),6))</f>
        <v/>
      </c>
      <c r="R18" s="85"/>
      <c r="S18" s="1476"/>
      <c r="T18" s="1017"/>
      <c r="U18" s="5224"/>
      <c r="V18" s="5225"/>
      <c r="W18" s="5225"/>
      <c r="X18" s="5225"/>
      <c r="Y18" s="1012" t="str">
        <f t="shared" si="3"/>
        <v/>
      </c>
      <c r="Z18" s="49"/>
      <c r="AA18" s="5235" t="str">
        <f>IF(U$11="","",INDEX(Tabla_ModElan,MATCH(U$11,INDEX(Tabla_ModElan,,1),0)+Tablas!$A7,1))</f>
        <v/>
      </c>
      <c r="AB18" s="5236"/>
      <c r="AC18" s="5236"/>
      <c r="AD18" s="5236"/>
      <c r="AE18" s="5237"/>
      <c r="AF18" s="1281" t="str">
        <f t="shared" si="1"/>
        <v/>
      </c>
      <c r="AG18" s="5216" t="str">
        <f>IF(U$11="","",INDEX(Tabla_ModElan,MATCH(U$11,INDEX(Tabla_ModElan,,1),0)+Tablas!$A3,5))</f>
        <v/>
      </c>
      <c r="AH18" s="5217"/>
      <c r="AI18" s="5221"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58"/>
      <c r="D19" s="4359"/>
      <c r="E19" s="4359"/>
      <c r="F19" s="4359"/>
      <c r="G19" s="1013" t="str">
        <f t="shared" si="2"/>
        <v/>
      </c>
      <c r="H19" s="49"/>
      <c r="I19" s="5238" t="s">
        <v>7280</v>
      </c>
      <c r="J19" s="5239"/>
      <c r="K19" s="5239"/>
      <c r="L19" s="5239"/>
      <c r="M19" s="5239"/>
      <c r="N19" s="5240"/>
      <c r="O19" s="5218"/>
      <c r="P19" s="5219"/>
      <c r="Q19" s="5222"/>
      <c r="R19" s="85"/>
      <c r="S19" s="1476"/>
      <c r="T19" s="1017"/>
      <c r="U19" s="4358"/>
      <c r="V19" s="4359"/>
      <c r="W19" s="4359"/>
      <c r="X19" s="4359"/>
      <c r="Y19" s="1013" t="str">
        <f t="shared" si="3"/>
        <v/>
      </c>
      <c r="Z19" s="49"/>
      <c r="AA19" s="5238" t="s">
        <v>7280</v>
      </c>
      <c r="AB19" s="5239"/>
      <c r="AC19" s="5239"/>
      <c r="AD19" s="5239"/>
      <c r="AE19" s="5239"/>
      <c r="AF19" s="5240"/>
      <c r="AG19" s="5218"/>
      <c r="AH19" s="5219"/>
      <c r="AI19" s="5222"/>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24"/>
      <c r="D20" s="5225"/>
      <c r="E20" s="5225"/>
      <c r="F20" s="5225"/>
      <c r="G20" s="1014" t="str">
        <f t="shared" si="2"/>
        <v/>
      </c>
      <c r="H20" s="49"/>
      <c r="I20" s="5242" t="str">
        <f>IF(C$11="","",INDEX(Tabla_ModElan,MATCH(C$11,INDEX(Tabla_ModElan,,1),0)+Tablas!$A1,3))</f>
        <v/>
      </c>
      <c r="J20" s="5243"/>
      <c r="K20" s="5243"/>
      <c r="L20" s="5243"/>
      <c r="M20" s="5244"/>
      <c r="N20" s="1280" t="str">
        <f t="shared" ref="N20:N26" si="4">IFERROR(INDEX(Tabla_ModElan,MATCH(I20,INDEX(Tabla_ModElan,,3),0),4),"")</f>
        <v/>
      </c>
      <c r="O20" s="5220"/>
      <c r="P20" s="3237"/>
      <c r="Q20" s="5223"/>
      <c r="R20" s="85"/>
      <c r="S20" s="1476"/>
      <c r="T20" s="1017"/>
      <c r="U20" s="5224"/>
      <c r="V20" s="5225"/>
      <c r="W20" s="5225"/>
      <c r="X20" s="5225"/>
      <c r="Y20" s="1014" t="str">
        <f t="shared" si="3"/>
        <v/>
      </c>
      <c r="Z20" s="49"/>
      <c r="AA20" s="5242" t="str">
        <f>IF(U$11="","",INDEX(Tabla_ModElan,MATCH(U$11,INDEX(Tabla_ModElan,,1),0)+Tablas!$A1,3))</f>
        <v/>
      </c>
      <c r="AB20" s="5243"/>
      <c r="AC20" s="5243"/>
      <c r="AD20" s="5243"/>
      <c r="AE20" s="5244"/>
      <c r="AF20" s="1280" t="str">
        <f t="shared" ref="AF20:AF26" si="5">IFERROR(INDEX(Tabla_ModElan,MATCH(AA20,INDEX(Tabla_ModElan,,3),0),4),"")</f>
        <v/>
      </c>
      <c r="AG20" s="5220"/>
      <c r="AH20" s="3237"/>
      <c r="AI20" s="5223"/>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58"/>
      <c r="D21" s="4359"/>
      <c r="E21" s="4359"/>
      <c r="F21" s="4359"/>
      <c r="G21" s="1013" t="str">
        <f t="shared" si="2"/>
        <v/>
      </c>
      <c r="H21" s="49"/>
      <c r="I21" s="5226" t="str">
        <f>IF(C$11="","",INDEX(Tabla_ModElan,MATCH(C$11,INDEX(Tabla_ModElan,,1),0)+Tablas!$A2,3))</f>
        <v/>
      </c>
      <c r="J21" s="3969"/>
      <c r="K21" s="3969"/>
      <c r="L21" s="3969"/>
      <c r="M21" s="3969"/>
      <c r="N21" s="1281" t="str">
        <f t="shared" si="4"/>
        <v/>
      </c>
      <c r="O21" s="5216" t="str">
        <f>IF(C$11="","",INDEX(Tabla_ModElan,MATCH(C$11,INDEX(Tabla_ModElan,,1),0)+Tablas!$A4,5))</f>
        <v/>
      </c>
      <c r="P21" s="5217"/>
      <c r="Q21" s="5221" t="str">
        <f>IF(O21="","",INDEX(Tabla_ModElan,MATCH(O21,INDEX(Tabla_ModElan,,5),0),6))</f>
        <v/>
      </c>
      <c r="R21" s="85"/>
      <c r="S21" s="1476"/>
      <c r="T21" s="1017"/>
      <c r="U21" s="4358"/>
      <c r="V21" s="4359"/>
      <c r="W21" s="4359"/>
      <c r="X21" s="4359"/>
      <c r="Y21" s="1013" t="str">
        <f t="shared" si="3"/>
        <v/>
      </c>
      <c r="Z21" s="49"/>
      <c r="AA21" s="5226" t="str">
        <f>IF(U$11="","",INDEX(Tabla_ModElan,MATCH(U$11,INDEX(Tabla_ModElan,,1),0)+Tablas!$A2,3))</f>
        <v/>
      </c>
      <c r="AB21" s="3969"/>
      <c r="AC21" s="3969"/>
      <c r="AD21" s="3969"/>
      <c r="AE21" s="3969"/>
      <c r="AF21" s="1281" t="str">
        <f t="shared" si="5"/>
        <v/>
      </c>
      <c r="AG21" s="5216" t="str">
        <f>IF(U$11="","",INDEX(Tabla_ModElan,MATCH(U$11,INDEX(Tabla_ModElan,,1),0)+Tablas!$A4,5))</f>
        <v/>
      </c>
      <c r="AH21" s="5217"/>
      <c r="AI21" s="5221"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24"/>
      <c r="D22" s="5225"/>
      <c r="E22" s="5225"/>
      <c r="F22" s="5225"/>
      <c r="G22" s="1014" t="str">
        <f t="shared" si="2"/>
        <v/>
      </c>
      <c r="H22" s="49"/>
      <c r="I22" s="5226" t="str">
        <f>IF(C$11="","",INDEX(Tabla_ModElan,MATCH(C$11,INDEX(Tabla_ModElan,,1),0)+Tablas!$A3,3))</f>
        <v/>
      </c>
      <c r="J22" s="3969"/>
      <c r="K22" s="3969"/>
      <c r="L22" s="3969"/>
      <c r="M22" s="3969"/>
      <c r="N22" s="1281" t="str">
        <f t="shared" si="4"/>
        <v/>
      </c>
      <c r="O22" s="5218"/>
      <c r="P22" s="5219"/>
      <c r="Q22" s="5222"/>
      <c r="R22" s="85"/>
      <c r="S22" s="1476"/>
      <c r="T22" s="1017"/>
      <c r="U22" s="5224"/>
      <c r="V22" s="5225"/>
      <c r="W22" s="5225"/>
      <c r="X22" s="5225"/>
      <c r="Y22" s="1014" t="str">
        <f t="shared" si="3"/>
        <v/>
      </c>
      <c r="Z22" s="49"/>
      <c r="AA22" s="5226" t="str">
        <f>IF(U$11="","",INDEX(Tabla_ModElan,MATCH(U$11,INDEX(Tabla_ModElan,,1),0)+Tablas!$A3,3))</f>
        <v/>
      </c>
      <c r="AB22" s="3969"/>
      <c r="AC22" s="3969"/>
      <c r="AD22" s="3969"/>
      <c r="AE22" s="3969"/>
      <c r="AF22" s="1281" t="str">
        <f t="shared" si="5"/>
        <v/>
      </c>
      <c r="AG22" s="5218"/>
      <c r="AH22" s="5219"/>
      <c r="AI22" s="5222"/>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58"/>
      <c r="D23" s="4359"/>
      <c r="E23" s="4359"/>
      <c r="F23" s="4359"/>
      <c r="G23" s="1013" t="str">
        <f t="shared" si="2"/>
        <v/>
      </c>
      <c r="H23" s="49"/>
      <c r="I23" s="5226" t="str">
        <f>IF(C$11="","",INDEX(Tabla_ModElan,MATCH(C$11,INDEX(Tabla_ModElan,,1),0)+Tablas!$A4,3))</f>
        <v/>
      </c>
      <c r="J23" s="3969"/>
      <c r="K23" s="3969"/>
      <c r="L23" s="3969"/>
      <c r="M23" s="3969"/>
      <c r="N23" s="1281" t="str">
        <f t="shared" si="4"/>
        <v/>
      </c>
      <c r="O23" s="5220"/>
      <c r="P23" s="3237"/>
      <c r="Q23" s="5223"/>
      <c r="R23" s="85"/>
      <c r="S23" s="1476"/>
      <c r="T23" s="1017"/>
      <c r="U23" s="4358"/>
      <c r="V23" s="4359"/>
      <c r="W23" s="4359"/>
      <c r="X23" s="4359"/>
      <c r="Y23" s="1013" t="str">
        <f t="shared" si="3"/>
        <v/>
      </c>
      <c r="Z23" s="49"/>
      <c r="AA23" s="5226" t="str">
        <f>IF(U$11="","",INDEX(Tabla_ModElan,MATCH(U$11,INDEX(Tabla_ModElan,,1),0)+Tablas!$A4,3))</f>
        <v/>
      </c>
      <c r="AB23" s="3969"/>
      <c r="AC23" s="3969"/>
      <c r="AD23" s="3969"/>
      <c r="AE23" s="3969"/>
      <c r="AF23" s="1281" t="str">
        <f t="shared" si="5"/>
        <v/>
      </c>
      <c r="AG23" s="5220"/>
      <c r="AH23" s="3237"/>
      <c r="AI23" s="5223"/>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24"/>
      <c r="D24" s="5225"/>
      <c r="E24" s="5225"/>
      <c r="F24" s="5225"/>
      <c r="G24" s="1014" t="str">
        <f t="shared" si="2"/>
        <v/>
      </c>
      <c r="H24" s="49"/>
      <c r="I24" s="5226" t="str">
        <f>IF(C$11="","",INDEX(Tabla_ModElan,MATCH(C$11,INDEX(Tabla_ModElan,,1),0)+Tablas!$A5,3))</f>
        <v/>
      </c>
      <c r="J24" s="3969"/>
      <c r="K24" s="3969"/>
      <c r="L24" s="3969"/>
      <c r="M24" s="3969"/>
      <c r="N24" s="1281" t="str">
        <f t="shared" si="4"/>
        <v/>
      </c>
      <c r="O24" s="5216" t="str">
        <f>IF(C$11="","",INDEX(Tabla_ModElan,MATCH(C$11,INDEX(Tabla_ModElan,,1),0)+Tablas!$A5,5))</f>
        <v/>
      </c>
      <c r="P24" s="5217"/>
      <c r="Q24" s="5221" t="str">
        <f>IF(O24="","",INDEX(Tabla_ModElan,MATCH(O24,INDEX(Tabla_ModElan,,5),0),6))</f>
        <v/>
      </c>
      <c r="R24" s="85"/>
      <c r="S24" s="1476"/>
      <c r="T24" s="1017"/>
      <c r="U24" s="5224"/>
      <c r="V24" s="5225"/>
      <c r="W24" s="5225"/>
      <c r="X24" s="5225"/>
      <c r="Y24" s="1014" t="str">
        <f t="shared" si="3"/>
        <v/>
      </c>
      <c r="Z24" s="49"/>
      <c r="AA24" s="5226" t="str">
        <f>IF(U$11="","",INDEX(Tabla_ModElan,MATCH(U$11,INDEX(Tabla_ModElan,,1),0)+Tablas!$A5,3))</f>
        <v/>
      </c>
      <c r="AB24" s="3969"/>
      <c r="AC24" s="3969"/>
      <c r="AD24" s="3969"/>
      <c r="AE24" s="3969"/>
      <c r="AF24" s="1281" t="str">
        <f t="shared" si="5"/>
        <v/>
      </c>
      <c r="AG24" s="5216" t="str">
        <f>IF(U$11="","",INDEX(Tabla_ModElan,MATCH(U$11,INDEX(Tabla_ModElan,,1),0)+Tablas!$A5,5))</f>
        <v/>
      </c>
      <c r="AH24" s="5217"/>
      <c r="AI24" s="5221"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58"/>
      <c r="D25" s="4359"/>
      <c r="E25" s="4359"/>
      <c r="F25" s="4359"/>
      <c r="G25" s="1013" t="str">
        <f t="shared" si="2"/>
        <v/>
      </c>
      <c r="H25" s="49"/>
      <c r="I25" s="5226" t="str">
        <f>IF(C$11="","",INDEX(Tabla_ModElan,MATCH(C$11,INDEX(Tabla_ModElan,,1),0)+Tablas!$A6,3))</f>
        <v/>
      </c>
      <c r="J25" s="3969"/>
      <c r="K25" s="3969"/>
      <c r="L25" s="3969"/>
      <c r="M25" s="3969"/>
      <c r="N25" s="1281" t="str">
        <f t="shared" si="4"/>
        <v/>
      </c>
      <c r="O25" s="5218"/>
      <c r="P25" s="5219"/>
      <c r="Q25" s="5222"/>
      <c r="R25" s="85"/>
      <c r="S25" s="1476"/>
      <c r="T25" s="1017"/>
      <c r="U25" s="4358"/>
      <c r="V25" s="4359"/>
      <c r="W25" s="4359"/>
      <c r="X25" s="4359"/>
      <c r="Y25" s="1013" t="str">
        <f t="shared" si="3"/>
        <v/>
      </c>
      <c r="Z25" s="49"/>
      <c r="AA25" s="5226" t="s">
        <v>3154</v>
      </c>
      <c r="AB25" s="3969"/>
      <c r="AC25" s="3969"/>
      <c r="AD25" s="3969"/>
      <c r="AE25" s="3969"/>
      <c r="AF25" s="1281" t="str">
        <f t="shared" si="5"/>
        <v/>
      </c>
      <c r="AG25" s="5218"/>
      <c r="AH25" s="5219"/>
      <c r="AI25" s="5222"/>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27" t="str">
        <f>IF(SUM(G13:G25)&gt;G11,"Exceso de Elán utilizado","")</f>
        <v/>
      </c>
      <c r="D26" s="5228"/>
      <c r="E26" s="5228"/>
      <c r="F26" s="5228"/>
      <c r="G26" s="5229"/>
      <c r="H26" s="49"/>
      <c r="I26" s="5230" t="str">
        <f>IF(C$11="","",INDEX(Tabla_ModElan,MATCH(C$11,INDEX(Tabla_ModElan,,1),0)+Tablas!$A7,3))</f>
        <v/>
      </c>
      <c r="J26" s="5231"/>
      <c r="K26" s="5231"/>
      <c r="L26" s="5231"/>
      <c r="M26" s="5231"/>
      <c r="N26" s="1282" t="str">
        <f t="shared" si="4"/>
        <v/>
      </c>
      <c r="O26" s="5232"/>
      <c r="P26" s="5233"/>
      <c r="Q26" s="5234"/>
      <c r="R26" s="85"/>
      <c r="S26" s="1476"/>
      <c r="T26" s="1017"/>
      <c r="U26" s="5227" t="str">
        <f>IF(SUM(Y13:Y25)&gt;Y11,"Exceso de Elán utilizado","")</f>
        <v/>
      </c>
      <c r="V26" s="5228"/>
      <c r="W26" s="5228"/>
      <c r="X26" s="5228"/>
      <c r="Y26" s="5229"/>
      <c r="Z26" s="49"/>
      <c r="AA26" s="5230" t="str">
        <f>IF(U$11="","",INDEX(Tabla_ModElan,MATCH(U$11,INDEX(Tabla_ModElan,,1),0)+Tablas!$A7,3))</f>
        <v/>
      </c>
      <c r="AB26" s="5231"/>
      <c r="AC26" s="5231"/>
      <c r="AD26" s="5231"/>
      <c r="AE26" s="5231"/>
      <c r="AF26" s="1282" t="str">
        <f t="shared" si="5"/>
        <v/>
      </c>
      <c r="AG26" s="5232"/>
      <c r="AH26" s="5233"/>
      <c r="AI26" s="5234"/>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34" t="s">
        <v>7607</v>
      </c>
      <c r="D28" s="3235"/>
      <c r="E28" s="3235"/>
      <c r="F28" s="3236"/>
      <c r="G28" s="5215" t="s">
        <v>1824</v>
      </c>
      <c r="H28" s="5215"/>
      <c r="I28" s="5215"/>
      <c r="J28" s="5215"/>
      <c r="K28" s="5215"/>
      <c r="L28" s="5215"/>
      <c r="M28" s="5215"/>
      <c r="N28" s="5215"/>
      <c r="O28" s="5215"/>
      <c r="P28" s="5215"/>
      <c r="Q28" s="5215"/>
      <c r="R28" s="5215"/>
      <c r="S28" s="5215"/>
      <c r="T28" s="5215"/>
      <c r="U28" s="5215"/>
      <c r="V28" s="5215"/>
      <c r="W28" s="5215"/>
      <c r="X28" s="5215"/>
      <c r="Y28" s="5215"/>
      <c r="Z28" s="5215"/>
      <c r="AA28" s="5215"/>
      <c r="AB28" s="5215"/>
      <c r="AC28" s="5215"/>
      <c r="AD28" s="5215"/>
      <c r="AE28" s="5215"/>
      <c r="AF28" s="5215"/>
      <c r="AG28" s="5215"/>
      <c r="AH28" s="5215"/>
      <c r="AI28" s="3972"/>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14" t="str">
        <f t="shared" ref="G29:G49" si="6">IF(F29="","",VLOOKUP(F29,Tabla_Elan,8,FALSE))</f>
        <v/>
      </c>
      <c r="H29" s="3379"/>
      <c r="I29" s="3379"/>
      <c r="J29" s="3379"/>
      <c r="K29" s="3379"/>
      <c r="L29" s="3379"/>
      <c r="M29" s="3379"/>
      <c r="N29" s="3379"/>
      <c r="O29" s="3379"/>
      <c r="P29" s="3379"/>
      <c r="Q29" s="3379"/>
      <c r="R29" s="3379"/>
      <c r="S29" s="3379"/>
      <c r="T29" s="3379"/>
      <c r="U29" s="3379"/>
      <c r="V29" s="3379"/>
      <c r="W29" s="3379"/>
      <c r="X29" s="3379"/>
      <c r="Y29" s="3379"/>
      <c r="Z29" s="3379"/>
      <c r="AA29" s="3379"/>
      <c r="AB29" s="3379"/>
      <c r="AC29" s="3379"/>
      <c r="AD29" s="3379"/>
      <c r="AE29" s="3379"/>
      <c r="AF29" s="3379"/>
      <c r="AG29" s="3379"/>
      <c r="AH29" s="3379"/>
      <c r="AI29" s="4383"/>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14" t="str">
        <f t="shared" si="6"/>
        <v/>
      </c>
      <c r="H30" s="3379"/>
      <c r="I30" s="3379"/>
      <c r="J30" s="3379"/>
      <c r="K30" s="3379"/>
      <c r="L30" s="3379"/>
      <c r="M30" s="3379"/>
      <c r="N30" s="3379"/>
      <c r="O30" s="3379"/>
      <c r="P30" s="3379"/>
      <c r="Q30" s="3379"/>
      <c r="R30" s="3379"/>
      <c r="S30" s="3379"/>
      <c r="T30" s="3379"/>
      <c r="U30" s="3379"/>
      <c r="V30" s="3379"/>
      <c r="W30" s="3379"/>
      <c r="X30" s="3379"/>
      <c r="Y30" s="3379"/>
      <c r="Z30" s="3379"/>
      <c r="AA30" s="3379"/>
      <c r="AB30" s="3379"/>
      <c r="AC30" s="3379"/>
      <c r="AD30" s="3379"/>
      <c r="AE30" s="3379"/>
      <c r="AF30" s="3379"/>
      <c r="AG30" s="3379"/>
      <c r="AH30" s="3379"/>
      <c r="AI30" s="4383"/>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14" t="str">
        <f t="shared" si="6"/>
        <v/>
      </c>
      <c r="H31" s="3379"/>
      <c r="I31" s="3379"/>
      <c r="J31" s="3379"/>
      <c r="K31" s="3379"/>
      <c r="L31" s="3379"/>
      <c r="M31" s="3379"/>
      <c r="N31" s="3379"/>
      <c r="O31" s="3379"/>
      <c r="P31" s="3379"/>
      <c r="Q31" s="3379"/>
      <c r="R31" s="3379"/>
      <c r="S31" s="3379"/>
      <c r="T31" s="3379"/>
      <c r="U31" s="3379"/>
      <c r="V31" s="3379"/>
      <c r="W31" s="3379"/>
      <c r="X31" s="3379"/>
      <c r="Y31" s="3379"/>
      <c r="Z31" s="3379"/>
      <c r="AA31" s="3379"/>
      <c r="AB31" s="3379"/>
      <c r="AC31" s="3379"/>
      <c r="AD31" s="3379"/>
      <c r="AE31" s="3379"/>
      <c r="AF31" s="3379"/>
      <c r="AG31" s="3379"/>
      <c r="AH31" s="3379"/>
      <c r="AI31" s="4383"/>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14" t="str">
        <f t="shared" si="6"/>
        <v/>
      </c>
      <c r="H32" s="3379"/>
      <c r="I32" s="3379"/>
      <c r="J32" s="3379"/>
      <c r="K32" s="3379"/>
      <c r="L32" s="3379"/>
      <c r="M32" s="3379"/>
      <c r="N32" s="3379"/>
      <c r="O32" s="3379"/>
      <c r="P32" s="3379"/>
      <c r="Q32" s="3379"/>
      <c r="R32" s="3379"/>
      <c r="S32" s="3379"/>
      <c r="T32" s="3379"/>
      <c r="U32" s="3379"/>
      <c r="V32" s="3379"/>
      <c r="W32" s="3379"/>
      <c r="X32" s="3379"/>
      <c r="Y32" s="3379"/>
      <c r="Z32" s="3379"/>
      <c r="AA32" s="3379"/>
      <c r="AB32" s="3379"/>
      <c r="AC32" s="3379"/>
      <c r="AD32" s="3379"/>
      <c r="AE32" s="3379"/>
      <c r="AF32" s="3379"/>
      <c r="AG32" s="3379"/>
      <c r="AH32" s="3379"/>
      <c r="AI32" s="4383"/>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14" t="str">
        <f t="shared" si="6"/>
        <v/>
      </c>
      <c r="H33" s="3379"/>
      <c r="I33" s="3379"/>
      <c r="J33" s="3379"/>
      <c r="K33" s="3379"/>
      <c r="L33" s="3379"/>
      <c r="M33" s="3379"/>
      <c r="N33" s="3379"/>
      <c r="O33" s="3379"/>
      <c r="P33" s="3379"/>
      <c r="Q33" s="3379"/>
      <c r="R33" s="3379"/>
      <c r="S33" s="3379"/>
      <c r="T33" s="3379"/>
      <c r="U33" s="3379"/>
      <c r="V33" s="3379"/>
      <c r="W33" s="3379"/>
      <c r="X33" s="3379"/>
      <c r="Y33" s="3379"/>
      <c r="Z33" s="3379"/>
      <c r="AA33" s="3379"/>
      <c r="AB33" s="3379"/>
      <c r="AC33" s="3379"/>
      <c r="AD33" s="3379"/>
      <c r="AE33" s="3379"/>
      <c r="AF33" s="3379"/>
      <c r="AG33" s="3379"/>
      <c r="AH33" s="3379"/>
      <c r="AI33" s="4383"/>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14" t="str">
        <f t="shared" si="6"/>
        <v/>
      </c>
      <c r="H34" s="3379"/>
      <c r="I34" s="3379"/>
      <c r="J34" s="3379"/>
      <c r="K34" s="3379"/>
      <c r="L34" s="3379"/>
      <c r="M34" s="3379"/>
      <c r="N34" s="3379"/>
      <c r="O34" s="3379"/>
      <c r="P34" s="3379"/>
      <c r="Q34" s="3379"/>
      <c r="R34" s="3379"/>
      <c r="S34" s="3379"/>
      <c r="T34" s="3379"/>
      <c r="U34" s="3379"/>
      <c r="V34" s="3379"/>
      <c r="W34" s="3379"/>
      <c r="X34" s="3379"/>
      <c r="Y34" s="3379"/>
      <c r="Z34" s="3379"/>
      <c r="AA34" s="3379"/>
      <c r="AB34" s="3379"/>
      <c r="AC34" s="3379"/>
      <c r="AD34" s="3379"/>
      <c r="AE34" s="3379"/>
      <c r="AF34" s="3379"/>
      <c r="AG34" s="3379"/>
      <c r="AH34" s="3379"/>
      <c r="AI34" s="4383"/>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14" t="str">
        <f t="shared" si="6"/>
        <v/>
      </c>
      <c r="H35" s="3379"/>
      <c r="I35" s="3379"/>
      <c r="J35" s="3379"/>
      <c r="K35" s="3379"/>
      <c r="L35" s="3379"/>
      <c r="M35" s="3379"/>
      <c r="N35" s="3379"/>
      <c r="O35" s="3379"/>
      <c r="P35" s="3379"/>
      <c r="Q35" s="3379"/>
      <c r="R35" s="3379"/>
      <c r="S35" s="3379"/>
      <c r="T35" s="3379"/>
      <c r="U35" s="3379"/>
      <c r="V35" s="3379"/>
      <c r="W35" s="3379"/>
      <c r="X35" s="3379"/>
      <c r="Y35" s="3379"/>
      <c r="Z35" s="3379"/>
      <c r="AA35" s="3379"/>
      <c r="AB35" s="3379"/>
      <c r="AC35" s="3379"/>
      <c r="AD35" s="3379"/>
      <c r="AE35" s="3379"/>
      <c r="AF35" s="3379"/>
      <c r="AG35" s="3379"/>
      <c r="AH35" s="3379"/>
      <c r="AI35" s="4383"/>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14" t="str">
        <f t="shared" si="6"/>
        <v/>
      </c>
      <c r="H36" s="3379"/>
      <c r="I36" s="3379"/>
      <c r="J36" s="3379"/>
      <c r="K36" s="3379"/>
      <c r="L36" s="3379"/>
      <c r="M36" s="3379"/>
      <c r="N36" s="3379"/>
      <c r="O36" s="3379"/>
      <c r="P36" s="3379"/>
      <c r="Q36" s="3379"/>
      <c r="R36" s="3379"/>
      <c r="S36" s="3379"/>
      <c r="T36" s="3379"/>
      <c r="U36" s="3379"/>
      <c r="V36" s="3379"/>
      <c r="W36" s="3379"/>
      <c r="X36" s="3379"/>
      <c r="Y36" s="3379"/>
      <c r="Z36" s="3379"/>
      <c r="AA36" s="3379"/>
      <c r="AB36" s="3379"/>
      <c r="AC36" s="3379"/>
      <c r="AD36" s="3379"/>
      <c r="AE36" s="3379"/>
      <c r="AF36" s="3379"/>
      <c r="AG36" s="3379"/>
      <c r="AH36" s="3379"/>
      <c r="AI36" s="4383"/>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14" t="str">
        <f t="shared" si="6"/>
        <v/>
      </c>
      <c r="H37" s="3379"/>
      <c r="I37" s="3379"/>
      <c r="J37" s="3379"/>
      <c r="K37" s="3379"/>
      <c r="L37" s="3379"/>
      <c r="M37" s="3379"/>
      <c r="N37" s="3379"/>
      <c r="O37" s="3379"/>
      <c r="P37" s="3379"/>
      <c r="Q37" s="3379"/>
      <c r="R37" s="3379"/>
      <c r="S37" s="3379"/>
      <c r="T37" s="3379"/>
      <c r="U37" s="3379"/>
      <c r="V37" s="3379"/>
      <c r="W37" s="3379"/>
      <c r="X37" s="3379"/>
      <c r="Y37" s="3379"/>
      <c r="Z37" s="3379"/>
      <c r="AA37" s="3379"/>
      <c r="AB37" s="3379"/>
      <c r="AC37" s="3379"/>
      <c r="AD37" s="3379"/>
      <c r="AE37" s="3379"/>
      <c r="AF37" s="3379"/>
      <c r="AG37" s="3379"/>
      <c r="AH37" s="3379"/>
      <c r="AI37" s="4383"/>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14" t="str">
        <f t="shared" si="6"/>
        <v/>
      </c>
      <c r="H38" s="3379"/>
      <c r="I38" s="3379"/>
      <c r="J38" s="3379"/>
      <c r="K38" s="3379"/>
      <c r="L38" s="3379"/>
      <c r="M38" s="3379"/>
      <c r="N38" s="3379"/>
      <c r="O38" s="3379"/>
      <c r="P38" s="3379"/>
      <c r="Q38" s="3379"/>
      <c r="R38" s="3379"/>
      <c r="S38" s="3379"/>
      <c r="T38" s="3379"/>
      <c r="U38" s="3379"/>
      <c r="V38" s="3379"/>
      <c r="W38" s="3379"/>
      <c r="X38" s="3379"/>
      <c r="Y38" s="3379"/>
      <c r="Z38" s="3379"/>
      <c r="AA38" s="3379"/>
      <c r="AB38" s="3379"/>
      <c r="AC38" s="3379"/>
      <c r="AD38" s="3379"/>
      <c r="AE38" s="3379"/>
      <c r="AF38" s="3379"/>
      <c r="AG38" s="3379"/>
      <c r="AH38" s="3379"/>
      <c r="AI38" s="4383"/>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14" t="str">
        <f t="shared" si="6"/>
        <v/>
      </c>
      <c r="H39" s="3379"/>
      <c r="I39" s="3379"/>
      <c r="J39" s="3379"/>
      <c r="K39" s="3379"/>
      <c r="L39" s="3379"/>
      <c r="M39" s="3379"/>
      <c r="N39" s="3379"/>
      <c r="O39" s="3379"/>
      <c r="P39" s="3379"/>
      <c r="Q39" s="3379"/>
      <c r="R39" s="3379"/>
      <c r="S39" s="3379"/>
      <c r="T39" s="3379"/>
      <c r="U39" s="3379"/>
      <c r="V39" s="3379"/>
      <c r="W39" s="3379"/>
      <c r="X39" s="3379"/>
      <c r="Y39" s="3379"/>
      <c r="Z39" s="3379"/>
      <c r="AA39" s="3379"/>
      <c r="AB39" s="3379"/>
      <c r="AC39" s="3379"/>
      <c r="AD39" s="3379"/>
      <c r="AE39" s="3379"/>
      <c r="AF39" s="3379"/>
      <c r="AG39" s="3379"/>
      <c r="AH39" s="3379"/>
      <c r="AI39" s="4383"/>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14" t="str">
        <f t="shared" si="6"/>
        <v/>
      </c>
      <c r="H40" s="3379"/>
      <c r="I40" s="3379"/>
      <c r="J40" s="3379"/>
      <c r="K40" s="3379"/>
      <c r="L40" s="3379"/>
      <c r="M40" s="3379"/>
      <c r="N40" s="3379"/>
      <c r="O40" s="3379"/>
      <c r="P40" s="3379"/>
      <c r="Q40" s="3379"/>
      <c r="R40" s="3379"/>
      <c r="S40" s="3379"/>
      <c r="T40" s="3379"/>
      <c r="U40" s="3379"/>
      <c r="V40" s="3379"/>
      <c r="W40" s="3379"/>
      <c r="X40" s="3379"/>
      <c r="Y40" s="3379"/>
      <c r="Z40" s="3379"/>
      <c r="AA40" s="3379"/>
      <c r="AB40" s="3379"/>
      <c r="AC40" s="3379"/>
      <c r="AD40" s="3379"/>
      <c r="AE40" s="3379"/>
      <c r="AF40" s="3379"/>
      <c r="AG40" s="3379"/>
      <c r="AH40" s="3379"/>
      <c r="AI40" s="4383"/>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14" t="str">
        <f t="shared" si="6"/>
        <v/>
      </c>
      <c r="H41" s="3379"/>
      <c r="I41" s="3379"/>
      <c r="J41" s="3379"/>
      <c r="K41" s="3379"/>
      <c r="L41" s="3379"/>
      <c r="M41" s="3379"/>
      <c r="N41" s="3379"/>
      <c r="O41" s="3379"/>
      <c r="P41" s="3379"/>
      <c r="Q41" s="3379"/>
      <c r="R41" s="3379"/>
      <c r="S41" s="3379"/>
      <c r="T41" s="3379"/>
      <c r="U41" s="3379"/>
      <c r="V41" s="3379"/>
      <c r="W41" s="3379"/>
      <c r="X41" s="3379"/>
      <c r="Y41" s="3379"/>
      <c r="Z41" s="3379"/>
      <c r="AA41" s="3379"/>
      <c r="AB41" s="3379"/>
      <c r="AC41" s="3379"/>
      <c r="AD41" s="3379"/>
      <c r="AE41" s="3379"/>
      <c r="AF41" s="3379"/>
      <c r="AG41" s="3379"/>
      <c r="AH41" s="3379"/>
      <c r="AI41" s="4383"/>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14" t="str">
        <f t="shared" si="6"/>
        <v/>
      </c>
      <c r="H42" s="3379"/>
      <c r="I42" s="3379"/>
      <c r="J42" s="3379"/>
      <c r="K42" s="3379"/>
      <c r="L42" s="3379"/>
      <c r="M42" s="3379"/>
      <c r="N42" s="3379"/>
      <c r="O42" s="3379"/>
      <c r="P42" s="3379"/>
      <c r="Q42" s="3379"/>
      <c r="R42" s="3379"/>
      <c r="S42" s="3379"/>
      <c r="T42" s="3379"/>
      <c r="U42" s="3379"/>
      <c r="V42" s="3379"/>
      <c r="W42" s="3379"/>
      <c r="X42" s="3379"/>
      <c r="Y42" s="3379"/>
      <c r="Z42" s="3379"/>
      <c r="AA42" s="3379"/>
      <c r="AB42" s="3379"/>
      <c r="AC42" s="3379"/>
      <c r="AD42" s="3379"/>
      <c r="AE42" s="3379"/>
      <c r="AF42" s="3379"/>
      <c r="AG42" s="3379"/>
      <c r="AH42" s="3379"/>
      <c r="AI42" s="4383"/>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14" t="str">
        <f t="shared" si="6"/>
        <v/>
      </c>
      <c r="H43" s="3379"/>
      <c r="I43" s="3379"/>
      <c r="J43" s="3379"/>
      <c r="K43" s="3379"/>
      <c r="L43" s="3379"/>
      <c r="M43" s="3379"/>
      <c r="N43" s="3379"/>
      <c r="O43" s="3379"/>
      <c r="P43" s="3379"/>
      <c r="Q43" s="3379"/>
      <c r="R43" s="3379"/>
      <c r="S43" s="3379"/>
      <c r="T43" s="3379"/>
      <c r="U43" s="3379"/>
      <c r="V43" s="3379"/>
      <c r="W43" s="3379"/>
      <c r="X43" s="3379"/>
      <c r="Y43" s="3379"/>
      <c r="Z43" s="3379"/>
      <c r="AA43" s="3379"/>
      <c r="AB43" s="3379"/>
      <c r="AC43" s="3379"/>
      <c r="AD43" s="3379"/>
      <c r="AE43" s="3379"/>
      <c r="AF43" s="3379"/>
      <c r="AG43" s="3379"/>
      <c r="AH43" s="3379"/>
      <c r="AI43" s="4383"/>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14" t="str">
        <f t="shared" si="6"/>
        <v/>
      </c>
      <c r="H44" s="3379"/>
      <c r="I44" s="3379"/>
      <c r="J44" s="3379"/>
      <c r="K44" s="3379"/>
      <c r="L44" s="3379"/>
      <c r="M44" s="3379"/>
      <c r="N44" s="3379"/>
      <c r="O44" s="3379"/>
      <c r="P44" s="3379"/>
      <c r="Q44" s="3379"/>
      <c r="R44" s="3379"/>
      <c r="S44" s="3379"/>
      <c r="T44" s="3379"/>
      <c r="U44" s="3379"/>
      <c r="V44" s="3379"/>
      <c r="W44" s="3379"/>
      <c r="X44" s="3379"/>
      <c r="Y44" s="3379"/>
      <c r="Z44" s="3379"/>
      <c r="AA44" s="3379"/>
      <c r="AB44" s="3379"/>
      <c r="AC44" s="3379"/>
      <c r="AD44" s="3379"/>
      <c r="AE44" s="3379"/>
      <c r="AF44" s="3379"/>
      <c r="AG44" s="3379"/>
      <c r="AH44" s="3379"/>
      <c r="AI44" s="4383"/>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7" priority="11" operator="equal">
      <formula>0</formula>
    </cfRule>
  </conditionalFormatting>
  <conditionalFormatting sqref="C13:F25">
    <cfRule type="expression" dxfId="496" priority="9">
      <formula>$AL13</formula>
    </cfRule>
  </conditionalFormatting>
  <conditionalFormatting sqref="AA10:AI26">
    <cfRule type="cellIs" dxfId="495" priority="5" operator="equal">
      <formula>0</formula>
    </cfRule>
  </conditionalFormatting>
  <conditionalFormatting sqref="U13:X25">
    <cfRule type="expression" dxfId="494" priority="2">
      <formula>$AL13</formula>
    </cfRule>
  </conditionalFormatting>
  <conditionalFormatting sqref="N20:N26">
    <cfRule type="cellIs" dxfId="49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topLeftCell="A10" zoomScaleNormal="100" workbookViewId="0">
      <selection activeCell="C20" sqref="C20:D21"/>
    </sheetView>
  </sheetViews>
  <sheetFormatPr baseColWidth="10"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71" t="s">
        <v>9312</v>
      </c>
      <c r="D3" s="5372"/>
      <c r="E3" s="5372"/>
      <c r="F3" s="5372"/>
      <c r="G3" s="5372"/>
      <c r="H3" s="5372"/>
      <c r="I3" s="5372"/>
      <c r="J3" s="5372"/>
      <c r="K3" s="5372"/>
      <c r="L3" s="5372"/>
      <c r="M3" s="5372"/>
      <c r="N3" s="5372"/>
      <c r="O3" s="5372"/>
      <c r="P3" s="5372"/>
      <c r="Q3" s="5373"/>
      <c r="R3" s="1298"/>
      <c r="S3" s="1249"/>
      <c r="T3" s="1115"/>
      <c r="U3" s="1297"/>
      <c r="V3" s="5371" t="s">
        <v>7899</v>
      </c>
      <c r="W3" s="5372"/>
      <c r="X3" s="5372"/>
      <c r="Y3" s="5372"/>
      <c r="Z3" s="5372"/>
      <c r="AA3" s="5372"/>
      <c r="AB3" s="5372"/>
      <c r="AC3" s="5372"/>
      <c r="AD3" s="5372"/>
      <c r="AE3" s="5372"/>
      <c r="AF3" s="5372"/>
      <c r="AG3" s="5372"/>
      <c r="AH3" s="5372"/>
      <c r="AI3" s="5372"/>
      <c r="AJ3" s="5373"/>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42"/>
      <c r="D4" s="3743"/>
      <c r="E4" s="3743"/>
      <c r="F4" s="3743"/>
      <c r="G4" s="3743"/>
      <c r="H4" s="3743"/>
      <c r="I4" s="3743"/>
      <c r="J4" s="3743"/>
      <c r="K4" s="3743"/>
      <c r="L4" s="3743"/>
      <c r="M4" s="3743"/>
      <c r="N4" s="3743"/>
      <c r="O4" s="3743"/>
      <c r="P4" s="3743"/>
      <c r="Q4" s="3744"/>
      <c r="R4" s="1298"/>
      <c r="S4" s="1249"/>
      <c r="T4" s="1115"/>
      <c r="U4" s="1297"/>
      <c r="V4" s="3742"/>
      <c r="W4" s="3743"/>
      <c r="X4" s="3743"/>
      <c r="Y4" s="3743"/>
      <c r="Z4" s="3743"/>
      <c r="AA4" s="3743"/>
      <c r="AB4" s="3743"/>
      <c r="AC4" s="3743"/>
      <c r="AD4" s="3743"/>
      <c r="AE4" s="3743"/>
      <c r="AF4" s="3743"/>
      <c r="AG4" s="3743"/>
      <c r="AH4" s="3743"/>
      <c r="AI4" s="3743"/>
      <c r="AJ4" s="3744"/>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16" t="s">
        <v>7268</v>
      </c>
      <c r="D6" s="4617"/>
      <c r="E6" s="4617"/>
      <c r="F6" s="5575" t="s">
        <v>7857</v>
      </c>
      <c r="G6" s="5576"/>
      <c r="H6" s="1114"/>
      <c r="I6" s="4616" t="s">
        <v>9509</v>
      </c>
      <c r="J6" s="4617"/>
      <c r="K6" s="4617"/>
      <c r="L6" s="5545"/>
      <c r="M6" s="5545"/>
      <c r="N6" s="5545"/>
      <c r="O6" s="5545"/>
      <c r="P6" s="5545"/>
      <c r="Q6" s="5547"/>
      <c r="R6" s="1298"/>
      <c r="S6" s="1249"/>
      <c r="T6" s="1115"/>
      <c r="U6" s="1297"/>
      <c r="V6" s="5535" t="s">
        <v>9168</v>
      </c>
      <c r="W6" s="5550" t="s">
        <v>9169</v>
      </c>
      <c r="X6" s="5550"/>
      <c r="Y6" s="5425" t="s">
        <v>9166</v>
      </c>
      <c r="Z6" s="5425"/>
      <c r="AA6" s="5427" t="s">
        <v>9165</v>
      </c>
      <c r="AB6" s="5427"/>
      <c r="AC6" s="5427" t="s">
        <v>9515</v>
      </c>
      <c r="AD6" s="5427"/>
      <c r="AE6" s="5427" t="s">
        <v>9517</v>
      </c>
      <c r="AF6" s="5427"/>
      <c r="AG6" s="5425" t="s">
        <v>9538</v>
      </c>
      <c r="AH6" s="5426"/>
      <c r="AI6" s="5425" t="s">
        <v>9537</v>
      </c>
      <c r="AJ6" s="5437"/>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19"/>
      <c r="D7" s="4620"/>
      <c r="E7" s="4620"/>
      <c r="F7" s="5577"/>
      <c r="G7" s="5578"/>
      <c r="H7" s="1114"/>
      <c r="I7" s="4619"/>
      <c r="J7" s="4620"/>
      <c r="K7" s="4620"/>
      <c r="L7" s="5546"/>
      <c r="M7" s="5546"/>
      <c r="N7" s="5546"/>
      <c r="O7" s="5546"/>
      <c r="P7" s="5546"/>
      <c r="Q7" s="5548"/>
      <c r="R7" s="1298"/>
      <c r="S7" s="1249"/>
      <c r="T7" s="1115"/>
      <c r="U7" s="1297"/>
      <c r="V7" s="5536"/>
      <c r="W7" s="5441" t="s">
        <v>1666</v>
      </c>
      <c r="X7" s="5442"/>
      <c r="Y7" s="5435"/>
      <c r="Z7" s="5549"/>
      <c r="AA7" s="5538"/>
      <c r="AB7" s="5453"/>
      <c r="AC7" s="5538"/>
      <c r="AD7" s="5454"/>
      <c r="AE7" s="5453"/>
      <c r="AF7" s="5454"/>
      <c r="AG7" s="5428"/>
      <c r="AH7" s="5428"/>
      <c r="AI7" s="5438"/>
      <c r="AJ7" s="5439"/>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36"/>
      <c r="W8" s="5441" t="s">
        <v>8018</v>
      </c>
      <c r="X8" s="5442"/>
      <c r="Y8" s="5438"/>
      <c r="Z8" s="5428"/>
      <c r="AA8" s="5432"/>
      <c r="AB8" s="5433"/>
      <c r="AC8" s="5432"/>
      <c r="AD8" s="5433"/>
      <c r="AE8" s="5432"/>
      <c r="AF8" s="5433"/>
      <c r="AG8" s="5432"/>
      <c r="AH8" s="5433"/>
      <c r="AI8" s="5432"/>
      <c r="AJ8" s="5440"/>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34" t="s">
        <v>2106</v>
      </c>
      <c r="D9" s="3235"/>
      <c r="E9" s="3235"/>
      <c r="F9" s="3235"/>
      <c r="G9" s="3236"/>
      <c r="H9" s="1114"/>
      <c r="I9" s="4222" t="s">
        <v>2107</v>
      </c>
      <c r="J9" s="4223"/>
      <c r="K9" s="4223"/>
      <c r="L9" s="4223"/>
      <c r="M9" s="4223"/>
      <c r="N9" s="4223"/>
      <c r="O9" s="4223"/>
      <c r="P9" s="4223"/>
      <c r="Q9" s="4224"/>
      <c r="R9" s="1298"/>
      <c r="S9" s="1249"/>
      <c r="T9" s="1115"/>
      <c r="U9" s="1297"/>
      <c r="V9" s="5536"/>
      <c r="W9" s="5441" t="s">
        <v>9163</v>
      </c>
      <c r="X9" s="5442"/>
      <c r="Y9" s="5432"/>
      <c r="Z9" s="5433"/>
      <c r="AA9" s="5432"/>
      <c r="AB9" s="5433"/>
      <c r="AC9" s="5432"/>
      <c r="AD9" s="5433"/>
      <c r="AE9" s="5432"/>
      <c r="AF9" s="5433"/>
      <c r="AG9" s="5428"/>
      <c r="AH9" s="5428"/>
      <c r="AI9" s="5438"/>
      <c r="AJ9" s="5439"/>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79" t="s">
        <v>1801</v>
      </c>
      <c r="D10" s="5580"/>
      <c r="E10" s="5580"/>
      <c r="F10" s="5581"/>
      <c r="G10" s="2007" t="s">
        <v>1764</v>
      </c>
      <c r="H10" s="1114"/>
      <c r="I10" s="4883" t="s">
        <v>1648</v>
      </c>
      <c r="J10" s="5524"/>
      <c r="K10" s="5524"/>
      <c r="L10" s="5524"/>
      <c r="M10" s="5524"/>
      <c r="N10" s="5524"/>
      <c r="O10" s="5525"/>
      <c r="P10" s="1299" t="s">
        <v>1649</v>
      </c>
      <c r="Q10" s="1300" t="s">
        <v>1650</v>
      </c>
      <c r="R10" s="1298"/>
      <c r="S10" s="1249"/>
      <c r="T10" s="1115"/>
      <c r="U10" s="1297"/>
      <c r="V10" s="5536"/>
      <c r="W10" s="5441" t="s">
        <v>1841</v>
      </c>
      <c r="X10" s="5442"/>
      <c r="Y10" s="5438"/>
      <c r="Z10" s="5428"/>
      <c r="AA10" s="5438"/>
      <c r="AB10" s="5428"/>
      <c r="AC10" s="5423"/>
      <c r="AD10" s="5430"/>
      <c r="AE10" s="5428"/>
      <c r="AF10" s="5429"/>
      <c r="AG10" s="5423"/>
      <c r="AH10" s="5430"/>
      <c r="AI10" s="5423"/>
      <c r="AJ10" s="5424"/>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86"/>
      <c r="D11" s="5587"/>
      <c r="E11" s="5587"/>
      <c r="F11" s="5588"/>
      <c r="G11" s="2331"/>
      <c r="H11" s="1114"/>
      <c r="I11" s="5526"/>
      <c r="J11" s="5527"/>
      <c r="K11" s="5527"/>
      <c r="L11" s="5527"/>
      <c r="M11" s="5527"/>
      <c r="N11" s="5527"/>
      <c r="O11" s="5528"/>
      <c r="P11" s="2333"/>
      <c r="Q11" s="2088"/>
      <c r="R11" s="1298"/>
      <c r="S11" s="1249"/>
      <c r="T11" s="1115"/>
      <c r="U11" s="1297"/>
      <c r="V11" s="5536"/>
      <c r="W11" s="5443" t="s">
        <v>9169</v>
      </c>
      <c r="X11" s="5443"/>
      <c r="Y11" s="5529"/>
      <c r="Z11" s="5530"/>
      <c r="AA11" s="5431" t="s">
        <v>9167</v>
      </c>
      <c r="AB11" s="5431"/>
      <c r="AC11" s="5431" t="s">
        <v>9516</v>
      </c>
      <c r="AD11" s="5431"/>
      <c r="AE11" s="5431" t="s">
        <v>9518</v>
      </c>
      <c r="AF11" s="5431"/>
      <c r="AG11" s="5431" t="s">
        <v>9535</v>
      </c>
      <c r="AH11" s="5431"/>
      <c r="AI11" s="5431" t="s">
        <v>9536</v>
      </c>
      <c r="AJ11" s="5434"/>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84"/>
      <c r="D12" s="4271"/>
      <c r="E12" s="4271"/>
      <c r="F12" s="5585"/>
      <c r="G12" s="2338"/>
      <c r="H12" s="1114"/>
      <c r="I12" s="5380"/>
      <c r="J12" s="5381"/>
      <c r="K12" s="5381"/>
      <c r="L12" s="5381"/>
      <c r="M12" s="5381"/>
      <c r="N12" s="5381"/>
      <c r="O12" s="5382"/>
      <c r="P12" s="2340"/>
      <c r="Q12" s="2341"/>
      <c r="R12" s="1301"/>
      <c r="S12" s="888"/>
      <c r="T12" s="1115"/>
      <c r="U12" s="1297"/>
      <c r="V12" s="5536"/>
      <c r="W12" s="5441" t="s">
        <v>1666</v>
      </c>
      <c r="X12" s="5442"/>
      <c r="Y12" s="5531"/>
      <c r="Z12" s="5532"/>
      <c r="AA12" s="5438"/>
      <c r="AB12" s="5428"/>
      <c r="AC12" s="5538"/>
      <c r="AD12" s="5454"/>
      <c r="AE12" s="5428"/>
      <c r="AF12" s="5429"/>
      <c r="AG12" s="5428"/>
      <c r="AH12" s="5428"/>
      <c r="AI12" s="5435"/>
      <c r="AJ12" s="5436"/>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82"/>
      <c r="D13" s="4274"/>
      <c r="E13" s="4274"/>
      <c r="F13" s="5583"/>
      <c r="G13" s="2332"/>
      <c r="H13" s="1114"/>
      <c r="I13" s="5377"/>
      <c r="J13" s="5378"/>
      <c r="K13" s="5378"/>
      <c r="L13" s="5378"/>
      <c r="M13" s="5378"/>
      <c r="N13" s="5378"/>
      <c r="O13" s="5379"/>
      <c r="P13" s="2333"/>
      <c r="Q13" s="2088"/>
      <c r="R13" s="1301"/>
      <c r="S13" s="889"/>
      <c r="T13" s="1115"/>
      <c r="U13" s="1302"/>
      <c r="V13" s="5536"/>
      <c r="W13" s="5441" t="s">
        <v>8018</v>
      </c>
      <c r="X13" s="5442"/>
      <c r="Y13" s="5531"/>
      <c r="Z13" s="5532"/>
      <c r="AA13" s="5449"/>
      <c r="AB13" s="5450"/>
      <c r="AC13" s="5432"/>
      <c r="AD13" s="5433"/>
      <c r="AE13" s="5432"/>
      <c r="AF13" s="5433"/>
      <c r="AG13" s="5449"/>
      <c r="AH13" s="5450"/>
      <c r="AI13" s="5438"/>
      <c r="AJ13" s="5439"/>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58"/>
      <c r="D14" s="5559"/>
      <c r="E14" s="5559"/>
      <c r="F14" s="5560"/>
      <c r="G14" s="2339"/>
      <c r="H14" s="1114"/>
      <c r="I14" s="5380"/>
      <c r="J14" s="5381"/>
      <c r="K14" s="5381"/>
      <c r="L14" s="5381"/>
      <c r="M14" s="5381"/>
      <c r="N14" s="5381"/>
      <c r="O14" s="5382"/>
      <c r="P14" s="2340"/>
      <c r="Q14" s="2341"/>
      <c r="R14" s="1298"/>
      <c r="S14" s="1249"/>
      <c r="T14" s="1115"/>
      <c r="U14" s="1297"/>
      <c r="V14" s="5536"/>
      <c r="W14" s="5441" t="s">
        <v>9163</v>
      </c>
      <c r="X14" s="5442"/>
      <c r="Y14" s="5531"/>
      <c r="Z14" s="5532"/>
      <c r="AA14" s="5449"/>
      <c r="AB14" s="5450"/>
      <c r="AC14" s="5539"/>
      <c r="AD14" s="5540"/>
      <c r="AE14" s="5432"/>
      <c r="AF14" s="5433"/>
      <c r="AG14" s="5432"/>
      <c r="AH14" s="5433"/>
      <c r="AI14" s="5432"/>
      <c r="AJ14" s="5440"/>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552"/>
      <c r="J15" s="5553"/>
      <c r="K15" s="5553"/>
      <c r="L15" s="5553"/>
      <c r="M15" s="5553"/>
      <c r="N15" s="5553"/>
      <c r="O15" s="5554"/>
      <c r="P15" s="2334"/>
      <c r="Q15" s="2335"/>
      <c r="R15" s="1298"/>
      <c r="S15" s="1249"/>
      <c r="T15" s="1115"/>
      <c r="U15" s="1297"/>
      <c r="V15" s="5537"/>
      <c r="W15" s="5543" t="s">
        <v>1841</v>
      </c>
      <c r="X15" s="5544"/>
      <c r="Y15" s="5533"/>
      <c r="Z15" s="5534"/>
      <c r="AA15" s="5451"/>
      <c r="AB15" s="5452"/>
      <c r="AC15" s="5541"/>
      <c r="AD15" s="5542"/>
      <c r="AE15" s="5551"/>
      <c r="AF15" s="5542"/>
      <c r="AG15" s="5551"/>
      <c r="AH15" s="5551"/>
      <c r="AI15" s="5541"/>
      <c r="AJ15" s="5565"/>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34" t="s">
        <v>9640</v>
      </c>
      <c r="D16" s="3235"/>
      <c r="E16" s="3235"/>
      <c r="F16" s="3235"/>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222" t="s">
        <v>2109</v>
      </c>
      <c r="J17" s="4223"/>
      <c r="K17" s="4223"/>
      <c r="L17" s="4223"/>
      <c r="M17" s="4223"/>
      <c r="N17" s="4223"/>
      <c r="O17" s="4223"/>
      <c r="P17" s="4223"/>
      <c r="Q17" s="4224"/>
      <c r="R17" s="1298"/>
      <c r="S17" s="1249"/>
      <c r="T17" s="1115"/>
      <c r="U17" s="1297"/>
      <c r="V17" s="3335" t="s">
        <v>2110</v>
      </c>
      <c r="W17" s="3336"/>
      <c r="X17" s="3336"/>
      <c r="Y17" s="3336"/>
      <c r="Z17" s="3336"/>
      <c r="AA17" s="3336"/>
      <c r="AB17" s="3190"/>
      <c r="AC17" s="3190"/>
      <c r="AD17" s="3190"/>
      <c r="AE17" s="3190"/>
      <c r="AF17" s="3190"/>
      <c r="AG17" s="3190"/>
      <c r="AH17" s="3190"/>
      <c r="AI17" s="3190"/>
      <c r="AJ17" s="3191"/>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34" t="s">
        <v>7257</v>
      </c>
      <c r="D18" s="3235"/>
      <c r="E18" s="3235"/>
      <c r="F18" s="3235"/>
      <c r="G18" s="3236"/>
      <c r="H18" s="1114"/>
      <c r="I18" s="4883" t="s">
        <v>1715</v>
      </c>
      <c r="J18" s="5524"/>
      <c r="K18" s="5524"/>
      <c r="L18" s="5524"/>
      <c r="M18" s="5524"/>
      <c r="N18" s="5524"/>
      <c r="O18" s="5525"/>
      <c r="P18" s="52" t="s">
        <v>1649</v>
      </c>
      <c r="Q18" s="18" t="s">
        <v>1650</v>
      </c>
      <c r="R18" s="1298"/>
      <c r="S18" s="1249"/>
      <c r="T18" s="1115"/>
      <c r="U18" s="1297"/>
      <c r="V18" s="5444" t="s">
        <v>1595</v>
      </c>
      <c r="W18" s="5445"/>
      <c r="X18" s="5510"/>
      <c r="Y18" s="5511"/>
      <c r="Z18" s="5511"/>
      <c r="AA18" s="5512"/>
      <c r="AB18" s="2033" t="s">
        <v>9511</v>
      </c>
      <c r="AC18" s="5563"/>
      <c r="AD18" s="5564"/>
      <c r="AE18" s="5564"/>
      <c r="AF18" s="5564"/>
      <c r="AG18" s="5564"/>
      <c r="AH18" s="5564"/>
      <c r="AI18" s="5564"/>
      <c r="AJ18" s="3529"/>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566" t="str">
        <f>IF(Tablas!G480&gt;0,"Ventaja elegida","Aplicar bonos:")</f>
        <v>Aplicar bonos:</v>
      </c>
      <c r="D19" s="5567"/>
      <c r="E19" s="5568" t="s">
        <v>1654</v>
      </c>
      <c r="F19" s="5569"/>
      <c r="G19" s="5570"/>
      <c r="H19" s="1114"/>
      <c r="I19" s="5377"/>
      <c r="J19" s="5378"/>
      <c r="K19" s="5378"/>
      <c r="L19" s="5378"/>
      <c r="M19" s="5378"/>
      <c r="N19" s="5378"/>
      <c r="O19" s="5379"/>
      <c r="P19" s="2336"/>
      <c r="Q19" s="2088"/>
      <c r="R19" s="1298"/>
      <c r="S19" s="1249"/>
      <c r="T19" s="1115"/>
      <c r="U19" s="1297"/>
      <c r="V19" s="5444" t="s">
        <v>2111</v>
      </c>
      <c r="W19" s="5445"/>
      <c r="X19" s="2373"/>
      <c r="Y19" s="1886" t="s">
        <v>1666</v>
      </c>
      <c r="Z19" s="84" t="s">
        <v>1841</v>
      </c>
      <c r="AA19" s="5506" t="s">
        <v>2112</v>
      </c>
      <c r="AB19" s="5562"/>
      <c r="AC19" s="2374"/>
      <c r="AD19" s="2375" t="s">
        <v>2113</v>
      </c>
      <c r="AE19" s="2376"/>
      <c r="AF19" s="76" t="s">
        <v>1666</v>
      </c>
      <c r="AG19" s="5561" t="str">
        <f>IF(W20="Escudo","Bono de Parada:",IF(W20="Proyectiles","FUE del arma:",""))</f>
        <v/>
      </c>
      <c r="AH19" s="3561"/>
      <c r="AI19" s="3561"/>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55" t="str">
        <f>IF(Region="","Región no definida",Region)</f>
        <v>Región no definida</v>
      </c>
      <c r="D20" s="5556"/>
      <c r="E20" s="5556" t="str">
        <f>IF(OR(Region="",ClaseSocial=""),"Clase social no definida",ClaseSocial)</f>
        <v>Clase social no definida</v>
      </c>
      <c r="F20" s="5556"/>
      <c r="G20" s="5557"/>
      <c r="H20" s="1114"/>
      <c r="I20" s="5380"/>
      <c r="J20" s="5381"/>
      <c r="K20" s="5381"/>
      <c r="L20" s="5381"/>
      <c r="M20" s="5381"/>
      <c r="N20" s="5381"/>
      <c r="O20" s="5382"/>
      <c r="P20" s="2343"/>
      <c r="Q20" s="2341"/>
      <c r="R20" s="1298"/>
      <c r="S20" s="1249"/>
      <c r="T20" s="1115"/>
      <c r="U20" s="1297"/>
      <c r="V20" s="2035" t="s">
        <v>2114</v>
      </c>
      <c r="W20" s="5499"/>
      <c r="X20" s="5500"/>
      <c r="Y20" s="5501"/>
      <c r="Z20" s="5501"/>
      <c r="AA20" s="2011" t="s">
        <v>1843</v>
      </c>
      <c r="AB20" s="2011" t="s">
        <v>1844</v>
      </c>
      <c r="AC20" s="2011" t="s">
        <v>1832</v>
      </c>
      <c r="AD20" s="2011" t="s">
        <v>1845</v>
      </c>
      <c r="AE20" s="2015" t="s">
        <v>1833</v>
      </c>
      <c r="AF20" s="81" t="s">
        <v>2922</v>
      </c>
      <c r="AG20" s="5485" t="str">
        <f>IF(W20="Escudo","Bono de Esquiva:",IF(W20="Proyectiles","Turnos de recarga:",""))</f>
        <v/>
      </c>
      <c r="AH20" s="5486"/>
      <c r="AI20" s="5486"/>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55"/>
      <c r="D21" s="5556"/>
      <c r="E21" s="5556"/>
      <c r="F21" s="5556"/>
      <c r="G21" s="5557"/>
      <c r="H21" s="1114"/>
      <c r="I21" s="5377"/>
      <c r="J21" s="5378"/>
      <c r="K21" s="5378"/>
      <c r="L21" s="5378"/>
      <c r="M21" s="5378"/>
      <c r="N21" s="5378"/>
      <c r="O21" s="5379"/>
      <c r="P21" s="2337"/>
      <c r="Q21" s="2088"/>
      <c r="R21" s="1298"/>
      <c r="S21" s="1249"/>
      <c r="T21" s="1115"/>
      <c r="U21" s="1297"/>
      <c r="V21" s="2036" t="s">
        <v>2115</v>
      </c>
      <c r="W21" s="5503"/>
      <c r="X21" s="5504"/>
      <c r="Y21" s="5502"/>
      <c r="Z21" s="5502"/>
      <c r="AA21" s="2380"/>
      <c r="AB21" s="2325"/>
      <c r="AC21" s="2323"/>
      <c r="AD21" s="2379"/>
      <c r="AE21" s="2324"/>
      <c r="AF21" s="2386"/>
      <c r="AG21" s="5484" t="str">
        <f>IF(W20="Proyectiles","Alcance:","")</f>
        <v/>
      </c>
      <c r="AH21" s="5484"/>
      <c r="AI21" s="5484"/>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97" t="str">
        <f>IF(Tablas!L136="","","Bono Especial:")</f>
        <v/>
      </c>
      <c r="D22" s="5598"/>
      <c r="E22" s="5594"/>
      <c r="F22" s="5595"/>
      <c r="G22" s="5596"/>
      <c r="H22" s="1114"/>
      <c r="I22" s="5380"/>
      <c r="J22" s="5381"/>
      <c r="K22" s="5381"/>
      <c r="L22" s="5381"/>
      <c r="M22" s="5381"/>
      <c r="N22" s="5381"/>
      <c r="O22" s="5382"/>
      <c r="P22" s="2343"/>
      <c r="Q22" s="2341"/>
      <c r="R22" s="1301"/>
      <c r="S22" s="889"/>
      <c r="T22" s="1115"/>
      <c r="U22" s="1297"/>
      <c r="V22" s="5444" t="s">
        <v>1595</v>
      </c>
      <c r="W22" s="5445"/>
      <c r="X22" s="5510"/>
      <c r="Y22" s="5511"/>
      <c r="Z22" s="5511"/>
      <c r="AA22" s="5512"/>
      <c r="AB22" s="2034" t="s">
        <v>9511</v>
      </c>
      <c r="AC22" s="5517"/>
      <c r="AD22" s="5518"/>
      <c r="AE22" s="5518"/>
      <c r="AF22" s="5518"/>
      <c r="AG22" s="5518"/>
      <c r="AH22" s="5518"/>
      <c r="AI22" s="5518"/>
      <c r="AJ22" s="5519"/>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589" t="str">
        <f>IF(Tablas!N136="","","Bono Especial:")</f>
        <v/>
      </c>
      <c r="D23" s="5590"/>
      <c r="E23" s="5591"/>
      <c r="F23" s="5592"/>
      <c r="G23" s="5593"/>
      <c r="H23" s="1114"/>
      <c r="I23" s="5377"/>
      <c r="J23" s="5378"/>
      <c r="K23" s="5378"/>
      <c r="L23" s="5378"/>
      <c r="M23" s="5378"/>
      <c r="N23" s="5378"/>
      <c r="O23" s="5379"/>
      <c r="P23" s="2337"/>
      <c r="Q23" s="2088"/>
      <c r="R23" s="1298"/>
      <c r="S23" s="1249"/>
      <c r="T23" s="1881"/>
      <c r="U23" s="1297"/>
      <c r="V23" s="5444" t="s">
        <v>2111</v>
      </c>
      <c r="W23" s="5445"/>
      <c r="X23" s="2373"/>
      <c r="Y23" s="1886" t="s">
        <v>1666</v>
      </c>
      <c r="Z23" s="84" t="s">
        <v>1841</v>
      </c>
      <c r="AA23" s="5506" t="s">
        <v>2112</v>
      </c>
      <c r="AB23" s="5506"/>
      <c r="AC23" s="2374"/>
      <c r="AD23" s="2375" t="s">
        <v>2113</v>
      </c>
      <c r="AE23" s="2376"/>
      <c r="AF23" s="1892" t="s">
        <v>1666</v>
      </c>
      <c r="AG23" s="5513" t="str">
        <f>IF(W24="Escudo","Bono de Parada:",IF(W24="Proyectiles","FUE del arma:",""))</f>
        <v/>
      </c>
      <c r="AH23" s="5514"/>
      <c r="AI23" s="5514"/>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380"/>
      <c r="J24" s="5381"/>
      <c r="K24" s="5381"/>
      <c r="L24" s="5381"/>
      <c r="M24" s="5381"/>
      <c r="N24" s="5381"/>
      <c r="O24" s="5382"/>
      <c r="P24" s="2343"/>
      <c r="Q24" s="2341"/>
      <c r="R24" s="1298"/>
      <c r="S24" s="1249"/>
      <c r="T24" s="1881"/>
      <c r="U24" s="1297"/>
      <c r="V24" s="2035" t="s">
        <v>2114</v>
      </c>
      <c r="W24" s="5499"/>
      <c r="X24" s="5500"/>
      <c r="Y24" s="5501"/>
      <c r="Z24" s="5501"/>
      <c r="AA24" s="2011" t="s">
        <v>1843</v>
      </c>
      <c r="AB24" s="2382" t="s">
        <v>1844</v>
      </c>
      <c r="AC24" s="2382" t="s">
        <v>1832</v>
      </c>
      <c r="AD24" s="2011" t="s">
        <v>1845</v>
      </c>
      <c r="AE24" s="2015" t="s">
        <v>1833</v>
      </c>
      <c r="AF24" s="81" t="s">
        <v>2922</v>
      </c>
      <c r="AG24" s="5485" t="str">
        <f>IF(W24="Escudo","Bono de Esquiva:",IF(W24="Proyectiles","Turnos de recarga:",""))</f>
        <v/>
      </c>
      <c r="AH24" s="5486"/>
      <c r="AI24" s="5486"/>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616" t="s">
        <v>2205</v>
      </c>
      <c r="D25" s="4618"/>
      <c r="E25" s="1870" t="s">
        <v>7895</v>
      </c>
      <c r="F25" s="5571"/>
      <c r="G25" s="5572"/>
      <c r="H25" s="1114"/>
      <c r="I25" s="5377"/>
      <c r="J25" s="5378"/>
      <c r="K25" s="5378"/>
      <c r="L25" s="5378"/>
      <c r="M25" s="5378"/>
      <c r="N25" s="5378"/>
      <c r="O25" s="5379"/>
      <c r="P25" s="2337"/>
      <c r="Q25" s="2088"/>
      <c r="R25" s="1298"/>
      <c r="S25" s="1249"/>
      <c r="T25" s="1115"/>
      <c r="U25" s="1297"/>
      <c r="V25" s="2037" t="s">
        <v>2115</v>
      </c>
      <c r="W25" s="5515"/>
      <c r="X25" s="5516"/>
      <c r="Y25" s="5501"/>
      <c r="Z25" s="5501"/>
      <c r="AA25" s="2381"/>
      <c r="AB25" s="2327"/>
      <c r="AC25" s="2384"/>
      <c r="AD25" s="2385"/>
      <c r="AE25" s="2383"/>
      <c r="AF25" s="2387"/>
      <c r="AG25" s="5523" t="str">
        <f>IF(W24="Proyectiles","Alcance:","")</f>
        <v/>
      </c>
      <c r="AH25" s="5523"/>
      <c r="AI25" s="5523"/>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619"/>
      <c r="D26" s="4621"/>
      <c r="E26" s="2345" t="s">
        <v>7896</v>
      </c>
      <c r="F26" s="5573"/>
      <c r="G26" s="5574"/>
      <c r="H26" s="1114"/>
      <c r="I26" s="5380"/>
      <c r="J26" s="5381"/>
      <c r="K26" s="5381"/>
      <c r="L26" s="5381"/>
      <c r="M26" s="5381"/>
      <c r="N26" s="5381"/>
      <c r="O26" s="5382"/>
      <c r="P26" s="2343"/>
      <c r="Q26" s="2341"/>
      <c r="R26" s="1298"/>
      <c r="S26" s="1249"/>
      <c r="T26" s="1115"/>
      <c r="U26" s="1297"/>
      <c r="V26" s="5444" t="s">
        <v>1595</v>
      </c>
      <c r="W26" s="5445"/>
      <c r="X26" s="5507"/>
      <c r="Y26" s="5508"/>
      <c r="Z26" s="5508"/>
      <c r="AA26" s="5509"/>
      <c r="AB26" s="2033" t="s">
        <v>9511</v>
      </c>
      <c r="AC26" s="5520"/>
      <c r="AD26" s="5521"/>
      <c r="AE26" s="5521"/>
      <c r="AF26" s="5521"/>
      <c r="AG26" s="5521"/>
      <c r="AH26" s="5521"/>
      <c r="AI26" s="5521"/>
      <c r="AJ26" s="5522"/>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377"/>
      <c r="J27" s="5378"/>
      <c r="K27" s="5378"/>
      <c r="L27" s="5378"/>
      <c r="M27" s="5378"/>
      <c r="N27" s="5378"/>
      <c r="O27" s="5379"/>
      <c r="P27" s="2337"/>
      <c r="Q27" s="2088"/>
      <c r="R27" s="1298"/>
      <c r="S27" s="1249"/>
      <c r="T27" s="1115"/>
      <c r="U27" s="1297"/>
      <c r="V27" s="5444" t="s">
        <v>2111</v>
      </c>
      <c r="W27" s="5445"/>
      <c r="X27" s="2373"/>
      <c r="Y27" s="1886" t="s">
        <v>1666</v>
      </c>
      <c r="Z27" s="84" t="s">
        <v>1841</v>
      </c>
      <c r="AA27" s="5506" t="s">
        <v>2112</v>
      </c>
      <c r="AB27" s="5506"/>
      <c r="AC27" s="2378"/>
      <c r="AD27" s="2377" t="s">
        <v>2113</v>
      </c>
      <c r="AE27" s="2376"/>
      <c r="AF27" s="1892" t="s">
        <v>1666</v>
      </c>
      <c r="AG27" s="5513" t="str">
        <f>IF(W28="Escudo","Bono de Parada:",IF(W28="Proyectiles","FUE del arma:",""))</f>
        <v/>
      </c>
      <c r="AH27" s="5514"/>
      <c r="AI27" s="5514"/>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34" t="s">
        <v>9484</v>
      </c>
      <c r="D28" s="3235"/>
      <c r="E28" s="3235"/>
      <c r="F28" s="3235"/>
      <c r="G28" s="3236"/>
      <c r="H28" s="1114"/>
      <c r="I28" s="5407"/>
      <c r="J28" s="5408"/>
      <c r="K28" s="5408"/>
      <c r="L28" s="5408"/>
      <c r="M28" s="5408"/>
      <c r="N28" s="5408"/>
      <c r="O28" s="5409"/>
      <c r="P28" s="2344"/>
      <c r="Q28" s="2342"/>
      <c r="R28" s="1298"/>
      <c r="S28" s="1249"/>
      <c r="T28" s="1115"/>
      <c r="U28" s="1297"/>
      <c r="V28" s="2035" t="s">
        <v>2114</v>
      </c>
      <c r="W28" s="5499"/>
      <c r="X28" s="5500"/>
      <c r="Y28" s="5501"/>
      <c r="Z28" s="5501"/>
      <c r="AA28" s="2011" t="s">
        <v>1843</v>
      </c>
      <c r="AB28" s="2011" t="s">
        <v>1844</v>
      </c>
      <c r="AC28" s="2011" t="s">
        <v>1832</v>
      </c>
      <c r="AD28" s="2011" t="s">
        <v>1845</v>
      </c>
      <c r="AE28" s="2015" t="s">
        <v>1833</v>
      </c>
      <c r="AF28" s="81" t="s">
        <v>2922</v>
      </c>
      <c r="AG28" s="5485" t="str">
        <f>IF(W28="Escudo","Bono de Esquiva:",IF(W28="Proyectiles","Turnos de recarga:",""))</f>
        <v/>
      </c>
      <c r="AH28" s="5486"/>
      <c r="AI28" s="5486"/>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619"/>
      <c r="D29" s="5620"/>
      <c r="E29" s="5620"/>
      <c r="F29" s="5620"/>
      <c r="G29" s="5621"/>
      <c r="H29" s="1114"/>
      <c r="I29" s="1114"/>
      <c r="J29" s="1114"/>
      <c r="K29" s="1114"/>
      <c r="L29" s="1114"/>
      <c r="M29" s="1114"/>
      <c r="N29" s="1114"/>
      <c r="O29" s="1114"/>
      <c r="P29" s="1114"/>
      <c r="Q29" s="1114"/>
      <c r="R29" s="1298"/>
      <c r="S29" s="1249"/>
      <c r="T29" s="1115"/>
      <c r="U29" s="1297"/>
      <c r="V29" s="2036" t="s">
        <v>2115</v>
      </c>
      <c r="W29" s="5503"/>
      <c r="X29" s="5504"/>
      <c r="Y29" s="5502"/>
      <c r="Z29" s="5502"/>
      <c r="AA29" s="2380"/>
      <c r="AB29" s="2379"/>
      <c r="AC29" s="2323"/>
      <c r="AD29" s="2379"/>
      <c r="AE29" s="2324"/>
      <c r="AF29" s="2386"/>
      <c r="AG29" s="5484" t="str">
        <f>IF(W28="Proyectiles","Alcance:","")</f>
        <v/>
      </c>
      <c r="AH29" s="5484"/>
      <c r="AI29" s="5484"/>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22"/>
      <c r="D30" s="5623"/>
      <c r="E30" s="5623"/>
      <c r="F30" s="5623"/>
      <c r="G30" s="5624"/>
      <c r="H30" s="1114"/>
      <c r="I30" s="5414" t="s">
        <v>1800</v>
      </c>
      <c r="J30" s="5215" t="s">
        <v>1801</v>
      </c>
      <c r="K30" s="5215"/>
      <c r="L30" s="5384"/>
      <c r="M30" s="1916" t="s">
        <v>1802</v>
      </c>
      <c r="N30" s="5410" t="s">
        <v>1803</v>
      </c>
      <c r="O30" s="5384"/>
      <c r="P30" s="5410" t="s">
        <v>1804</v>
      </c>
      <c r="Q30" s="3972"/>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625"/>
      <c r="D31" s="5626"/>
      <c r="E31" s="5626"/>
      <c r="F31" s="5626"/>
      <c r="G31" s="5627"/>
      <c r="H31" s="1114"/>
      <c r="I31" s="5415"/>
      <c r="J31" s="3720" t="s">
        <v>1805</v>
      </c>
      <c r="K31" s="3720"/>
      <c r="L31" s="5383"/>
      <c r="M31" s="58">
        <f>Tablas!$G$276-IF(N31=0,0,1)-IF(P31=0,0,1)</f>
        <v>0</v>
      </c>
      <c r="N31" s="5411"/>
      <c r="O31" s="3909"/>
      <c r="P31" s="5417"/>
      <c r="Q31" s="5418"/>
      <c r="R31" s="1298"/>
      <c r="S31" s="1249"/>
      <c r="T31" s="1115"/>
      <c r="U31" s="1297"/>
      <c r="V31" s="5446" t="s">
        <v>2118</v>
      </c>
      <c r="W31" s="5498" t="s">
        <v>1595</v>
      </c>
      <c r="X31" s="5498"/>
      <c r="Y31" s="5494"/>
      <c r="Z31" s="5495"/>
      <c r="AA31" s="5495"/>
      <c r="AB31" s="5495"/>
      <c r="AC31" s="5495"/>
      <c r="AD31" s="5498" t="s">
        <v>1595</v>
      </c>
      <c r="AE31" s="5498"/>
      <c r="AF31" s="5494"/>
      <c r="AG31" s="5495"/>
      <c r="AH31" s="5495"/>
      <c r="AI31" s="5495"/>
      <c r="AJ31" s="5495"/>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415"/>
      <c r="J32" s="3718" t="s">
        <v>1807</v>
      </c>
      <c r="K32" s="3718"/>
      <c r="L32" s="5631"/>
      <c r="M32" s="99">
        <f>Tablas!$G$277-IF(N32=0,0,1)-IF(P32=0,0,1)</f>
        <v>0</v>
      </c>
      <c r="N32" s="5422"/>
      <c r="O32" s="3912"/>
      <c r="P32" s="5419"/>
      <c r="Q32" s="5420"/>
      <c r="R32" s="1301"/>
      <c r="S32" s="889"/>
      <c r="T32" s="1115"/>
      <c r="U32" s="1297"/>
      <c r="V32" s="5447"/>
      <c r="W32" s="3417" t="s">
        <v>2119</v>
      </c>
      <c r="X32" s="3417"/>
      <c r="Y32" s="5496" t="str">
        <f>IF($Y$38="Cabeza","Pen.Percepción","Pen. Natural")</f>
        <v>Pen. Natural</v>
      </c>
      <c r="Z32" s="5496"/>
      <c r="AA32" s="5497" t="s">
        <v>2120</v>
      </c>
      <c r="AB32" s="5497"/>
      <c r="AC32" s="5497"/>
      <c r="AD32" s="3417" t="s">
        <v>2119</v>
      </c>
      <c r="AE32" s="3417"/>
      <c r="AF32" s="5496" t="str">
        <f>IF($AF$38="Cabeza","Pen.Percepción","Pen. Natural")</f>
        <v>Pen. Natural</v>
      </c>
      <c r="AG32" s="5496"/>
      <c r="AH32" s="5497" t="s">
        <v>2120</v>
      </c>
      <c r="AI32" s="5497"/>
      <c r="AJ32" s="5497"/>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34" t="s">
        <v>2214</v>
      </c>
      <c r="D33" s="3235"/>
      <c r="E33" s="3235"/>
      <c r="F33" s="3235"/>
      <c r="G33" s="3236"/>
      <c r="H33" s="1114"/>
      <c r="I33" s="5415"/>
      <c r="J33" s="5632" t="s">
        <v>1809</v>
      </c>
      <c r="K33" s="5633"/>
      <c r="L33" s="5634"/>
      <c r="M33" s="1885">
        <f>Tablas!$G$278-IF(N33=0,0,1)-IF(P33=0,0,1)</f>
        <v>0</v>
      </c>
      <c r="N33" s="5635"/>
      <c r="O33" s="5636"/>
      <c r="P33" s="4486"/>
      <c r="Q33" s="5421"/>
      <c r="R33" s="1298"/>
      <c r="S33" s="1249"/>
      <c r="T33" s="1115"/>
      <c r="U33" s="1297"/>
      <c r="V33" s="5447"/>
      <c r="W33" s="5505"/>
      <c r="X33" s="5467"/>
      <c r="Y33" s="5468"/>
      <c r="Z33" s="5468"/>
      <c r="AA33" s="5474"/>
      <c r="AB33" s="5474"/>
      <c r="AC33" s="5474"/>
      <c r="AD33" s="5467"/>
      <c r="AE33" s="5467"/>
      <c r="AF33" s="5468"/>
      <c r="AG33" s="5468"/>
      <c r="AH33" s="5474"/>
      <c r="AI33" s="5474"/>
      <c r="AJ33" s="5474"/>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645" t="s">
        <v>9483</v>
      </c>
      <c r="D34" s="5646"/>
      <c r="E34" s="5646"/>
      <c r="F34" s="5646"/>
      <c r="G34" s="2432"/>
      <c r="H34" s="1114"/>
      <c r="I34" s="5415"/>
      <c r="J34" s="3720" t="s">
        <v>1806</v>
      </c>
      <c r="K34" s="3720"/>
      <c r="L34" s="5383"/>
      <c r="M34" s="58">
        <f>Tablas!$G$286-IF(N34=0,0,1)-IF(P34=0,0,1)</f>
        <v>0</v>
      </c>
      <c r="N34" s="5411"/>
      <c r="O34" s="3910"/>
      <c r="P34" s="5411"/>
      <c r="Q34" s="4311"/>
      <c r="R34" s="1298"/>
      <c r="S34" s="1249"/>
      <c r="T34" s="1115"/>
      <c r="U34" s="1297"/>
      <c r="V34" s="5447"/>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465" t="s">
        <v>9481</v>
      </c>
      <c r="D35" s="5466"/>
      <c r="E35" s="5466"/>
      <c r="F35" s="5466"/>
      <c r="G35" s="2433" t="s">
        <v>1654</v>
      </c>
      <c r="H35" s="1114"/>
      <c r="I35" s="5415"/>
      <c r="J35" s="3718" t="s">
        <v>1808</v>
      </c>
      <c r="K35" s="3718"/>
      <c r="L35" s="5631"/>
      <c r="M35" s="99">
        <f>Tablas!$G$287-IF(N35=0,0,1)-IF(P35=0,0,1)</f>
        <v>0</v>
      </c>
      <c r="N35" s="5422"/>
      <c r="O35" s="3913"/>
      <c r="P35" s="5422"/>
      <c r="Q35" s="5420"/>
      <c r="R35" s="1298"/>
      <c r="S35" s="1249"/>
      <c r="T35" s="1115"/>
      <c r="U35" s="1297"/>
      <c r="V35" s="5447"/>
      <c r="W35" s="5493"/>
      <c r="X35" s="5481"/>
      <c r="Y35" s="5491"/>
      <c r="Z35" s="5479"/>
      <c r="AA35" s="5481"/>
      <c r="AB35" s="5489"/>
      <c r="AC35" s="5470"/>
      <c r="AD35" s="5472"/>
      <c r="AE35" s="5388"/>
      <c r="AF35" s="5388"/>
      <c r="AG35" s="5388"/>
      <c r="AH35" s="5388"/>
      <c r="AI35" s="5487"/>
      <c r="AJ35" s="5386"/>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65" t="s">
        <v>9482</v>
      </c>
      <c r="D36" s="5466"/>
      <c r="E36" s="5466"/>
      <c r="F36" s="5466"/>
      <c r="G36" s="2433" t="s">
        <v>1654</v>
      </c>
      <c r="I36" s="5416"/>
      <c r="J36" s="5652" t="s">
        <v>1810</v>
      </c>
      <c r="K36" s="5652"/>
      <c r="L36" s="5653"/>
      <c r="M36" s="712">
        <f>Tablas!$G$288-IF(N36=0,0,1)-IF(P36=0,0,1)</f>
        <v>0</v>
      </c>
      <c r="N36" s="5412"/>
      <c r="O36" s="5413"/>
      <c r="P36" s="5412"/>
      <c r="Q36" s="4313"/>
      <c r="R36" s="1298"/>
      <c r="S36" s="1249"/>
      <c r="T36" s="1115"/>
      <c r="U36" s="1297"/>
      <c r="V36" s="5447"/>
      <c r="W36" s="5493"/>
      <c r="X36" s="5482"/>
      <c r="Y36" s="5492"/>
      <c r="Z36" s="5480"/>
      <c r="AA36" s="5482"/>
      <c r="AB36" s="5490"/>
      <c r="AC36" s="5471"/>
      <c r="AD36" s="5473"/>
      <c r="AE36" s="5389"/>
      <c r="AF36" s="5389"/>
      <c r="AG36" s="5389"/>
      <c r="AH36" s="5389"/>
      <c r="AI36" s="5488"/>
      <c r="AJ36" s="5387"/>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647" t="s">
        <v>9486</v>
      </c>
      <c r="D37" s="5648"/>
      <c r="E37" s="5648"/>
      <c r="F37" s="5648"/>
      <c r="G37" s="2434" t="s">
        <v>1654</v>
      </c>
      <c r="I37" s="5628" t="str">
        <f>IF(SUM(M31:M33)+SUM(M34:M36)&gt;0,"Selecciona la/s Habilidad/es asociadas a las Ventajas",IF(SUM(M31:M33)+SUM(M34:M36)&lt;0,"Exceso de Habilidad/es seleccionadas",""))</f>
        <v/>
      </c>
      <c r="J37" s="5629"/>
      <c r="K37" s="5629"/>
      <c r="L37" s="5629"/>
      <c r="M37" s="5629"/>
      <c r="N37" s="5629"/>
      <c r="O37" s="5629"/>
      <c r="P37" s="5629"/>
      <c r="Q37" s="5630"/>
      <c r="R37" s="1298"/>
      <c r="S37" s="1249"/>
      <c r="T37" s="1115"/>
      <c r="U37" s="1297"/>
      <c r="V37" s="5447"/>
      <c r="W37" s="3362" t="s">
        <v>2121</v>
      </c>
      <c r="X37" s="3362"/>
      <c r="Y37" s="3230"/>
      <c r="Z37" s="5455"/>
      <c r="AA37" s="3362" t="s">
        <v>2122</v>
      </c>
      <c r="AB37" s="3362"/>
      <c r="AC37" s="2388"/>
      <c r="AD37" s="3362" t="s">
        <v>2121</v>
      </c>
      <c r="AE37" s="3362"/>
      <c r="AF37" s="3230"/>
      <c r="AG37" s="5455"/>
      <c r="AH37" s="3362" t="s">
        <v>2122</v>
      </c>
      <c r="AI37" s="3362"/>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448"/>
      <c r="W38" s="5456" t="s">
        <v>2123</v>
      </c>
      <c r="X38" s="5456"/>
      <c r="Y38" s="5363"/>
      <c r="Z38" s="5364"/>
      <c r="AA38" s="5469" t="s">
        <v>2124</v>
      </c>
      <c r="AB38" s="5469"/>
      <c r="AC38" s="2389"/>
      <c r="AD38" s="5456" t="s">
        <v>2123</v>
      </c>
      <c r="AE38" s="5456"/>
      <c r="AF38" s="5363"/>
      <c r="AG38" s="5364"/>
      <c r="AH38" s="5469" t="s">
        <v>2124</v>
      </c>
      <c r="AI38" s="5469"/>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616" t="s">
        <v>9485</v>
      </c>
      <c r="D39" s="4618"/>
      <c r="E39" s="5654" t="s">
        <v>2247</v>
      </c>
      <c r="F39" s="5575"/>
      <c r="G39" s="5576"/>
      <c r="I39" s="5658" t="s">
        <v>2215</v>
      </c>
      <c r="J39" s="5657" t="s">
        <v>9480</v>
      </c>
      <c r="K39" s="5657"/>
      <c r="L39" s="5657"/>
      <c r="M39" s="5657"/>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19"/>
      <c r="D40" s="4621"/>
      <c r="E40" s="5655"/>
      <c r="F40" s="5577"/>
      <c r="G40" s="5578"/>
      <c r="I40" s="5659"/>
      <c r="J40" s="5656" t="s">
        <v>9475</v>
      </c>
      <c r="K40" s="5656"/>
      <c r="L40" s="2228" t="s">
        <v>1654</v>
      </c>
      <c r="M40" s="5649" t="s">
        <v>9474</v>
      </c>
      <c r="N40" s="5649"/>
      <c r="O40" s="5649"/>
      <c r="P40" s="5650" t="s">
        <v>9478</v>
      </c>
      <c r="Q40" s="5651"/>
      <c r="R40" s="1298"/>
      <c r="S40" s="1249"/>
      <c r="T40" s="1115"/>
      <c r="U40" s="1297"/>
      <c r="V40" s="3391" t="s">
        <v>2128</v>
      </c>
      <c r="W40" s="3391"/>
      <c r="X40" s="3391"/>
      <c r="Y40" s="3391"/>
      <c r="Z40" s="3391"/>
      <c r="AA40" s="3391"/>
      <c r="AB40" s="3391"/>
      <c r="AC40" s="3391"/>
      <c r="AD40" s="3391"/>
      <c r="AE40" s="3391"/>
      <c r="AF40" s="3391"/>
      <c r="AG40" s="3391"/>
      <c r="AH40" s="3391"/>
      <c r="AI40" s="3391"/>
      <c r="AJ40" s="3391"/>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461" t="s">
        <v>9307</v>
      </c>
      <c r="D41" s="5461"/>
      <c r="E41" s="5461" t="s">
        <v>1654</v>
      </c>
      <c r="F41" s="5461"/>
      <c r="G41" s="5461"/>
      <c r="I41" s="5628" t="str">
        <f>IF(IFERROR(VALUE(LEFT(N39,2)),0)+IFERROR(VALUE(LEFT(O39,2)),0)+IFERROR(VALUE(LEFT(P39,2)),0)+IFERROR(VALUE(LEFT(Q39,2)),0)&gt;3,"Exceso de bonos de transformación",IF($AS$44=-1,"Sin poderes raciales",""))</f>
        <v/>
      </c>
      <c r="J41" s="5629"/>
      <c r="K41" s="5629"/>
      <c r="L41" s="5629"/>
      <c r="M41" s="5629"/>
      <c r="N41" s="5629"/>
      <c r="O41" s="5629"/>
      <c r="P41" s="5629"/>
      <c r="Q41" s="5630"/>
      <c r="R41" s="1298"/>
      <c r="S41" s="1249"/>
      <c r="T41" s="1115"/>
      <c r="U41" s="1297"/>
      <c r="V41" s="5457" t="s">
        <v>2129</v>
      </c>
      <c r="W41" s="5457"/>
      <c r="X41" s="5457"/>
      <c r="Y41" s="5362"/>
      <c r="Z41" s="5362"/>
      <c r="AA41" s="5362"/>
      <c r="AB41" s="5477"/>
      <c r="AC41" s="5477"/>
      <c r="AD41" s="5477"/>
      <c r="AE41" s="5477"/>
      <c r="AF41" s="5477"/>
      <c r="AG41" s="5477"/>
      <c r="AH41" s="5365"/>
      <c r="AI41" s="5365"/>
      <c r="AJ41" s="5365"/>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457"/>
      <c r="W42" s="5457"/>
      <c r="X42" s="5457"/>
      <c r="Y42" s="5362"/>
      <c r="Z42" s="5362"/>
      <c r="AA42" s="5362"/>
      <c r="AB42" s="5477"/>
      <c r="AC42" s="5477"/>
      <c r="AD42" s="5477"/>
      <c r="AE42" s="5477"/>
      <c r="AF42" s="5477"/>
      <c r="AG42" s="5477"/>
      <c r="AH42" s="5365"/>
      <c r="AI42" s="5365"/>
      <c r="AJ42" s="5365"/>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371" t="s">
        <v>7900</v>
      </c>
      <c r="D43" s="5372"/>
      <c r="E43" s="5372"/>
      <c r="F43" s="5372"/>
      <c r="G43" s="5372"/>
      <c r="H43" s="5372"/>
      <c r="I43" s="5372"/>
      <c r="J43" s="5372"/>
      <c r="K43" s="5372"/>
      <c r="L43" s="5372"/>
      <c r="M43" s="5372"/>
      <c r="N43" s="5372"/>
      <c r="O43" s="5372"/>
      <c r="P43" s="5372"/>
      <c r="Q43" s="5373"/>
      <c r="R43" s="1298"/>
      <c r="S43" s="1249"/>
      <c r="T43" s="1115"/>
      <c r="U43" s="1297"/>
      <c r="V43" s="3398" t="s">
        <v>2132</v>
      </c>
      <c r="W43" s="3398"/>
      <c r="X43" s="3398"/>
      <c r="Y43" s="5478"/>
      <c r="Z43" s="5478"/>
      <c r="AA43" s="5478"/>
      <c r="AB43" s="5460"/>
      <c r="AC43" s="5460"/>
      <c r="AD43" s="5460"/>
      <c r="AE43" s="5460"/>
      <c r="AF43" s="5460"/>
      <c r="AG43" s="5460"/>
      <c r="AH43" s="5361"/>
      <c r="AI43" s="5361"/>
      <c r="AJ43" s="5361"/>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742"/>
      <c r="D44" s="3743"/>
      <c r="E44" s="3743"/>
      <c r="F44" s="3743"/>
      <c r="G44" s="3743"/>
      <c r="H44" s="3743"/>
      <c r="I44" s="3743"/>
      <c r="J44" s="3743"/>
      <c r="K44" s="3743"/>
      <c r="L44" s="3743"/>
      <c r="M44" s="3743"/>
      <c r="N44" s="3743"/>
      <c r="O44" s="3743"/>
      <c r="P44" s="3743"/>
      <c r="Q44" s="3744"/>
      <c r="R44" s="1298"/>
      <c r="S44" s="1249"/>
      <c r="T44" s="1115"/>
      <c r="U44" s="1297"/>
      <c r="V44" s="5475" t="s">
        <v>2133</v>
      </c>
      <c r="W44" s="5475"/>
      <c r="X44" s="5475"/>
      <c r="Y44" s="5366"/>
      <c r="Z44" s="5366"/>
      <c r="AA44" s="5366"/>
      <c r="AB44" s="5367"/>
      <c r="AC44" s="5367"/>
      <c r="AD44" s="5367"/>
      <c r="AE44" s="5367"/>
      <c r="AF44" s="5367"/>
      <c r="AG44" s="5367"/>
      <c r="AH44" s="5368"/>
      <c r="AI44" s="5368"/>
      <c r="AJ44" s="5368"/>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476" t="s">
        <v>2134</v>
      </c>
      <c r="W45" s="5476"/>
      <c r="X45" s="5476"/>
      <c r="Y45" s="5370"/>
      <c r="Z45" s="5370"/>
      <c r="AA45" s="5370"/>
      <c r="AB45" s="5369"/>
      <c r="AC45" s="5369"/>
      <c r="AD45" s="5369"/>
      <c r="AE45" s="5369"/>
      <c r="AF45" s="5369"/>
      <c r="AG45" s="5369"/>
      <c r="AH45" s="5483"/>
      <c r="AI45" s="5483"/>
      <c r="AJ45" s="5483"/>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91" t="s">
        <v>2116</v>
      </c>
      <c r="D46" s="3391"/>
      <c r="E46" s="3391"/>
      <c r="F46" s="3391"/>
      <c r="G46" s="3391"/>
      <c r="H46" s="3391"/>
      <c r="I46" s="3391"/>
      <c r="J46" s="3391"/>
      <c r="K46" s="1114"/>
      <c r="L46" s="3188" t="s">
        <v>2117</v>
      </c>
      <c r="M46" s="3189"/>
      <c r="N46" s="3189"/>
      <c r="O46" s="3189"/>
      <c r="P46" s="3189"/>
      <c r="Q46" s="3563"/>
      <c r="R46" s="1298"/>
      <c r="S46" s="1249"/>
      <c r="T46" s="1115"/>
      <c r="U46" s="1297"/>
      <c r="V46" s="5475" t="s">
        <v>2135</v>
      </c>
      <c r="W46" s="5475"/>
      <c r="X46" s="5475"/>
      <c r="Y46" s="5366"/>
      <c r="Z46" s="5366"/>
      <c r="AA46" s="5366"/>
      <c r="AB46" s="5367"/>
      <c r="AC46" s="5367"/>
      <c r="AD46" s="5367"/>
      <c r="AE46" s="5367"/>
      <c r="AF46" s="5367"/>
      <c r="AG46" s="5367"/>
      <c r="AH46" s="5368"/>
      <c r="AI46" s="5368"/>
      <c r="AJ46" s="5368"/>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196" t="s">
        <v>1714</v>
      </c>
      <c r="D47" s="3196"/>
      <c r="E47" s="3196"/>
      <c r="F47" s="3196"/>
      <c r="G47" s="3196"/>
      <c r="H47" s="3196"/>
      <c r="I47" s="1897" t="s">
        <v>1994</v>
      </c>
      <c r="J47" s="20" t="s">
        <v>1783</v>
      </c>
      <c r="K47" s="1114"/>
      <c r="L47" s="1952" t="s">
        <v>1913</v>
      </c>
      <c r="M47" s="5672" t="s">
        <v>1969</v>
      </c>
      <c r="N47" s="4227"/>
      <c r="O47" s="4227"/>
      <c r="P47" s="4227"/>
      <c r="Q47" s="1953" t="s">
        <v>1676</v>
      </c>
      <c r="R47" s="1298"/>
      <c r="S47" s="1249"/>
      <c r="T47" s="1115"/>
      <c r="U47" s="1297"/>
      <c r="V47" s="4366" t="s">
        <v>2136</v>
      </c>
      <c r="W47" s="5458"/>
      <c r="X47" s="5459"/>
      <c r="Y47" s="5357"/>
      <c r="Z47" s="5358"/>
      <c r="AA47" s="5360"/>
      <c r="AB47" s="5357"/>
      <c r="AC47" s="5358"/>
      <c r="AD47" s="5360"/>
      <c r="AE47" s="5357"/>
      <c r="AF47" s="5358"/>
      <c r="AG47" s="5360"/>
      <c r="AH47" s="5357"/>
      <c r="AI47" s="5358"/>
      <c r="AJ47" s="5359"/>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700"/>
      <c r="D48" s="5700"/>
      <c r="E48" s="5700"/>
      <c r="F48" s="5700"/>
      <c r="G48" s="5700"/>
      <c r="H48" s="5700"/>
      <c r="I48" s="2326"/>
      <c r="J48" s="2357"/>
      <c r="K48" s="1114"/>
      <c r="L48" s="1954">
        <f>IF(Metamagia!X15=1,30,0)</f>
        <v>0</v>
      </c>
      <c r="M48" s="4296"/>
      <c r="N48" s="4297"/>
      <c r="O48" s="4297"/>
      <c r="P48" s="5703"/>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225"/>
      <c r="D49" s="5225"/>
      <c r="E49" s="5225"/>
      <c r="F49" s="5225"/>
      <c r="G49" s="5225"/>
      <c r="H49" s="5225"/>
      <c r="I49" s="2359"/>
      <c r="J49" s="2360"/>
      <c r="K49" s="1114"/>
      <c r="L49" s="1955">
        <f>IF(Metamagia!AD15=1,30,0)</f>
        <v>0</v>
      </c>
      <c r="M49" s="5462"/>
      <c r="N49" s="5463"/>
      <c r="O49" s="5463"/>
      <c r="P49" s="5464"/>
      <c r="Q49" s="1956" t="str">
        <f>IF(M49=0,"",VLOOKUP(M49,Tablas!$F$1139:$G$1193,2,FALSE))</f>
        <v/>
      </c>
      <c r="R49" s="1298"/>
      <c r="S49" s="1249"/>
      <c r="T49" s="1115"/>
      <c r="U49" s="1297"/>
      <c r="V49" s="5371" t="s">
        <v>9431</v>
      </c>
      <c r="W49" s="5372"/>
      <c r="X49" s="5372"/>
      <c r="Y49" s="5372"/>
      <c r="Z49" s="5372"/>
      <c r="AA49" s="5372"/>
      <c r="AB49" s="5372"/>
      <c r="AC49" s="5372"/>
      <c r="AD49" s="5372"/>
      <c r="AE49" s="5372"/>
      <c r="AF49" s="5372"/>
      <c r="AG49" s="5372"/>
      <c r="AH49" s="5372"/>
      <c r="AI49" s="5372"/>
      <c r="AJ49" s="5373"/>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59"/>
      <c r="D50" s="4359"/>
      <c r="E50" s="4359"/>
      <c r="F50" s="4359"/>
      <c r="G50" s="4359"/>
      <c r="H50" s="4359"/>
      <c r="I50" s="2326"/>
      <c r="J50" s="2357"/>
      <c r="K50" s="1114"/>
      <c r="L50" s="1957">
        <f>IF(Metamagia!R29=1,50,0)</f>
        <v>0</v>
      </c>
      <c r="M50" s="4273"/>
      <c r="N50" s="4274"/>
      <c r="O50" s="4274"/>
      <c r="P50" s="4275"/>
      <c r="Q50" s="1091" t="str">
        <f>IF(M50=0,"",VLOOKUP(M50,Tablas!$F$1139:$G$1193,2,FALSE))</f>
        <v/>
      </c>
      <c r="R50" s="1298"/>
      <c r="S50" s="1249"/>
      <c r="T50" s="1115"/>
      <c r="U50" s="1297"/>
      <c r="V50" s="3742"/>
      <c r="W50" s="3743"/>
      <c r="X50" s="3743"/>
      <c r="Y50" s="3743"/>
      <c r="Z50" s="3743"/>
      <c r="AA50" s="3743"/>
      <c r="AB50" s="3743"/>
      <c r="AC50" s="3743"/>
      <c r="AD50" s="3743"/>
      <c r="AE50" s="3743"/>
      <c r="AF50" s="3743"/>
      <c r="AG50" s="3743"/>
      <c r="AH50" s="3743"/>
      <c r="AI50" s="3743"/>
      <c r="AJ50" s="3744"/>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225"/>
      <c r="D51" s="5225"/>
      <c r="E51" s="5225"/>
      <c r="F51" s="5225"/>
      <c r="G51" s="5225"/>
      <c r="H51" s="5225"/>
      <c r="I51" s="2359"/>
      <c r="J51" s="2360"/>
      <c r="K51" s="1114"/>
      <c r="L51" s="1958">
        <f>IF(Metamagia!AG24=1,60,0)</f>
        <v>0</v>
      </c>
      <c r="M51" s="5462"/>
      <c r="N51" s="5463"/>
      <c r="O51" s="5463"/>
      <c r="P51" s="5464"/>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59"/>
      <c r="D52" s="4359"/>
      <c r="E52" s="4359"/>
      <c r="F52" s="4359"/>
      <c r="G52" s="4359"/>
      <c r="H52" s="4359"/>
      <c r="I52" s="2326"/>
      <c r="J52" s="2357"/>
      <c r="K52" s="1114"/>
      <c r="L52" s="1957">
        <f>IF(Metamagia!X24=1,60,0)</f>
        <v>0</v>
      </c>
      <c r="M52" s="4273"/>
      <c r="N52" s="4274"/>
      <c r="O52" s="4274"/>
      <c r="P52" s="4275"/>
      <c r="Q52" s="1091" t="str">
        <f>IF(M52=0,"",VLOOKUP(M52,Tablas!$F$1139:$G$1193,2,FALSE))</f>
        <v/>
      </c>
      <c r="R52" s="1298"/>
      <c r="S52" s="1249"/>
      <c r="T52" s="1115"/>
      <c r="U52" s="1297"/>
      <c r="V52" s="5343" t="s">
        <v>2205</v>
      </c>
      <c r="W52" s="5344"/>
      <c r="X52" s="5345"/>
      <c r="Y52" s="1889"/>
      <c r="Z52" s="5346" t="s">
        <v>9451</v>
      </c>
      <c r="AA52" s="5347"/>
      <c r="AB52" s="5348"/>
      <c r="AC52" s="1114"/>
      <c r="AD52" s="5374" t="s">
        <v>7897</v>
      </c>
      <c r="AE52" s="5375"/>
      <c r="AF52" s="5376"/>
      <c r="AG52" s="1114"/>
      <c r="AH52" s="5374" t="s">
        <v>7898</v>
      </c>
      <c r="AI52" s="5375"/>
      <c r="AJ52" s="5376"/>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225"/>
      <c r="D53" s="5225"/>
      <c r="E53" s="5225"/>
      <c r="F53" s="5225"/>
      <c r="G53" s="5225"/>
      <c r="H53" s="5225"/>
      <c r="I53" s="2359"/>
      <c r="J53" s="2360"/>
      <c r="K53" s="1114"/>
      <c r="L53" s="1958">
        <f>IF(Metamagia!AG39=1,70,0)</f>
        <v>0</v>
      </c>
      <c r="M53" s="5462"/>
      <c r="N53" s="5463"/>
      <c r="O53" s="5463"/>
      <c r="P53" s="5464"/>
      <c r="Q53" s="1956" t="str">
        <f>IF(M53=0,"",VLOOKUP(M53,Tablas!$F$1139:$G$1193,2,FALSE))</f>
        <v/>
      </c>
      <c r="R53" s="1298"/>
      <c r="S53" s="1249"/>
      <c r="T53" s="1115"/>
      <c r="U53" s="1297"/>
      <c r="V53" s="5340" t="s">
        <v>7880</v>
      </c>
      <c r="W53" s="5341"/>
      <c r="X53" s="5342"/>
      <c r="Y53" s="1889"/>
      <c r="Z53" s="5349"/>
      <c r="AA53" s="5350"/>
      <c r="AB53" s="5351"/>
      <c r="AC53" s="1114"/>
      <c r="AD53" s="5352" t="s">
        <v>9450</v>
      </c>
      <c r="AE53" s="5353"/>
      <c r="AF53" s="2391"/>
      <c r="AG53" s="1114"/>
      <c r="AH53" s="5354"/>
      <c r="AI53" s="5355"/>
      <c r="AJ53" s="5356"/>
      <c r="AK53" s="1884"/>
      <c r="AL53" s="1551"/>
      <c r="AM53" s="2496"/>
      <c r="AN53" s="5385"/>
      <c r="AO53" s="5385"/>
      <c r="AP53" s="5385"/>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605"/>
      <c r="D54" s="5605"/>
      <c r="E54" s="5605"/>
      <c r="F54" s="5605"/>
      <c r="G54" s="5605"/>
      <c r="H54" s="5605"/>
      <c r="I54" s="2328"/>
      <c r="J54" s="2358"/>
      <c r="K54" s="1114"/>
      <c r="L54" s="1959">
        <f>IF(Metamagia!AA29=1,80,0)</f>
        <v>0</v>
      </c>
      <c r="M54" s="5610"/>
      <c r="N54" s="4277"/>
      <c r="O54" s="4277"/>
      <c r="P54" s="4278"/>
      <c r="Q54" s="1092" t="str">
        <f>IF(M54=0,"",VLOOKUP(M54,Tablas!$F$1139:$G$1193,2,FALSE))</f>
        <v/>
      </c>
      <c r="R54" s="1298"/>
      <c r="S54" s="1249"/>
      <c r="T54" s="1115"/>
      <c r="U54" s="1297"/>
      <c r="V54" s="5337" t="s">
        <v>7881</v>
      </c>
      <c r="W54" s="5338"/>
      <c r="X54" s="5339"/>
      <c r="Y54" s="1888"/>
      <c r="Z54" s="4431" t="s">
        <v>9449</v>
      </c>
      <c r="AA54" s="5405"/>
      <c r="AB54" s="5406"/>
      <c r="AC54" s="1114"/>
      <c r="AD54" s="5354"/>
      <c r="AE54" s="5355"/>
      <c r="AF54" s="5356"/>
      <c r="AG54" s="1114"/>
      <c r="AH54" s="5396"/>
      <c r="AI54" s="5397"/>
      <c r="AJ54" s="5398"/>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340"/>
      <c r="W55" s="5341"/>
      <c r="X55" s="5342"/>
      <c r="Y55" s="1888"/>
      <c r="Z55" s="5402"/>
      <c r="AA55" s="5403"/>
      <c r="AB55" s="5404"/>
      <c r="AC55" s="1114"/>
      <c r="AD55" s="5390"/>
      <c r="AE55" s="5391"/>
      <c r="AF55" s="5392"/>
      <c r="AG55" s="1114"/>
      <c r="AH55" s="5399"/>
      <c r="AI55" s="5400"/>
      <c r="AJ55" s="5401"/>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446" t="s">
        <v>2125</v>
      </c>
      <c r="D56" s="4883" t="s">
        <v>2126</v>
      </c>
      <c r="E56" s="4883"/>
      <c r="F56" s="4883"/>
      <c r="G56" s="4883"/>
      <c r="H56" s="4883"/>
      <c r="I56" s="56" t="s">
        <v>1764</v>
      </c>
      <c r="J56" s="117" t="s">
        <v>2127</v>
      </c>
      <c r="K56" s="4508" t="s">
        <v>1824</v>
      </c>
      <c r="L56" s="4508"/>
      <c r="M56" s="4508"/>
      <c r="N56" s="4508"/>
      <c r="O56" s="4508"/>
      <c r="P56" s="4508"/>
      <c r="Q56" s="4508"/>
      <c r="R56" s="1298"/>
      <c r="S56" s="1249"/>
      <c r="T56" s="1115"/>
      <c r="U56" s="1297"/>
      <c r="V56" s="5337"/>
      <c r="W56" s="5338"/>
      <c r="X56" s="5339"/>
      <c r="Y56" s="1890"/>
      <c r="Z56" s="1114"/>
      <c r="AA56" s="1114"/>
      <c r="AB56" s="1114"/>
      <c r="AC56" s="1114"/>
      <c r="AD56" s="5393"/>
      <c r="AE56" s="5394"/>
      <c r="AF56" s="5395"/>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47"/>
      <c r="D57" s="5609"/>
      <c r="E57" s="5609"/>
      <c r="F57" s="5609"/>
      <c r="G57" s="5609"/>
      <c r="H57" s="5609"/>
      <c r="I57" s="2348"/>
      <c r="J57" s="2348"/>
      <c r="K57" s="5611"/>
      <c r="L57" s="5611"/>
      <c r="M57" s="5611"/>
      <c r="N57" s="5611"/>
      <c r="O57" s="5611"/>
      <c r="P57" s="5611"/>
      <c r="Q57" s="5611"/>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47"/>
      <c r="D58" s="5606" t="s">
        <v>2130</v>
      </c>
      <c r="E58" s="5607"/>
      <c r="F58" s="5608"/>
      <c r="G58" s="5608"/>
      <c r="H58" s="5608"/>
      <c r="I58" s="5608"/>
      <c r="J58" s="5608"/>
      <c r="K58" s="5608"/>
      <c r="L58" s="5608"/>
      <c r="M58" s="5608"/>
      <c r="N58" s="5608"/>
      <c r="O58" s="5608"/>
      <c r="P58" s="5608"/>
      <c r="Q58" s="5608"/>
      <c r="R58" s="1298"/>
      <c r="S58" s="1249"/>
      <c r="T58" s="1115"/>
      <c r="U58" s="1297"/>
      <c r="V58" s="5331" t="s">
        <v>9432</v>
      </c>
      <c r="W58" s="5332"/>
      <c r="X58" s="5332"/>
      <c r="Y58" s="5332"/>
      <c r="Z58" s="5332"/>
      <c r="AA58" s="5332"/>
      <c r="AB58" s="5332"/>
      <c r="AC58" s="5332"/>
      <c r="AD58" s="5332"/>
      <c r="AE58" s="5332"/>
      <c r="AF58" s="5332"/>
      <c r="AG58" s="5332"/>
      <c r="AH58" s="5332"/>
      <c r="AI58" s="5332"/>
      <c r="AJ58" s="5333"/>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47"/>
      <c r="D59" s="5612" t="s">
        <v>2131</v>
      </c>
      <c r="E59" s="5613"/>
      <c r="F59" s="5701"/>
      <c r="G59" s="5701"/>
      <c r="H59" s="5701"/>
      <c r="I59" s="5701"/>
      <c r="J59" s="5701"/>
      <c r="K59" s="5701"/>
      <c r="L59" s="5701"/>
      <c r="M59" s="5701"/>
      <c r="N59" s="5701"/>
      <c r="O59" s="5701"/>
      <c r="P59" s="5701"/>
      <c r="Q59" s="5701"/>
      <c r="R59" s="1298"/>
      <c r="S59" s="1249"/>
      <c r="T59" s="1115"/>
      <c r="U59" s="1297"/>
      <c r="V59" s="5334"/>
      <c r="W59" s="5335"/>
      <c r="X59" s="5335"/>
      <c r="Y59" s="5335"/>
      <c r="Z59" s="5335"/>
      <c r="AA59" s="5335"/>
      <c r="AB59" s="5335"/>
      <c r="AC59" s="5335"/>
      <c r="AD59" s="5335"/>
      <c r="AE59" s="5335"/>
      <c r="AF59" s="5335"/>
      <c r="AG59" s="5335"/>
      <c r="AH59" s="5335"/>
      <c r="AI59" s="5335"/>
      <c r="AJ59" s="5336"/>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47"/>
      <c r="D60" s="4883" t="s">
        <v>2126</v>
      </c>
      <c r="E60" s="4883"/>
      <c r="F60" s="4883"/>
      <c r="G60" s="4883"/>
      <c r="H60" s="4883"/>
      <c r="I60" s="56" t="s">
        <v>1764</v>
      </c>
      <c r="J60" s="117" t="s">
        <v>2127</v>
      </c>
      <c r="K60" s="4508" t="s">
        <v>1824</v>
      </c>
      <c r="L60" s="4508"/>
      <c r="M60" s="4508"/>
      <c r="N60" s="4508"/>
      <c r="O60" s="4508"/>
      <c r="P60" s="4508"/>
      <c r="Q60" s="4508"/>
      <c r="R60" s="1298"/>
      <c r="S60" s="1249"/>
      <c r="T60" s="1115"/>
      <c r="U60" s="1297"/>
      <c r="V60" s="5286" t="s">
        <v>1595</v>
      </c>
      <c r="W60" s="5287"/>
      <c r="X60" s="5288" t="s">
        <v>9440</v>
      </c>
      <c r="Y60" s="5288"/>
      <c r="Z60" s="5288"/>
      <c r="AA60" s="5288"/>
      <c r="AB60" s="5289"/>
      <c r="AC60" s="5264" t="s">
        <v>9456</v>
      </c>
      <c r="AD60" s="5265"/>
      <c r="AE60" s="5265"/>
      <c r="AF60" s="5266"/>
      <c r="AG60" s="5267"/>
      <c r="AH60" s="5264" t="s">
        <v>9452</v>
      </c>
      <c r="AI60" s="5268"/>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447"/>
      <c r="D61" s="5609"/>
      <c r="E61" s="5609"/>
      <c r="F61" s="5609"/>
      <c r="G61" s="5609"/>
      <c r="H61" s="5609"/>
      <c r="I61" s="2348"/>
      <c r="J61" s="2348"/>
      <c r="K61" s="5611"/>
      <c r="L61" s="5611"/>
      <c r="M61" s="5611"/>
      <c r="N61" s="5611"/>
      <c r="O61" s="5611"/>
      <c r="P61" s="5611"/>
      <c r="Q61" s="5611"/>
      <c r="R61" s="1298"/>
      <c r="S61" s="1249"/>
      <c r="T61" s="1115"/>
      <c r="U61" s="1297"/>
      <c r="V61" s="5269" t="s">
        <v>9455</v>
      </c>
      <c r="W61" s="5270"/>
      <c r="X61" s="5271"/>
      <c r="Y61" s="5272" t="s">
        <v>1819</v>
      </c>
      <c r="Z61" s="5274">
        <f>IFERROR(VLOOKUP(V62,Tabla_CaracterísticasGéminis,2,0)+IF(COUNTIF(W69:Z74,"Metal")&gt;0,VLOOKUP(V62,Tabla_CaracterísticasGéminis,2,0),0)+IF(AF60="Grande",50,IF(AF60="Enorme",150,0)),0)</f>
        <v>0</v>
      </c>
      <c r="AA61" s="5276" t="s">
        <v>9463</v>
      </c>
      <c r="AB61" s="5277"/>
      <c r="AC61" s="5278"/>
      <c r="AD61" s="5279"/>
      <c r="AE61" s="5280"/>
      <c r="AF61" s="5276"/>
      <c r="AG61" s="5277"/>
      <c r="AH61" s="5278"/>
      <c r="AI61" s="5279"/>
      <c r="AJ61" s="5280"/>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447"/>
      <c r="D62" s="5606" t="s">
        <v>2130</v>
      </c>
      <c r="E62" s="5607"/>
      <c r="F62" s="5608"/>
      <c r="G62" s="5608"/>
      <c r="H62" s="5608"/>
      <c r="I62" s="5608"/>
      <c r="J62" s="5608"/>
      <c r="K62" s="5608"/>
      <c r="L62" s="5608"/>
      <c r="M62" s="5608"/>
      <c r="N62" s="5608"/>
      <c r="O62" s="5608"/>
      <c r="P62" s="5608"/>
      <c r="Q62" s="5608"/>
      <c r="R62" s="1298"/>
      <c r="S62" s="1249"/>
      <c r="T62" s="1115"/>
      <c r="U62" s="1297"/>
      <c r="V62" s="5281"/>
      <c r="W62" s="5282"/>
      <c r="X62" s="5283"/>
      <c r="Y62" s="5273"/>
      <c r="Z62" s="5275"/>
      <c r="AA62" s="1907" t="s">
        <v>1839</v>
      </c>
      <c r="AB62" s="5284" t="s">
        <v>1840</v>
      </c>
      <c r="AC62" s="5285"/>
      <c r="AD62" s="1899" t="s">
        <v>1666</v>
      </c>
      <c r="AE62" s="1908" t="s">
        <v>1841</v>
      </c>
      <c r="AF62" s="1907" t="s">
        <v>1839</v>
      </c>
      <c r="AG62" s="5284" t="s">
        <v>1840</v>
      </c>
      <c r="AH62" s="5285"/>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48"/>
      <c r="D63" s="5612" t="s">
        <v>2131</v>
      </c>
      <c r="E63" s="5613"/>
      <c r="F63" s="5701"/>
      <c r="G63" s="5701"/>
      <c r="H63" s="5701"/>
      <c r="I63" s="5701"/>
      <c r="J63" s="5701"/>
      <c r="K63" s="5701"/>
      <c r="L63" s="5701"/>
      <c r="M63" s="5701"/>
      <c r="N63" s="5701"/>
      <c r="O63" s="5701"/>
      <c r="P63" s="5701"/>
      <c r="Q63" s="5701"/>
      <c r="R63" s="1298"/>
      <c r="S63" s="1249"/>
      <c r="T63" s="1115"/>
      <c r="U63" s="1297"/>
      <c r="V63" s="5297" t="s">
        <v>9448</v>
      </c>
      <c r="W63" s="5298"/>
      <c r="X63" s="5301">
        <f>IFERROR(VLOOKUP(V62,Tabla_CaracterísticasGéminis,4,0),0)</f>
        <v>0</v>
      </c>
      <c r="Y63" s="5272" t="s">
        <v>9445</v>
      </c>
      <c r="Z63" s="5274">
        <f>IFERROR(VLOOKUP(V62,Tabla_CaracterísticasGéminis,3,0)+IF(COUNTIF(W69:Z74,"Metal")&gt;0,4,0),0)</f>
        <v>0</v>
      </c>
      <c r="AA63" s="5303" t="str">
        <f>IFERROR(IF(OR(AC61="",Tablas!$H$982=0),"-",IF(AC61="Armas naturales",Principal!$H$24,IF(VLOOKUP(AC61,Tabla_ArmasyEscudos,9,0)="Conocida",Principal!$H$24,"-"))+AC73+5*MIN(4,COUNTIF(W69:Z74,"Capacidad de combate"))-10*MAX(0,AR64-Z68)),"-")</f>
        <v>-</v>
      </c>
      <c r="AB63" s="5305" t="str">
        <f>IFERROR(IF(OR(AC61="",Tablas!$H$982=0),"-",IF(AC61="Armas naturales",Principal!$H$26,IF(AND(AC63="Par",VLOOKUP(AC61,Tabla_ArmasyEscudos,9,0)&lt;&gt;"Conocida"),"-",Principal!$H$26))+AC74+5*MIN(4,COUNTIF(W69:Z74,"Capacidad de combate"))-IF(AC63="Par",10*MAX(0,AR64-Z68),0)),"-")</f>
        <v>-</v>
      </c>
      <c r="AC63" s="5315" t="str">
        <f>IF(OR(AC61="",Tablas!$H$982=0),"",IF(Principal!$F$26="H. Esquiva","Esq","Par"))</f>
        <v/>
      </c>
      <c r="AD63" s="5317" t="str">
        <f>IFERROR(IF(OR(AC61="",Tablas!$H$982=0),"-",IF(AC61="Armas naturales",Turno_Nat_final-20+AO72,Turno_Nat_final-20+IF(ISNA(AU65),AU64,IF(AU64=AU65,AU64-10,MIN(AU64,AU65))))),"-")</f>
        <v>-</v>
      </c>
      <c r="AE63" s="5319"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03" t="str">
        <f>IFERROR(IF(OR(AH61="",Tablas!$H$982=0),"-",IF(AH61="Armas naturales",Principal!$H$24,IF(VLOOKUP(AH61,Tabla_ArmasyEscudos,9,0)="Conocida",Principal!$H$24,"-"))+AH73+5*MIN(4,COUNTIF(W69:Z74,"Capacidad de combate"))-10*MAX(0,AR65-Z68)),"-")</f>
        <v>-</v>
      </c>
      <c r="AG63" s="5305" t="str">
        <f>IFERROR(IF(OR(AH61="",Tablas!$H$982=0),"-",IF(AH61="Armas naturales",Principal!$H$26,IF(AND(AH63="Par",VLOOKUP(AH61,Tabla_ArmasyEscudos,9,0)&lt;&gt;"Conocida"),"-",Principal!$H$26))+AH74+5*MIN(4,COUNTIF(W69:Z74,"Capacidad de combate"))-IF(AH63="Par",10*MAX(0,AR65-Z68),0)),"-")</f>
        <v>-</v>
      </c>
      <c r="AH63" s="5315" t="str">
        <f>IF(OR(AH61="",Tablas!$H$982=0),"",IF(Principal!$F$26="H. Esquiva","Esq","Par"))</f>
        <v/>
      </c>
      <c r="AI63" s="5317" t="s">
        <v>1853</v>
      </c>
      <c r="AJ63" s="5319"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299"/>
      <c r="W64" s="5300"/>
      <c r="X64" s="5302"/>
      <c r="Y64" s="5273"/>
      <c r="Z64" s="5275"/>
      <c r="AA64" s="5304"/>
      <c r="AB64" s="5306"/>
      <c r="AC64" s="5316"/>
      <c r="AD64" s="5318"/>
      <c r="AE64" s="5320"/>
      <c r="AF64" s="5304"/>
      <c r="AG64" s="5306"/>
      <c r="AH64" s="5316"/>
      <c r="AI64" s="5318"/>
      <c r="AJ64" s="5320"/>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371" t="s">
        <v>8088</v>
      </c>
      <c r="D65" s="5372"/>
      <c r="E65" s="5372"/>
      <c r="F65" s="5372"/>
      <c r="G65" s="5372"/>
      <c r="H65" s="5372"/>
      <c r="I65" s="5372"/>
      <c r="J65" s="5372"/>
      <c r="K65" s="5372"/>
      <c r="L65" s="5372"/>
      <c r="M65" s="5372"/>
      <c r="N65" s="5372"/>
      <c r="O65" s="5372"/>
      <c r="P65" s="5372"/>
      <c r="Q65" s="5373"/>
      <c r="R65" s="1298"/>
      <c r="S65" s="1249"/>
      <c r="T65" s="1115"/>
      <c r="U65" s="1297"/>
      <c r="V65" s="5290"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742"/>
      <c r="D66" s="3743"/>
      <c r="E66" s="3743"/>
      <c r="F66" s="3743"/>
      <c r="G66" s="3743"/>
      <c r="H66" s="3743"/>
      <c r="I66" s="3743"/>
      <c r="J66" s="3743"/>
      <c r="K66" s="3743"/>
      <c r="L66" s="3743"/>
      <c r="M66" s="3743"/>
      <c r="N66" s="3743"/>
      <c r="O66" s="3743"/>
      <c r="P66" s="3743"/>
      <c r="Q66" s="3744"/>
      <c r="R66" s="1298"/>
      <c r="S66" s="1249"/>
      <c r="T66" s="1115"/>
      <c r="U66" s="1297"/>
      <c r="V66" s="5291"/>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291"/>
      <c r="W67" s="2009" t="s">
        <v>1651</v>
      </c>
      <c r="X67" s="2393" t="str">
        <f>IF(Tablas!$H$982=0,"-",IF(Zen,DES,MIN(13,DES)))</f>
        <v>-</v>
      </c>
      <c r="Y67" s="2404"/>
      <c r="Z67" s="1951" t="str">
        <f>IFERROR(MIN(X67+Y67,IF(Zen,20,13)),"-")</f>
        <v>-</v>
      </c>
      <c r="AA67" s="2410" t="str">
        <f>IF(AND(AC61&lt;&gt;"",AC61&lt;&gt;"Armas naturales"),"Calidad:","")</f>
        <v/>
      </c>
      <c r="AB67" s="2411"/>
      <c r="AC67" s="5293" t="str">
        <f>IF(AA71="Calidad munición:",IF(AD71&lt;=0,"","TA defensor:"),IF(AB67&lt;=0,"","TA defensor:"))</f>
        <v/>
      </c>
      <c r="AD67" s="5293"/>
      <c r="AE67" s="2412" t="str">
        <f>IF(AC67="TA defensor:",IF(AA71="Calidad munición:",AD71/(-5),AB67/(-5)),"")</f>
        <v/>
      </c>
      <c r="AF67" s="2410" t="str">
        <f>IF(AND(AH61&lt;&gt;"",AH61&lt;&gt;"Armas naturales"),"Calidad:","")</f>
        <v/>
      </c>
      <c r="AG67" s="2413"/>
      <c r="AH67" s="5293" t="str">
        <f>IF(AF71="Calidad munición:",IF(AI71&lt;=0,"","TA defensor:"),IF(AG67&lt;=0,"","TA defensor:"))</f>
        <v/>
      </c>
      <c r="AI67" s="5293"/>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114" t="s">
        <v>8102</v>
      </c>
      <c r="E68" s="3116"/>
      <c r="F68" s="5603" t="str">
        <f>"Poderes adquiridos: "&amp;IF(Tablas!$J$1816&gt;0,"Influjo Sobrenatural"&amp;IF(Tablas!$J$1821&gt;0,", Demiurgo",""),IF(Tablas!$J$1821&gt;0,"Demiurgo","Ninguno"))</f>
        <v>Poderes adquiridos: Ninguno</v>
      </c>
      <c r="G68" s="5603"/>
      <c r="H68" s="5603"/>
      <c r="I68" s="5603"/>
      <c r="J68" s="5603"/>
      <c r="K68" s="5603"/>
      <c r="L68" s="5603"/>
      <c r="M68" s="5604"/>
      <c r="N68" s="5614" t="s">
        <v>8089</v>
      </c>
      <c r="O68" s="5615"/>
      <c r="P68" s="5616"/>
      <c r="R68" s="1298"/>
      <c r="S68" s="1249"/>
      <c r="T68" s="1115"/>
      <c r="U68" s="1297"/>
      <c r="V68" s="5292"/>
      <c r="W68" s="2010" t="s">
        <v>1656</v>
      </c>
      <c r="X68" s="2394" t="str">
        <f>IF(Tablas!$H$982=0,"-",IF(Zen,FUE-2,MIN(11,FUE-2)))</f>
        <v>-</v>
      </c>
      <c r="Y68" s="2405"/>
      <c r="Z68" s="1898" t="str">
        <f>IFERROR(MIN(20,MIN(X68+Y68,IF(Zen,20,13))+IF(COUNTIF(W69:Z74,"Fuerza excepcional")&gt;0,IF(X68+6&lt;15,6,MAX(15-X68,0)),0)),"-")</f>
        <v>-</v>
      </c>
      <c r="AA68" s="5294" t="str">
        <f>IFERROR(IF(AC61="Armas naturales","",SUBSTITUTE(VLOOKUP(AC61,Tabla_ArmasyEscudos,19,FALSE),"XXX",MAX(0,VLOOKUP(AC61,Tabla_ArmasyEscudos,17,FALSE)+VLOOKUP(Z68,Tabla_AlcanceFUE,2)))),"")</f>
        <v/>
      </c>
      <c r="AB68" s="5295"/>
      <c r="AC68" s="5295"/>
      <c r="AD68" s="5295"/>
      <c r="AE68" s="5296"/>
      <c r="AF68" s="5294" t="str">
        <f>IFERROR(IF(AH61="Armas naturales","",SUBSTITUTE(VLOOKUP(AH61,Tabla_ArmasyEscudos,19,FALSE),"XXX",MAX(0,VLOOKUP(AH61,Tabla_ArmasyEscudos,17,FALSE)+VLOOKUP(Z68,Tabla_AlcanceFUE,2)))),"")</f>
        <v/>
      </c>
      <c r="AG68" s="5295"/>
      <c r="AH68" s="5295"/>
      <c r="AI68" s="5295"/>
      <c r="AJ68" s="5296"/>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617"/>
      <c r="E69" s="5618"/>
      <c r="F69" s="1275"/>
      <c r="G69" s="2354" t="s">
        <v>8087</v>
      </c>
      <c r="H69" s="2349"/>
      <c r="I69" s="2352"/>
      <c r="J69" s="2349"/>
      <c r="K69" s="2353"/>
      <c r="L69" s="2352"/>
      <c r="M69" s="2350"/>
      <c r="N69" s="1917" t="s">
        <v>1659</v>
      </c>
      <c r="O69" s="1918" t="s">
        <v>1664</v>
      </c>
      <c r="P69" s="1261" t="s">
        <v>1665</v>
      </c>
      <c r="R69" s="1298"/>
      <c r="S69" s="1249"/>
      <c r="T69" s="1115"/>
      <c r="U69" s="1297"/>
      <c r="V69" s="5291" t="s">
        <v>9433</v>
      </c>
      <c r="W69" s="4129"/>
      <c r="X69" s="4129"/>
      <c r="Y69" s="4129"/>
      <c r="Z69" s="4129"/>
      <c r="AA69" s="5322" t="str">
        <f>IFERROR(VLOOKUP(AD70,Tabla_ArmasyEscudos,19,0),"")</f>
        <v/>
      </c>
      <c r="AB69" s="5323"/>
      <c r="AC69" s="5323"/>
      <c r="AD69" s="5323"/>
      <c r="AE69" s="5324"/>
      <c r="AF69" s="5322" t="str">
        <f>IFERROR(VLOOKUP(AI70,Tabla_ArmasyEscudos,19,0),"")</f>
        <v/>
      </c>
      <c r="AG69" s="5323"/>
      <c r="AH69" s="5323"/>
      <c r="AI69" s="5323"/>
      <c r="AJ69" s="5324"/>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117"/>
      <c r="E70" s="3119"/>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291"/>
      <c r="W70" s="5308"/>
      <c r="X70" s="5309"/>
      <c r="Y70" s="5309"/>
      <c r="Z70" s="5310"/>
      <c r="AA70" s="5325" t="str">
        <f>IFERROR(IF(AC61="Armas naturales", "Armas naturales Crit. 1:",IF(ISNUMBER(FIND("Proyectiles",VLOOKUP(AC61,Tabla_ArmasyEscudos,8,0))),"Munición:","")),"")</f>
        <v/>
      </c>
      <c r="AB70" s="4402"/>
      <c r="AC70" s="4402"/>
      <c r="AD70" s="5326"/>
      <c r="AE70" s="5327"/>
      <c r="AF70" s="5325" t="str">
        <f>IFERROR(IF(AH61="Armas naturales", "Armas naturales Crit. 1:",IF(ISNUMBER(FIND("Proyectiles",VLOOKUP(AH61,Tabla_ArmasyEscudos,8,0))),"Munición:","")),"")</f>
        <v/>
      </c>
      <c r="AG70" s="4402"/>
      <c r="AH70" s="4402"/>
      <c r="AI70" s="5326"/>
      <c r="AJ70" s="5327"/>
      <c r="AK70" s="1884"/>
      <c r="AL70" s="1551"/>
      <c r="AM70" s="2496"/>
      <c r="AN70" s="5307" t="s">
        <v>2205</v>
      </c>
      <c r="AO70" s="5307"/>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291"/>
      <c r="W71" s="5308"/>
      <c r="X71" s="5309"/>
      <c r="Y71" s="5309"/>
      <c r="Z71" s="5310"/>
      <c r="AA71" s="5311" t="str">
        <f>IFERROR(IF(AC61="Armas naturales", "Armas naturales Crit. 2:",IF(ISNUMBER(FIND("Proyectiles",VLOOKUP(AC61,Tabla_ArmasyEscudos,8,0))),"Calidad Munición:","")),"")</f>
        <v/>
      </c>
      <c r="AB71" s="5312"/>
      <c r="AC71" s="5312"/>
      <c r="AD71" s="5313"/>
      <c r="AE71" s="5314"/>
      <c r="AF71" s="5311" t="str">
        <f>IFERROR(IF(AH61="Armas naturales", "Armas naturales Crit. 2:",IF(ISNUMBER(FIND("Proyectiles",VLOOKUP(AH61,Tabla_ArmasyEscudos,8,0))),"Calidad Munición:","")),"")</f>
        <v/>
      </c>
      <c r="AG71" s="5312"/>
      <c r="AH71" s="5312"/>
      <c r="AI71" s="5313"/>
      <c r="AJ71" s="5314"/>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414" t="s">
        <v>8091</v>
      </c>
      <c r="D72" s="5702" t="s">
        <v>1595</v>
      </c>
      <c r="E72" s="5702"/>
      <c r="F72" s="5660"/>
      <c r="G72" s="5661"/>
      <c r="H72" s="5661"/>
      <c r="I72" s="5661"/>
      <c r="J72" s="5661"/>
      <c r="K72" s="5661"/>
      <c r="L72" s="5661"/>
      <c r="M72" s="5661"/>
      <c r="N72" s="5661"/>
      <c r="O72" s="5661"/>
      <c r="P72" s="5661"/>
      <c r="Q72" s="5662"/>
      <c r="R72" s="1298"/>
      <c r="S72" s="1249"/>
      <c r="T72" s="1115"/>
      <c r="U72" s="1297"/>
      <c r="V72" s="5291"/>
      <c r="W72" s="5308"/>
      <c r="X72" s="5309"/>
      <c r="Y72" s="5309"/>
      <c r="Z72" s="5310"/>
      <c r="AA72" s="1420" t="str">
        <f>IF(ISNUMBER(FIND("Proyectiles",VLOOKUP(AC61,Tabla_ArmasyEscudos,8,0))),"Rango:","")</f>
        <v/>
      </c>
      <c r="AB72" s="1913" t="str">
        <f>IFERROR(IF(AA72="Rango:",VLOOKUP(AC61,Tabla_ArmasyEscudos,17,0)+IF(AS64&gt;0,VLOOKUP(AS64,Tabla_AlcanceFUE,2,0),VLOOKUP(Z68,Tabla_AlcanceFUE,2,0))&amp;" m",""),"")</f>
        <v/>
      </c>
      <c r="AC72" s="5321" t="str">
        <f>IF(ISNUMBER(FIND("Proyectiles",VLOOKUP(AC61,Tabla_ArmasyEscudos,8,0))),"Recarga:","")</f>
        <v/>
      </c>
      <c r="AD72" s="5321"/>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321" t="str">
        <f>IF(ISNUMBER(FIND("Proyectiles",VLOOKUP(AH61,Tabla_ArmasyEscudos,8,0))),"Recarga:","")</f>
        <v/>
      </c>
      <c r="AI72" s="5321"/>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15"/>
      <c r="D73" s="3415" t="s">
        <v>8099</v>
      </c>
      <c r="E73" s="3404"/>
      <c r="F73" s="3404"/>
      <c r="G73" s="1919" t="s">
        <v>2105</v>
      </c>
      <c r="H73" s="1901" t="s">
        <v>1764</v>
      </c>
      <c r="I73" s="3415" t="s">
        <v>1824</v>
      </c>
      <c r="J73" s="3404"/>
      <c r="K73" s="3404"/>
      <c r="L73" s="3404"/>
      <c r="M73" s="3404"/>
      <c r="N73" s="3404"/>
      <c r="O73" s="3404"/>
      <c r="P73" s="3404"/>
      <c r="Q73" s="5709"/>
      <c r="R73" s="1298"/>
      <c r="S73" s="1249"/>
      <c r="T73" s="1115"/>
      <c r="U73" s="1297"/>
      <c r="V73" s="5291"/>
      <c r="W73" s="5308"/>
      <c r="X73" s="5309"/>
      <c r="Y73" s="5309"/>
      <c r="Z73" s="5310"/>
      <c r="AA73" s="5328" t="s">
        <v>1268</v>
      </c>
      <c r="AB73" s="1906" t="s">
        <v>8018</v>
      </c>
      <c r="AC73" s="2396"/>
      <c r="AD73" s="1906" t="s">
        <v>1666</v>
      </c>
      <c r="AE73" s="2398"/>
      <c r="AF73" s="5328"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415"/>
      <c r="D74" s="5599"/>
      <c r="E74" s="5599"/>
      <c r="F74" s="5599"/>
      <c r="G74" s="2366"/>
      <c r="H74" s="2366"/>
      <c r="I74" s="5663"/>
      <c r="J74" s="5664"/>
      <c r="K74" s="5664"/>
      <c r="L74" s="5664"/>
      <c r="M74" s="5664"/>
      <c r="N74" s="5664"/>
      <c r="O74" s="5664"/>
      <c r="P74" s="5664"/>
      <c r="Q74" s="5665"/>
      <c r="R74" s="1298"/>
      <c r="S74" s="1249"/>
      <c r="T74" s="1115"/>
      <c r="U74" s="1297"/>
      <c r="V74" s="5292"/>
      <c r="W74" s="5330"/>
      <c r="X74" s="5330"/>
      <c r="Y74" s="5330"/>
      <c r="Z74" s="5330"/>
      <c r="AA74" s="5329"/>
      <c r="AB74" s="1896" t="s">
        <v>9163</v>
      </c>
      <c r="AC74" s="2397"/>
      <c r="AD74" s="1912" t="s">
        <v>1841</v>
      </c>
      <c r="AE74" s="2399"/>
      <c r="AF74" s="5329"/>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15"/>
      <c r="D75" s="5639"/>
      <c r="E75" s="5639"/>
      <c r="F75" s="5639"/>
      <c r="G75" s="2367"/>
      <c r="H75" s="2367"/>
      <c r="I75" s="5600"/>
      <c r="J75" s="5601"/>
      <c r="K75" s="5601"/>
      <c r="L75" s="5601"/>
      <c r="M75" s="5601"/>
      <c r="N75" s="5601"/>
      <c r="O75" s="5601"/>
      <c r="P75" s="5601"/>
      <c r="Q75" s="5602"/>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15"/>
      <c r="D76" s="5639"/>
      <c r="E76" s="5639"/>
      <c r="F76" s="5639"/>
      <c r="G76" s="2367"/>
      <c r="H76" s="2367"/>
      <c r="I76" s="5600"/>
      <c r="J76" s="5601"/>
      <c r="K76" s="5601"/>
      <c r="L76" s="5601"/>
      <c r="M76" s="5601"/>
      <c r="N76" s="5601"/>
      <c r="O76" s="5601"/>
      <c r="P76" s="5601"/>
      <c r="Q76" s="5602"/>
      <c r="R76" s="1298"/>
      <c r="S76" s="1249"/>
      <c r="T76" s="1115"/>
      <c r="U76" s="1297"/>
      <c r="V76" s="5286" t="s">
        <v>1595</v>
      </c>
      <c r="W76" s="5287"/>
      <c r="X76" s="5288" t="s">
        <v>9441</v>
      </c>
      <c r="Y76" s="5288"/>
      <c r="Z76" s="5288"/>
      <c r="AA76" s="5288"/>
      <c r="AB76" s="5289"/>
      <c r="AC76" s="5264" t="s">
        <v>9456</v>
      </c>
      <c r="AD76" s="5265"/>
      <c r="AE76" s="5265"/>
      <c r="AF76" s="5266"/>
      <c r="AG76" s="5267"/>
      <c r="AH76" s="5264" t="s">
        <v>9452</v>
      </c>
      <c r="AI76" s="5268"/>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415"/>
      <c r="D77" s="5638"/>
      <c r="E77" s="5639"/>
      <c r="F77" s="5640"/>
      <c r="G77" s="2361"/>
      <c r="H77" s="2369"/>
      <c r="I77" s="5666"/>
      <c r="J77" s="5667"/>
      <c r="K77" s="5667"/>
      <c r="L77" s="5667"/>
      <c r="M77" s="5667"/>
      <c r="N77" s="5667"/>
      <c r="O77" s="5667"/>
      <c r="P77" s="5667"/>
      <c r="Q77" s="5668"/>
      <c r="R77" s="1875"/>
      <c r="S77" s="1249"/>
      <c r="T77" s="1115"/>
      <c r="U77" s="1874"/>
      <c r="V77" s="5269" t="s">
        <v>9455</v>
      </c>
      <c r="W77" s="5270"/>
      <c r="X77" s="5271"/>
      <c r="Y77" s="5272" t="s">
        <v>1819</v>
      </c>
      <c r="Z77" s="5274">
        <f>IFERROR(VLOOKUP(V78,Tabla_CaracterísticasGéminis,2,0)+IF(COUNTIF(W85:Z90,"Metal")&gt;0,VLOOKUP(V78,Tabla_CaracterísticasGéminis,2,0),0)+IF(AF76="Grande",50,IF(AF76="Enorme",150,0)),0)</f>
        <v>0</v>
      </c>
      <c r="AA77" s="5276" t="s">
        <v>9463</v>
      </c>
      <c r="AB77" s="5277"/>
      <c r="AC77" s="5278"/>
      <c r="AD77" s="5279"/>
      <c r="AE77" s="5280"/>
      <c r="AF77" s="5276"/>
      <c r="AG77" s="5277"/>
      <c r="AH77" s="5278"/>
      <c r="AI77" s="5279"/>
      <c r="AJ77" s="5280"/>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415"/>
      <c r="D78" s="5716"/>
      <c r="E78" s="5717"/>
      <c r="F78" s="5718"/>
      <c r="G78" s="2370"/>
      <c r="H78" s="2361"/>
      <c r="I78" s="5669"/>
      <c r="J78" s="5670"/>
      <c r="K78" s="5670"/>
      <c r="L78" s="5670"/>
      <c r="M78" s="5670"/>
      <c r="N78" s="5670"/>
      <c r="O78" s="5670"/>
      <c r="P78" s="5670"/>
      <c r="Q78" s="5671"/>
      <c r="R78" s="1298"/>
      <c r="S78" s="1879"/>
      <c r="T78" s="1879"/>
      <c r="U78" s="1876"/>
      <c r="V78" s="5281"/>
      <c r="W78" s="5282"/>
      <c r="X78" s="5283"/>
      <c r="Y78" s="5273"/>
      <c r="Z78" s="5275"/>
      <c r="AA78" s="1907" t="s">
        <v>1839</v>
      </c>
      <c r="AB78" s="5284" t="s">
        <v>1840</v>
      </c>
      <c r="AC78" s="5285"/>
      <c r="AD78" s="1899" t="s">
        <v>1666</v>
      </c>
      <c r="AE78" s="1908" t="s">
        <v>1841</v>
      </c>
      <c r="AF78" s="1907" t="s">
        <v>1839</v>
      </c>
      <c r="AG78" s="5284" t="s">
        <v>1840</v>
      </c>
      <c r="AH78" s="5285"/>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415"/>
      <c r="D79" s="5716"/>
      <c r="E79" s="5717"/>
      <c r="F79" s="5718"/>
      <c r="G79" s="2370"/>
      <c r="H79" s="2369"/>
      <c r="I79" s="5669"/>
      <c r="J79" s="5670"/>
      <c r="K79" s="5670"/>
      <c r="L79" s="5670"/>
      <c r="M79" s="5670"/>
      <c r="N79" s="5670"/>
      <c r="O79" s="5670"/>
      <c r="P79" s="5670"/>
      <c r="Q79" s="5671"/>
      <c r="R79" s="1878"/>
      <c r="S79" s="1881"/>
      <c r="T79" s="1881"/>
      <c r="U79" s="1297"/>
      <c r="V79" s="5297" t="s">
        <v>9448</v>
      </c>
      <c r="W79" s="5298"/>
      <c r="X79" s="5301">
        <f>IFERROR(VLOOKUP(V78,Tabla_CaracterísticasGéminis,4,0),0)</f>
        <v>0</v>
      </c>
      <c r="Y79" s="5272" t="s">
        <v>9445</v>
      </c>
      <c r="Z79" s="5274">
        <f>IFERROR(VLOOKUP(V78,Tabla_CaracterísticasGéminis,3,0)+IF(COUNTIF(W85:Z90,"Metal")&gt;0,4,0),0)</f>
        <v>0</v>
      </c>
      <c r="AA79" s="5303" t="str">
        <f>IFERROR(IF(OR(AC77="",Tablas!$H$982=0),"-",IF(AC77="Armas naturales",Principal!$H$24,IF(VLOOKUP(AC77,Tabla_ArmasyEscudos,9,0)="Conocida",Principal!$H$24,"-"))+AC89+5*MIN(4,COUNTIF(W85:Z90,"Capacidad de combate"))-10*MAX(0,AR80-Z84)),"-")</f>
        <v>-</v>
      </c>
      <c r="AB79" s="5305" t="str">
        <f>IFERROR(IF(OR(AC77="",Tablas!$H$982=0),"-",IF(AC77="Armas naturales",Principal!$H$26,IF(AND(AC79="Par",VLOOKUP(AC77,Tabla_ArmasyEscudos,9,0)&lt;&gt;"Conocida"),"-",Principal!$H$26))+AC90+5*MIN(4,COUNTIF(W85:Z90,"Capacidad de combate"))-IF(AC79="Par",10*MAX(0,AR80-Z84),0)),"-")</f>
        <v>-</v>
      </c>
      <c r="AC79" s="5315" t="str">
        <f>IF(OR(AC77="",Tablas!$H$982=0),"",IF(Principal!$F$26="H. Esquiva","Esq","Par"))</f>
        <v/>
      </c>
      <c r="AD79" s="5317" t="str">
        <f>IFERROR(IF(OR(AC77="",Tablas!$H$982=0),"-",IF(AC77="Armas naturales",Turno_Nat_final-20+AO88,Turno_Nat_final-20+IF(ISNA(AU81),AU80,IF(AU80=AU81,AU80-10,MIN(AU80,AU81))))),"-")</f>
        <v>-</v>
      </c>
      <c r="AE79" s="5319"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03" t="str">
        <f>IFERROR(IF(OR(AH77="",Tablas!$H$982=0),"-",IF(AH77="Armas naturales",Principal!$H$24,IF(VLOOKUP(AH77,Tabla_ArmasyEscudos,9,0)="Conocida",Principal!$H$24,"-"))+AH89+5*MIN(4,COUNTIF(W85:Z90,"Capacidad de combate"))-10*MAX(0,AR81-Z84)),"-")</f>
        <v>-</v>
      </c>
      <c r="AG79" s="5305" t="str">
        <f>IFERROR(IF(OR(AH77="",Tablas!$H$982=0),"-",IF(AH77="Armas naturales",Principal!$H$26,IF(AND(AH79="Par",VLOOKUP(AH77,Tabla_ArmasyEscudos,9,0)&lt;&gt;"Conocida"),"-",Principal!$H$26))+AH90+5*MIN(4,COUNTIF(W85:Z90,"Capacidad de combate"))-IF(AH79="Par",10*MAX(0,AR81-Z84),0)),"-")</f>
        <v>-</v>
      </c>
      <c r="AH79" s="5315" t="str">
        <f>IF(OR(AH77="",Tablas!$H$982=0),"",IF(Principal!$F$26="H. Esquiva","Esq","Par"))</f>
        <v/>
      </c>
      <c r="AI79" s="5317" t="s">
        <v>1853</v>
      </c>
      <c r="AJ79" s="5319"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415"/>
      <c r="D80" s="5716"/>
      <c r="E80" s="5717"/>
      <c r="F80" s="5718"/>
      <c r="G80" s="2369"/>
      <c r="H80" s="2368"/>
      <c r="I80" s="5600"/>
      <c r="J80" s="5601"/>
      <c r="K80" s="5601"/>
      <c r="L80" s="5601"/>
      <c r="M80" s="5601"/>
      <c r="N80" s="5601"/>
      <c r="O80" s="5601"/>
      <c r="P80" s="5601"/>
      <c r="Q80" s="5602"/>
      <c r="R80" s="1878"/>
      <c r="S80" s="1881"/>
      <c r="T80" s="1881"/>
      <c r="U80" s="1297"/>
      <c r="V80" s="5299"/>
      <c r="W80" s="5300"/>
      <c r="X80" s="5302"/>
      <c r="Y80" s="5273"/>
      <c r="Z80" s="5275"/>
      <c r="AA80" s="5304"/>
      <c r="AB80" s="5306"/>
      <c r="AC80" s="5316"/>
      <c r="AD80" s="5318"/>
      <c r="AE80" s="5320"/>
      <c r="AF80" s="5304"/>
      <c r="AG80" s="5306"/>
      <c r="AH80" s="5316"/>
      <c r="AI80" s="5318"/>
      <c r="AJ80" s="5320"/>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415"/>
      <c r="D81" s="5644"/>
      <c r="E81" s="5644"/>
      <c r="F81" s="5644"/>
      <c r="G81" s="2369"/>
      <c r="H81" s="2361"/>
      <c r="I81" s="5666"/>
      <c r="J81" s="5667"/>
      <c r="K81" s="5667"/>
      <c r="L81" s="5667"/>
      <c r="M81" s="5667"/>
      <c r="N81" s="5667"/>
      <c r="O81" s="5667"/>
      <c r="P81" s="5667"/>
      <c r="Q81" s="5668"/>
      <c r="R81" s="1298"/>
      <c r="S81" s="1879"/>
      <c r="T81" s="1879"/>
      <c r="U81" s="1876"/>
      <c r="V81" s="5290"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415"/>
      <c r="D82" s="5638"/>
      <c r="E82" s="5639"/>
      <c r="F82" s="5640"/>
      <c r="G82" s="2361"/>
      <c r="H82" s="2369"/>
      <c r="I82" s="5600"/>
      <c r="J82" s="5601"/>
      <c r="K82" s="5601"/>
      <c r="L82" s="5601"/>
      <c r="M82" s="5601"/>
      <c r="N82" s="5601"/>
      <c r="O82" s="5601"/>
      <c r="P82" s="5601"/>
      <c r="Q82" s="5602"/>
      <c r="R82" s="1878"/>
      <c r="S82" s="1881"/>
      <c r="T82" s="1881"/>
      <c r="U82" s="1297"/>
      <c r="V82" s="5291"/>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15"/>
      <c r="D83" s="5644"/>
      <c r="E83" s="5644"/>
      <c r="F83" s="5644"/>
      <c r="G83" s="2369"/>
      <c r="H83" s="2369"/>
      <c r="I83" s="5600"/>
      <c r="J83" s="5601"/>
      <c r="K83" s="5601"/>
      <c r="L83" s="5601"/>
      <c r="M83" s="5601"/>
      <c r="N83" s="5601"/>
      <c r="O83" s="5601"/>
      <c r="P83" s="5601"/>
      <c r="Q83" s="5602"/>
      <c r="R83" s="1878"/>
      <c r="S83" s="1881"/>
      <c r="T83" s="1881"/>
      <c r="U83" s="1297"/>
      <c r="V83" s="5291"/>
      <c r="W83" s="2009" t="s">
        <v>1651</v>
      </c>
      <c r="X83" s="2393" t="str">
        <f>IF(Tablas!$H$982=0,"-",IF(Zen,DES,MIN(13,DES)))</f>
        <v>-</v>
      </c>
      <c r="Y83" s="2407"/>
      <c r="Z83" s="1951" t="str">
        <f>IFERROR(MIN(X83+Y83,IF(Zen,20,13)),"-")</f>
        <v>-</v>
      </c>
      <c r="AA83" s="2410" t="str">
        <f>IF(AND(AC77&lt;&gt;"",AC77&lt;&gt;"Armas naturales"),"Calidad:","")</f>
        <v/>
      </c>
      <c r="AB83" s="2413"/>
      <c r="AC83" s="5293" t="str">
        <f>IF(AA87="Calidad munición:",IF(AD87&lt;=0,"","TA defensor:"),IF(AB83&lt;=0,"","TA defensor:"))</f>
        <v/>
      </c>
      <c r="AD83" s="5293"/>
      <c r="AE83" s="2412" t="str">
        <f>IF(AC83="TA defensor:",IF(AA87="Calidad munición:",AD87/(-5),AB83/(-5)),"")</f>
        <v/>
      </c>
      <c r="AF83" s="2410" t="str">
        <f>IF(AND(AH77&lt;&gt;"",AH77&lt;&gt;"Armas naturales"),"Calidad:","")</f>
        <v/>
      </c>
      <c r="AG83" s="2413"/>
      <c r="AH83" s="5293" t="str">
        <f>IF(AF87="Calidad munición:",IF(AI87&lt;=0,"","TA defensor:"),IF(AG83&lt;=0,"","TA defensor:"))</f>
        <v/>
      </c>
      <c r="AI83" s="5293"/>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415"/>
      <c r="D84" s="5638"/>
      <c r="E84" s="5639"/>
      <c r="F84" s="5640"/>
      <c r="G84" s="2368"/>
      <c r="H84" s="2369"/>
      <c r="I84" s="5641"/>
      <c r="J84" s="5642"/>
      <c r="K84" s="5642"/>
      <c r="L84" s="5642"/>
      <c r="M84" s="5642"/>
      <c r="N84" s="5642"/>
      <c r="O84" s="5642"/>
      <c r="P84" s="5642"/>
      <c r="Q84" s="5643"/>
      <c r="R84" s="1298"/>
      <c r="S84" s="1879"/>
      <c r="T84" s="1879"/>
      <c r="U84" s="1876"/>
      <c r="V84" s="5292"/>
      <c r="W84" s="2010" t="s">
        <v>1656</v>
      </c>
      <c r="X84" s="2394" t="str">
        <f>IF(Tablas!$H$982=0,"-",IF(Zen,FUE-2,MIN(11,FUE-2)))</f>
        <v>-</v>
      </c>
      <c r="Y84" s="2408"/>
      <c r="Z84" s="1898" t="str">
        <f>IFERROR(MIN(20,MIN(X84+Y84,IF(Zen,20,13))+IF(COUNTIF(W85:Z90,"Fuerza excepcional")&gt;0,IF(X84+6&lt;15,6,MAX(15-X84,0)),0)),"-")</f>
        <v>-</v>
      </c>
      <c r="AA84" s="5294" t="str">
        <f>IFERROR(IF(AC77="Armas naturales","",VLOOKUP(AC77,Tabla_ArmasyEscudos,19,0)),"")</f>
        <v/>
      </c>
      <c r="AB84" s="5295"/>
      <c r="AC84" s="5295"/>
      <c r="AD84" s="5295"/>
      <c r="AE84" s="5296"/>
      <c r="AF84" s="5294" t="str">
        <f>IFERROR(IF(AH77="Armas naturales","",VLOOKUP(AH77,Tabla_ArmasyEscudos,19,0)),"")</f>
        <v/>
      </c>
      <c r="AG84" s="5295"/>
      <c r="AH84" s="5295"/>
      <c r="AI84" s="5295"/>
      <c r="AJ84" s="5296"/>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415"/>
      <c r="D85" s="5644"/>
      <c r="E85" s="5644"/>
      <c r="F85" s="5644"/>
      <c r="G85" s="2361"/>
      <c r="H85" s="2369"/>
      <c r="I85" s="5600"/>
      <c r="J85" s="5601"/>
      <c r="K85" s="5601"/>
      <c r="L85" s="5601"/>
      <c r="M85" s="5601"/>
      <c r="N85" s="5601"/>
      <c r="O85" s="5601"/>
      <c r="P85" s="5601"/>
      <c r="Q85" s="5602"/>
      <c r="R85" s="1298"/>
      <c r="S85" s="1879"/>
      <c r="T85" s="1879"/>
      <c r="U85" s="1876"/>
      <c r="V85" s="5291" t="s">
        <v>9433</v>
      </c>
      <c r="W85" s="4129"/>
      <c r="X85" s="4129"/>
      <c r="Y85" s="4129"/>
      <c r="Z85" s="4129"/>
      <c r="AA85" s="5322" t="str">
        <f>IFERROR(VLOOKUP(AD86,Tabla_ArmasyEscudos,19,0),"")</f>
        <v/>
      </c>
      <c r="AB85" s="5323"/>
      <c r="AC85" s="5323"/>
      <c r="AD85" s="5323"/>
      <c r="AE85" s="5324"/>
      <c r="AF85" s="5322" t="str">
        <f>IFERROR(VLOOKUP(AI86,Tabla_ArmasyEscudos,19,0),"")</f>
        <v/>
      </c>
      <c r="AG85" s="5323"/>
      <c r="AH85" s="5323"/>
      <c r="AI85" s="5323"/>
      <c r="AJ85" s="5324"/>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15"/>
      <c r="D86" s="5638"/>
      <c r="E86" s="5639"/>
      <c r="F86" s="5640"/>
      <c r="G86" s="2369"/>
      <c r="H86" s="2369"/>
      <c r="I86" s="5666"/>
      <c r="J86" s="5667"/>
      <c r="K86" s="5667"/>
      <c r="L86" s="5667"/>
      <c r="M86" s="5667"/>
      <c r="N86" s="5667"/>
      <c r="O86" s="5667"/>
      <c r="P86" s="5667"/>
      <c r="Q86" s="5668"/>
      <c r="R86" s="1298"/>
      <c r="S86" s="1879"/>
      <c r="T86" s="1879"/>
      <c r="U86" s="1876"/>
      <c r="V86" s="5291"/>
      <c r="W86" s="5308"/>
      <c r="X86" s="5309"/>
      <c r="Y86" s="5309"/>
      <c r="Z86" s="5310"/>
      <c r="AA86" s="5325" t="str">
        <f>IFERROR(IF(AC77="Armas naturales", "Armas naturales Crit. 1:",IF(ISNUMBER(FIND("Proyectiles",VLOOKUP(AC77,Tabla_ArmasyEscudos,8,0))),"Munición:","")),"")</f>
        <v/>
      </c>
      <c r="AB86" s="4402"/>
      <c r="AC86" s="4402"/>
      <c r="AD86" s="5326"/>
      <c r="AE86" s="5327"/>
      <c r="AF86" s="5325" t="str">
        <f>IFERROR(IF(AH77="Armas naturales", "Armas naturales Crit. 1:",IF(ISNUMBER(FIND("Proyectiles",VLOOKUP(AH77,Tabla_ArmasyEscudos,8,0))),"Munición:","")),"")</f>
        <v/>
      </c>
      <c r="AG86" s="4402"/>
      <c r="AH86" s="4402"/>
      <c r="AI86" s="5326"/>
      <c r="AJ86" s="5327"/>
      <c r="AK86" s="1884"/>
      <c r="AL86" s="1551"/>
      <c r="AM86" s="2496"/>
      <c r="AN86" s="5307" t="s">
        <v>2205</v>
      </c>
      <c r="AO86" s="5307"/>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15"/>
      <c r="D87" s="5638"/>
      <c r="E87" s="5639"/>
      <c r="F87" s="5640"/>
      <c r="G87" s="2361"/>
      <c r="H87" s="2369"/>
      <c r="I87" s="5600"/>
      <c r="J87" s="5601"/>
      <c r="K87" s="5601"/>
      <c r="L87" s="5601"/>
      <c r="M87" s="5601"/>
      <c r="N87" s="5601"/>
      <c r="O87" s="5601"/>
      <c r="P87" s="5601"/>
      <c r="Q87" s="5602"/>
      <c r="R87" s="1298"/>
      <c r="S87" s="1879"/>
      <c r="T87" s="1879"/>
      <c r="U87" s="1876"/>
      <c r="V87" s="5291"/>
      <c r="W87" s="5308"/>
      <c r="X87" s="5309"/>
      <c r="Y87" s="5309"/>
      <c r="Z87" s="5310"/>
      <c r="AA87" s="5311" t="str">
        <f>IFERROR(IF(AC77="Armas naturales", "Armas naturales Crit. 2:",IF(ISNUMBER(FIND("Proyectiles",VLOOKUP(AC77,Tabla_ArmasyEscudos,8,0))),"Calidad Munición:","")),"")</f>
        <v/>
      </c>
      <c r="AB87" s="5312"/>
      <c r="AC87" s="5312"/>
      <c r="AD87" s="5313"/>
      <c r="AE87" s="5314"/>
      <c r="AF87" s="5311" t="str">
        <f>IFERROR(IF(AH77="Armas naturales", "Armas naturales Crit. 2:",IF(ISNUMBER(FIND("Proyectiles",VLOOKUP(AH77,Tabla_ArmasyEscudos,8,0))),"Calidad Munición:","")),"")</f>
        <v/>
      </c>
      <c r="AG87" s="5312"/>
      <c r="AH87" s="5312"/>
      <c r="AI87" s="5313"/>
      <c r="AJ87" s="5314"/>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15"/>
      <c r="D88" s="5644"/>
      <c r="E88" s="5644"/>
      <c r="F88" s="5644"/>
      <c r="G88" s="2369"/>
      <c r="H88" s="2368"/>
      <c r="I88" s="5666"/>
      <c r="J88" s="5667"/>
      <c r="K88" s="5667"/>
      <c r="L88" s="5667"/>
      <c r="M88" s="5667"/>
      <c r="N88" s="5667"/>
      <c r="O88" s="5667"/>
      <c r="P88" s="5667"/>
      <c r="Q88" s="5668"/>
      <c r="R88" s="1298"/>
      <c r="S88" s="1879"/>
      <c r="T88" s="1879"/>
      <c r="U88" s="1876"/>
      <c r="V88" s="5291"/>
      <c r="W88" s="4129"/>
      <c r="X88" s="4129"/>
      <c r="Y88" s="4129"/>
      <c r="Z88" s="4129"/>
      <c r="AA88" s="1420" t="str">
        <f>IF(ISNUMBER(FIND("Proyectiles",VLOOKUP(AC77,Tabla_ArmasyEscudos,8,0))),"Rango:","")</f>
        <v/>
      </c>
      <c r="AB88" s="1913" t="str">
        <f>IFERROR(IF(AA88="Rango:",VLOOKUP(AC77,Tabla_ArmasyEscudos,17,0)+IF(AS80&gt;0,VLOOKUP(AS80,Tabla_AlcanceFUE,2,0),VLOOKUP(Z84,Tabla_AlcanceFUE,2,0))&amp;" m",""),"")</f>
        <v/>
      </c>
      <c r="AC88" s="5321" t="str">
        <f>IF(ISNUMBER(FIND("Proyectiles",VLOOKUP(AC77,Tabla_ArmasyEscudos,8,0))),"Recarga:","")</f>
        <v/>
      </c>
      <c r="AD88" s="5321"/>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321" t="str">
        <f>IF(ISNUMBER(FIND("Proyectiles",VLOOKUP(AH77,Tabla_ArmasyEscudos,8,0))),"Recarga:","")</f>
        <v/>
      </c>
      <c r="AI88" s="5321"/>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416"/>
      <c r="D89" s="5710"/>
      <c r="E89" s="5711"/>
      <c r="F89" s="5712"/>
      <c r="G89" s="2362"/>
      <c r="H89" s="2362"/>
      <c r="I89" s="5713"/>
      <c r="J89" s="5714"/>
      <c r="K89" s="5714"/>
      <c r="L89" s="5714"/>
      <c r="M89" s="5714"/>
      <c r="N89" s="5714"/>
      <c r="O89" s="5714"/>
      <c r="P89" s="5714"/>
      <c r="Q89" s="5715"/>
      <c r="R89" s="1298"/>
      <c r="S89" s="1879"/>
      <c r="T89" s="1879"/>
      <c r="U89" s="1876"/>
      <c r="V89" s="5291"/>
      <c r="W89" s="5308"/>
      <c r="X89" s="5309"/>
      <c r="Y89" s="5309"/>
      <c r="Z89" s="5310"/>
      <c r="AA89" s="5328" t="s">
        <v>1268</v>
      </c>
      <c r="AB89" s="1906" t="s">
        <v>8018</v>
      </c>
      <c r="AC89" s="2400"/>
      <c r="AD89" s="1906" t="s">
        <v>1666</v>
      </c>
      <c r="AE89" s="2398"/>
      <c r="AF89" s="5328"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292"/>
      <c r="W90" s="5330"/>
      <c r="X90" s="5330"/>
      <c r="Y90" s="5330"/>
      <c r="Z90" s="5330"/>
      <c r="AA90" s="5329"/>
      <c r="AB90" s="1896" t="s">
        <v>9163</v>
      </c>
      <c r="AC90" s="2401"/>
      <c r="AD90" s="1912" t="s">
        <v>1841</v>
      </c>
      <c r="AE90" s="2399"/>
      <c r="AF90" s="5329"/>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704" t="s">
        <v>7279</v>
      </c>
      <c r="F91" s="5705"/>
      <c r="G91" s="5705"/>
      <c r="H91" s="5705"/>
      <c r="I91" s="5705"/>
      <c r="J91" s="5705"/>
      <c r="K91" s="5706"/>
      <c r="L91" s="5707" t="s">
        <v>7281</v>
      </c>
      <c r="M91" s="5707"/>
      <c r="N91" s="5707"/>
      <c r="O91" s="5708"/>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679"/>
      <c r="F92" s="5680"/>
      <c r="G92" s="5680"/>
      <c r="H92" s="5680"/>
      <c r="I92" s="5680"/>
      <c r="J92" s="5681"/>
      <c r="K92" s="2363"/>
      <c r="L92" s="5677"/>
      <c r="M92" s="5677"/>
      <c r="N92" s="5677"/>
      <c r="O92" s="5637"/>
      <c r="P92" s="1250"/>
      <c r="Q92" s="1250"/>
      <c r="R92" s="1298"/>
      <c r="S92" s="1879"/>
      <c r="T92" s="1879"/>
      <c r="U92" s="1876"/>
      <c r="V92" s="5286" t="s">
        <v>1595</v>
      </c>
      <c r="W92" s="5287"/>
      <c r="X92" s="5288" t="s">
        <v>9442</v>
      </c>
      <c r="Y92" s="5288"/>
      <c r="Z92" s="5288"/>
      <c r="AA92" s="5288"/>
      <c r="AB92" s="5289"/>
      <c r="AC92" s="5264" t="s">
        <v>9456</v>
      </c>
      <c r="AD92" s="5265"/>
      <c r="AE92" s="5265"/>
      <c r="AF92" s="5266"/>
      <c r="AG92" s="5267"/>
      <c r="AH92" s="5264" t="s">
        <v>9452</v>
      </c>
      <c r="AI92" s="5268"/>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682"/>
      <c r="F93" s="5683"/>
      <c r="G93" s="5683"/>
      <c r="H93" s="5683"/>
      <c r="I93" s="5683"/>
      <c r="J93" s="5684"/>
      <c r="K93" s="2371"/>
      <c r="L93" s="5677"/>
      <c r="M93" s="5677"/>
      <c r="N93" s="5677"/>
      <c r="O93" s="5637"/>
      <c r="P93" s="1250"/>
      <c r="Q93" s="1250"/>
      <c r="R93" s="1298"/>
      <c r="S93" s="1879"/>
      <c r="T93" s="1879"/>
      <c r="U93" s="1876"/>
      <c r="V93" s="5269" t="s">
        <v>9455</v>
      </c>
      <c r="W93" s="5270"/>
      <c r="X93" s="5271"/>
      <c r="Y93" s="5272" t="s">
        <v>1819</v>
      </c>
      <c r="Z93" s="5274">
        <f>IFERROR(VLOOKUP(V94,Tabla_CaracterísticasGéminis,2,0)+IF(COUNTIF(W101:Z106,"Metal")&gt;0,VLOOKUP(V94,Tabla_CaracterísticasGéminis,2,0),0)+IF(AF92="Grande",50,IF(AF92="Enorme",150,0)),0)</f>
        <v>0</v>
      </c>
      <c r="AA93" s="5276" t="s">
        <v>9463</v>
      </c>
      <c r="AB93" s="5277"/>
      <c r="AC93" s="5278"/>
      <c r="AD93" s="5279"/>
      <c r="AE93" s="5280"/>
      <c r="AF93" s="5276"/>
      <c r="AG93" s="5277"/>
      <c r="AH93" s="5278"/>
      <c r="AI93" s="5279"/>
      <c r="AJ93" s="5280"/>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673"/>
      <c r="F94" s="5674"/>
      <c r="G94" s="5674"/>
      <c r="H94" s="5674"/>
      <c r="I94" s="5674"/>
      <c r="J94" s="5675"/>
      <c r="K94" s="2371"/>
      <c r="L94" s="5677"/>
      <c r="M94" s="5677"/>
      <c r="N94" s="5677"/>
      <c r="O94" s="5637"/>
      <c r="P94" s="1250"/>
      <c r="Q94" s="1250"/>
      <c r="R94" s="1298"/>
      <c r="S94" s="1879"/>
      <c r="T94" s="1879"/>
      <c r="U94" s="1876"/>
      <c r="V94" s="5281"/>
      <c r="W94" s="5282"/>
      <c r="X94" s="5283"/>
      <c r="Y94" s="5273"/>
      <c r="Z94" s="5275"/>
      <c r="AA94" s="1907" t="s">
        <v>1839</v>
      </c>
      <c r="AB94" s="5284" t="s">
        <v>1840</v>
      </c>
      <c r="AC94" s="5285"/>
      <c r="AD94" s="1899" t="s">
        <v>1666</v>
      </c>
      <c r="AE94" s="1908" t="s">
        <v>1841</v>
      </c>
      <c r="AF94" s="1907" t="s">
        <v>1839</v>
      </c>
      <c r="AG94" s="5284" t="s">
        <v>1840</v>
      </c>
      <c r="AH94" s="5285"/>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685"/>
      <c r="F95" s="5686"/>
      <c r="G95" s="5686"/>
      <c r="H95" s="5686"/>
      <c r="I95" s="5686"/>
      <c r="J95" s="5687"/>
      <c r="K95" s="2364"/>
      <c r="L95" s="5677"/>
      <c r="M95" s="5677"/>
      <c r="N95" s="5677"/>
      <c r="O95" s="5637"/>
      <c r="P95" s="1250"/>
      <c r="Q95" s="1250"/>
      <c r="R95" s="1298"/>
      <c r="S95" s="1879"/>
      <c r="T95" s="1879"/>
      <c r="U95" s="1876"/>
      <c r="V95" s="5297" t="s">
        <v>9448</v>
      </c>
      <c r="W95" s="5298"/>
      <c r="X95" s="5301">
        <f>IFERROR(VLOOKUP(V94,Tabla_CaracterísticasGéminis,4,0),0)</f>
        <v>0</v>
      </c>
      <c r="Y95" s="5272" t="s">
        <v>9445</v>
      </c>
      <c r="Z95" s="5274">
        <f>IFERROR(VLOOKUP(V94,Tabla_CaracterísticasGéminis,3,0)+IF(COUNTIF(W101:Z106,"Metal")&gt;0,4,0),0)</f>
        <v>0</v>
      </c>
      <c r="AA95" s="5303" t="str">
        <f>IFERROR(IF(OR(AC93="",Tablas!$H$982=0),"-",IF(AC93="Armas naturales",Principal!$H$24,IF(VLOOKUP(AC93,Tabla_ArmasyEscudos,9,0)="Conocida",Principal!$H$24,"-"))+AC105+5*MIN(4,COUNTIF(W101:Z106,"Capacidad de combate"))-10*MAX(0,AR96-Z100)),"-")</f>
        <v>-</v>
      </c>
      <c r="AB95" s="5305" t="str">
        <f>IFERROR(IF(OR(AC93="",Tablas!$H$982=0),"-",IF(AC93="Armas naturales",Principal!$H$26,IF(AND(AC95="Par",VLOOKUP(AC93,Tabla_ArmasyEscudos,9,0)&lt;&gt;"Conocida"),"-",Principal!$H$26))+AC106+5*MIN(4,COUNTIF(W101:Z106,"Capacidad de combate"))-IF(AC95="Par",10*MAX(0,AR96-Z100),0)),"-")</f>
        <v>-</v>
      </c>
      <c r="AC95" s="5315" t="str">
        <f>IF(OR(AC93="",Tablas!$H$982=0),"",IF(Principal!$F$26="H. Esquiva","Esq","Par"))</f>
        <v/>
      </c>
      <c r="AD95" s="5317" t="str">
        <f>IFERROR(IF(OR(AC93="",Tablas!$H$982=0),"-",IF(AC93="Armas naturales",Turno_Nat_final-20+AO104,Turno_Nat_final-20+IF(ISNA(AU97),AU96,IF(AU96=AU97,AU96-10,MIN(AU96,AU97))))),"-")</f>
        <v>-</v>
      </c>
      <c r="AE95" s="5319"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03" t="str">
        <f>IFERROR(IF(OR(AH93="",Tablas!$H$982=0),"-",IF(AH93="Armas naturales",Principal!$H$24,IF(VLOOKUP(AH93,Tabla_ArmasyEscudos,9,0)="Conocida",Principal!$H$24,"-"))+AH105+5*MIN(4,COUNTIF(W101:Z106,"Capacidad de combate"))-10*MAX(0,AR97-Z100)),"-")</f>
        <v>-</v>
      </c>
      <c r="AG95" s="5305" t="str">
        <f>IFERROR(IF(OR(AH93="",Tablas!$H$982=0),"-",IF(AH93="Armas naturales",Principal!$H$26,IF(AND(AH95="Par",VLOOKUP(AH93,Tabla_ArmasyEscudos,9,0)&lt;&gt;"Conocida"),"-",Principal!$H$26))+AH106+5*MIN(4,COUNTIF(W101:Z106,"Capacidad de combate"))-IF(AH95="Par",10*MAX(0,AR97-Z100),0)),"-")</f>
        <v>-</v>
      </c>
      <c r="AH95" s="5315" t="str">
        <f>IF(OR(AH93="",Tablas!$H$982=0),"",IF(Principal!$F$26="H. Esquiva","Esq","Par"))</f>
        <v/>
      </c>
      <c r="AI95" s="5317" t="s">
        <v>1853</v>
      </c>
      <c r="AJ95" s="5319"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673"/>
      <c r="F96" s="5674"/>
      <c r="G96" s="5674"/>
      <c r="H96" s="5674"/>
      <c r="I96" s="5674"/>
      <c r="J96" s="5675"/>
      <c r="K96" s="2371"/>
      <c r="L96" s="5677"/>
      <c r="M96" s="5677"/>
      <c r="N96" s="5677"/>
      <c r="O96" s="5637"/>
      <c r="P96" s="1903"/>
      <c r="Q96" s="1903"/>
      <c r="R96" s="1920"/>
      <c r="S96" s="1879"/>
      <c r="T96" s="1879"/>
      <c r="U96" s="1876"/>
      <c r="V96" s="5299"/>
      <c r="W96" s="5300"/>
      <c r="X96" s="5302"/>
      <c r="Y96" s="5273"/>
      <c r="Z96" s="5275"/>
      <c r="AA96" s="5304"/>
      <c r="AB96" s="5306"/>
      <c r="AC96" s="5316"/>
      <c r="AD96" s="5318"/>
      <c r="AE96" s="5320"/>
      <c r="AF96" s="5304"/>
      <c r="AG96" s="5306"/>
      <c r="AH96" s="5316"/>
      <c r="AI96" s="5318"/>
      <c r="AJ96" s="5320"/>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685"/>
      <c r="F97" s="5686"/>
      <c r="G97" s="5686"/>
      <c r="H97" s="5686"/>
      <c r="I97" s="5686"/>
      <c r="J97" s="5687"/>
      <c r="K97" s="2371"/>
      <c r="L97" s="5677"/>
      <c r="M97" s="5677"/>
      <c r="N97" s="5677"/>
      <c r="O97" s="5637"/>
      <c r="P97" s="1903"/>
      <c r="Q97" s="1903"/>
      <c r="R97" s="1920"/>
      <c r="S97" s="1879"/>
      <c r="T97" s="1879"/>
      <c r="U97" s="1914"/>
      <c r="V97" s="5290"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688"/>
      <c r="F98" s="5689"/>
      <c r="G98" s="5689"/>
      <c r="H98" s="5689"/>
      <c r="I98" s="5689"/>
      <c r="J98" s="5690"/>
      <c r="K98" s="2364"/>
      <c r="L98" s="5677"/>
      <c r="M98" s="5677"/>
      <c r="N98" s="5677"/>
      <c r="O98" s="5637"/>
      <c r="P98" s="1250"/>
      <c r="Q98" s="1250"/>
      <c r="R98" s="1298"/>
      <c r="S98" s="1879"/>
      <c r="T98" s="1879"/>
      <c r="U98" s="1876"/>
      <c r="V98" s="5291"/>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697" t="s">
        <v>7280</v>
      </c>
      <c r="F99" s="5698"/>
      <c r="G99" s="5698"/>
      <c r="H99" s="5698"/>
      <c r="I99" s="5698"/>
      <c r="J99" s="5698"/>
      <c r="K99" s="5699"/>
      <c r="L99" s="5677"/>
      <c r="M99" s="5677"/>
      <c r="N99" s="5677"/>
      <c r="O99" s="5637"/>
      <c r="P99" s="1114"/>
      <c r="Q99" s="1114"/>
      <c r="R99" s="1878"/>
      <c r="S99" s="1881"/>
      <c r="T99" s="1881"/>
      <c r="U99" s="1297"/>
      <c r="V99" s="5291"/>
      <c r="W99" s="2009" t="s">
        <v>1651</v>
      </c>
      <c r="X99" s="2393" t="str">
        <f>IF(Tablas!$H$982=0,"-",IF(Zen,DES,MIN(13,DES)))</f>
        <v>-</v>
      </c>
      <c r="Y99" s="2404"/>
      <c r="Z99" s="1951" t="str">
        <f>IFERROR(MIN(X99+Y99,IF(Zen,20,13)),"-")</f>
        <v>-</v>
      </c>
      <c r="AA99" s="2410" t="str">
        <f>IF(AND(AC93&lt;&gt;"",AC93&lt;&gt;"Armas naturales"),"Calidad:","")</f>
        <v/>
      </c>
      <c r="AB99" s="2413"/>
      <c r="AC99" s="5293" t="str">
        <f>IF(AA103="Calidad munición:",IF(AD103&lt;=0,"","TA defensor:"),IF(AB99&lt;=0,"","TA defensor:"))</f>
        <v/>
      </c>
      <c r="AD99" s="5293"/>
      <c r="AE99" s="2412" t="str">
        <f>IF(AC99="TA defensor:",IF(AA103="Calidad munición:",AD103/(-5),AB99/(-5)),"")</f>
        <v/>
      </c>
      <c r="AF99" s="2410" t="str">
        <f>IF(AND(AH93&lt;&gt;"",AH93&lt;&gt;"Armas naturales"),"Calidad:","")</f>
        <v/>
      </c>
      <c r="AG99" s="2413"/>
      <c r="AH99" s="5293" t="str">
        <f>IF(AF103="Calidad munición:",IF(AI103&lt;=0,"","TA defensor:"),IF(AG99&lt;=0,"","TA defensor:"))</f>
        <v/>
      </c>
      <c r="AI99" s="5293"/>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691"/>
      <c r="F100" s="5692"/>
      <c r="G100" s="5692"/>
      <c r="H100" s="5692"/>
      <c r="I100" s="5692"/>
      <c r="J100" s="5693"/>
      <c r="K100" s="2363"/>
      <c r="L100" s="5677"/>
      <c r="M100" s="5677"/>
      <c r="N100" s="5677"/>
      <c r="O100" s="5637"/>
      <c r="P100" s="1114"/>
      <c r="Q100" s="1114"/>
      <c r="R100" s="1298"/>
      <c r="S100" s="1879"/>
      <c r="T100" s="1879"/>
      <c r="U100" s="1876"/>
      <c r="V100" s="5292"/>
      <c r="W100" s="2010" t="s">
        <v>1656</v>
      </c>
      <c r="X100" s="2394" t="str">
        <f>IF(Tablas!$H$982=0,"-",IF(Zen,FUE-2,MIN(11,FUE-2)))</f>
        <v>-</v>
      </c>
      <c r="Y100" s="2405"/>
      <c r="Z100" s="1898" t="str">
        <f>IFERROR(MIN(20,MIN(X100+Y100,IF(Zen,20,13))+IF(COUNTIF(W101:Z106,"Fuerza excepcional")&gt;0,IF(X100+6&lt;15,6,MAX(15-X100,0)),0)),"-")</f>
        <v>-</v>
      </c>
      <c r="AA100" s="5294" t="str">
        <f>IFERROR(IF(AC93="Armas naturales","",VLOOKUP(AC93,Tabla_ArmasyEscudos,19,0)),"")</f>
        <v/>
      </c>
      <c r="AB100" s="5295"/>
      <c r="AC100" s="5295"/>
      <c r="AD100" s="5295"/>
      <c r="AE100" s="5296"/>
      <c r="AF100" s="5294" t="str">
        <f>IFERROR(IF(AH93="Armas naturales","",VLOOKUP(AH93,Tabla_ArmasyEscudos,19,0)),"")</f>
        <v/>
      </c>
      <c r="AG100" s="5295"/>
      <c r="AH100" s="5295"/>
      <c r="AI100" s="5295"/>
      <c r="AJ100" s="5296"/>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673"/>
      <c r="F101" s="5674"/>
      <c r="G101" s="5674"/>
      <c r="H101" s="5674"/>
      <c r="I101" s="5674"/>
      <c r="J101" s="5675"/>
      <c r="K101" s="2371"/>
      <c r="L101" s="5677"/>
      <c r="M101" s="5677"/>
      <c r="N101" s="5677"/>
      <c r="O101" s="5637"/>
      <c r="P101" s="1114"/>
      <c r="Q101" s="1114"/>
      <c r="R101" s="1298"/>
      <c r="S101" s="1879"/>
      <c r="T101" s="1879"/>
      <c r="U101" s="1876"/>
      <c r="V101" s="5291" t="s">
        <v>9433</v>
      </c>
      <c r="W101" s="4129"/>
      <c r="X101" s="4129"/>
      <c r="Y101" s="4129"/>
      <c r="Z101" s="4129"/>
      <c r="AA101" s="5322" t="str">
        <f>IFERROR(VLOOKUP(AD102,Tabla_ArmasyEscudos,19,0),"")</f>
        <v/>
      </c>
      <c r="AB101" s="5323"/>
      <c r="AC101" s="5323"/>
      <c r="AD101" s="5323"/>
      <c r="AE101" s="5324"/>
      <c r="AF101" s="5322" t="str">
        <f>IFERROR(VLOOKUP(AI102,Tabla_ArmasyEscudos,19,0),"")</f>
        <v/>
      </c>
      <c r="AG101" s="5323"/>
      <c r="AH101" s="5323"/>
      <c r="AI101" s="5323"/>
      <c r="AJ101" s="5324"/>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685"/>
      <c r="F102" s="5686"/>
      <c r="G102" s="5686"/>
      <c r="H102" s="5686"/>
      <c r="I102" s="5686"/>
      <c r="J102" s="5687"/>
      <c r="K102" s="2372"/>
      <c r="L102" s="5677"/>
      <c r="M102" s="5677"/>
      <c r="N102" s="5677"/>
      <c r="O102" s="5637"/>
      <c r="P102" s="1114"/>
      <c r="Q102" s="1114"/>
      <c r="R102" s="1298"/>
      <c r="S102" s="1879"/>
      <c r="T102" s="1879"/>
      <c r="U102" s="1876"/>
      <c r="V102" s="5291"/>
      <c r="W102" s="5308"/>
      <c r="X102" s="5309"/>
      <c r="Y102" s="5309"/>
      <c r="Z102" s="5310"/>
      <c r="AA102" s="5325" t="str">
        <f>IFERROR(IF(AC93="Armas naturales", "Armas naturales Crit. 1:",IF(ISNUMBER(FIND("Proyectiles",VLOOKUP(AC93,Tabla_ArmasyEscudos,8,0))),"Munición:","")),"")</f>
        <v/>
      </c>
      <c r="AB102" s="4402"/>
      <c r="AC102" s="4402"/>
      <c r="AD102" s="5326"/>
      <c r="AE102" s="5327"/>
      <c r="AF102" s="5325" t="str">
        <f>IFERROR(IF(AH93="Armas naturales", "Armas naturales Crit. 1:",IF(ISNUMBER(FIND("Proyectiles",VLOOKUP(AH93,Tabla_ArmasyEscudos,8,0))),"Munición:","")),"")</f>
        <v/>
      </c>
      <c r="AG102" s="4402"/>
      <c r="AH102" s="4402"/>
      <c r="AI102" s="5326"/>
      <c r="AJ102" s="5327"/>
      <c r="AK102" s="1884"/>
      <c r="AL102" s="1551"/>
      <c r="AM102" s="2496"/>
      <c r="AN102" s="5307" t="s">
        <v>2205</v>
      </c>
      <c r="AO102" s="5307"/>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82"/>
      <c r="F103" s="5683"/>
      <c r="G103" s="5683"/>
      <c r="H103" s="5683"/>
      <c r="I103" s="5683"/>
      <c r="J103" s="5684"/>
      <c r="K103" s="2372"/>
      <c r="L103" s="5677"/>
      <c r="M103" s="5677"/>
      <c r="N103" s="5677"/>
      <c r="O103" s="5637"/>
      <c r="P103" s="1114"/>
      <c r="Q103" s="1114"/>
      <c r="R103" s="1298"/>
      <c r="S103" s="1879"/>
      <c r="T103" s="1879"/>
      <c r="U103" s="1876"/>
      <c r="V103" s="5291"/>
      <c r="W103" s="5308"/>
      <c r="X103" s="5309"/>
      <c r="Y103" s="5309"/>
      <c r="Z103" s="5310"/>
      <c r="AA103" s="5311" t="str">
        <f>IFERROR(IF(AC93="Armas naturales", "Armas naturales Crit. 2:",IF(ISNUMBER(FIND("Proyectiles",VLOOKUP(AC93,Tabla_ArmasyEscudos,8,0))),"Calidad Munición:","")),"")</f>
        <v/>
      </c>
      <c r="AB103" s="5312"/>
      <c r="AC103" s="5312"/>
      <c r="AD103" s="5313"/>
      <c r="AE103" s="5314"/>
      <c r="AF103" s="5311" t="str">
        <f>IFERROR(IF(AH93="Armas naturales", "Armas naturales Crit. 2:",IF(ISNUMBER(FIND("Proyectiles",VLOOKUP(AH93,Tabla_ArmasyEscudos,8,0))),"Calidad Munición:","")),"")</f>
        <v/>
      </c>
      <c r="AG103" s="5312"/>
      <c r="AH103" s="5312"/>
      <c r="AI103" s="5313"/>
      <c r="AJ103" s="5314"/>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673"/>
      <c r="F104" s="5674"/>
      <c r="G104" s="5674"/>
      <c r="H104" s="5674"/>
      <c r="I104" s="5674"/>
      <c r="J104" s="5675"/>
      <c r="K104" s="2364"/>
      <c r="L104" s="5677"/>
      <c r="M104" s="5677"/>
      <c r="N104" s="5677"/>
      <c r="O104" s="5637"/>
      <c r="P104" s="1114"/>
      <c r="Q104" s="1114"/>
      <c r="R104" s="1878"/>
      <c r="S104" s="1881"/>
      <c r="T104" s="1881"/>
      <c r="U104" s="1297"/>
      <c r="V104" s="5291"/>
      <c r="W104" s="4129"/>
      <c r="X104" s="4129"/>
      <c r="Y104" s="4129"/>
      <c r="Z104" s="4129"/>
      <c r="AA104" s="1420" t="str">
        <f>IF(ISNUMBER(FIND("Proyectiles",VLOOKUP(AC93,Tabla_ArmasyEscudos,8,0))),"Rango:","")</f>
        <v/>
      </c>
      <c r="AB104" s="1913" t="str">
        <f>IFERROR(IF(AA104="Rango:",VLOOKUP(AC93,Tabla_ArmasyEscudos,17,0)+IF(AS96&gt;0,VLOOKUP(AS96,Tabla_AlcanceFUE,2,0),VLOOKUP(Z100,Tabla_AlcanceFUE,2,0))&amp;" m",""),"")</f>
        <v/>
      </c>
      <c r="AC104" s="5321" t="str">
        <f>IF(ISNUMBER(FIND("Proyectiles",VLOOKUP(AC93,Tabla_ArmasyEscudos,8,0))),"Recarga:","")</f>
        <v/>
      </c>
      <c r="AD104" s="5321"/>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321" t="str">
        <f>IF(ISNUMBER(FIND("Proyectiles",VLOOKUP(AH93,Tabla_ArmasyEscudos,8,0))),"Recarga:","")</f>
        <v/>
      </c>
      <c r="AI104" s="5321"/>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82"/>
      <c r="F105" s="5683"/>
      <c r="G105" s="5683"/>
      <c r="H105" s="5683"/>
      <c r="I105" s="5683"/>
      <c r="J105" s="5684"/>
      <c r="K105" s="2371"/>
      <c r="L105" s="5677"/>
      <c r="M105" s="5677"/>
      <c r="N105" s="5677"/>
      <c r="O105" s="5637"/>
      <c r="P105" s="1114"/>
      <c r="Q105" s="1114"/>
      <c r="R105" s="1878"/>
      <c r="S105" s="1881"/>
      <c r="T105" s="1881"/>
      <c r="U105" s="1297"/>
      <c r="V105" s="5291"/>
      <c r="W105" s="5308"/>
      <c r="X105" s="5309"/>
      <c r="Y105" s="5309"/>
      <c r="Z105" s="5310"/>
      <c r="AA105" s="5328" t="s">
        <v>1268</v>
      </c>
      <c r="AB105" s="1906" t="s">
        <v>8018</v>
      </c>
      <c r="AC105" s="2400"/>
      <c r="AD105" s="1906" t="s">
        <v>1666</v>
      </c>
      <c r="AE105" s="2398"/>
      <c r="AF105" s="5328"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694"/>
      <c r="F106" s="5695"/>
      <c r="G106" s="5695"/>
      <c r="H106" s="5695"/>
      <c r="I106" s="5695"/>
      <c r="J106" s="5696"/>
      <c r="K106" s="2365"/>
      <c r="L106" s="5678"/>
      <c r="M106" s="5678"/>
      <c r="N106" s="5678"/>
      <c r="O106" s="5676"/>
      <c r="P106" s="1114"/>
      <c r="Q106" s="1114"/>
      <c r="R106" s="1878"/>
      <c r="S106" s="1881"/>
      <c r="T106" s="1881"/>
      <c r="U106" s="1297"/>
      <c r="V106" s="5292"/>
      <c r="W106" s="5330"/>
      <c r="X106" s="5330"/>
      <c r="Y106" s="5330"/>
      <c r="Z106" s="5330"/>
      <c r="AA106" s="5329"/>
      <c r="AB106" s="1896" t="s">
        <v>9163</v>
      </c>
      <c r="AC106" s="2401"/>
      <c r="AD106" s="1912" t="s">
        <v>1841</v>
      </c>
      <c r="AE106" s="2399"/>
      <c r="AF106" s="5329"/>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492" priority="181" stopIfTrue="1" operator="equal">
      <formula>"Armas naturales"</formula>
    </cfRule>
  </conditionalFormatting>
  <conditionalFormatting sqref="Y33:Z33 AF33:AG33">
    <cfRule type="cellIs" dxfId="491" priority="185" stopIfTrue="1" operator="greaterThan">
      <formula>0</formula>
    </cfRule>
  </conditionalFormatting>
  <conditionalFormatting sqref="L48 L50 L52 L54">
    <cfRule type="cellIs" dxfId="490" priority="186" stopIfTrue="1" operator="equal">
      <formula>0</formula>
    </cfRule>
  </conditionalFormatting>
  <conditionalFormatting sqref="L49 L51 L53">
    <cfRule type="cellIs" dxfId="489" priority="187" stopIfTrue="1" operator="equal">
      <formula>0</formula>
    </cfRule>
  </conditionalFormatting>
  <conditionalFormatting sqref="C49">
    <cfRule type="cellIs" dxfId="488" priority="194" stopIfTrue="1" operator="equal">
      <formula>"Armas naturales"</formula>
    </cfRule>
  </conditionalFormatting>
  <conditionalFormatting sqref="C50">
    <cfRule type="cellIs" dxfId="487" priority="195" stopIfTrue="1" operator="equal">
      <formula>"Armas naturales"</formula>
    </cfRule>
  </conditionalFormatting>
  <conditionalFormatting sqref="C51">
    <cfRule type="cellIs" dxfId="486" priority="196" stopIfTrue="1" operator="equal">
      <formula>"Armas naturales"</formula>
    </cfRule>
  </conditionalFormatting>
  <conditionalFormatting sqref="C52">
    <cfRule type="cellIs" dxfId="485" priority="197" stopIfTrue="1" operator="equal">
      <formula>"Armas naturales"</formula>
    </cfRule>
  </conditionalFormatting>
  <conditionalFormatting sqref="C53">
    <cfRule type="cellIs" dxfId="484" priority="198" stopIfTrue="1" operator="equal">
      <formula>"Armas naturales"</formula>
    </cfRule>
  </conditionalFormatting>
  <conditionalFormatting sqref="E19">
    <cfRule type="expression" dxfId="483" priority="160" stopIfTrue="1">
      <formula>NOT(#REF!="")</formula>
    </cfRule>
  </conditionalFormatting>
  <conditionalFormatting sqref="E22:G23">
    <cfRule type="expression" dxfId="482" priority="4827">
      <formula>$C22=""</formula>
    </cfRule>
  </conditionalFormatting>
  <conditionalFormatting sqref="E41:G41">
    <cfRule type="expression" dxfId="481" priority="136">
      <formula>AND($AN$30,Raza="Ebudan")</formula>
    </cfRule>
  </conditionalFormatting>
  <conditionalFormatting sqref="E41:G41">
    <cfRule type="expression" dxfId="480" priority="135">
      <formula>AND($AN$30,Raza="Ebudan")</formula>
    </cfRule>
  </conditionalFormatting>
  <conditionalFormatting sqref="C41:D41">
    <cfRule type="expression" dxfId="479" priority="134">
      <formula>AND($AN$30,Raza="Ebudan")</formula>
    </cfRule>
  </conditionalFormatting>
  <conditionalFormatting sqref="C41:D41">
    <cfRule type="expression" dxfId="478" priority="133">
      <formula>AND($AN$30,Raza="Ebudan")</formula>
    </cfRule>
  </conditionalFormatting>
  <conditionalFormatting sqref="AD56">
    <cfRule type="expression" dxfId="477" priority="5819">
      <formula>$AF$53="No"</formula>
    </cfRule>
  </conditionalFormatting>
  <conditionalFormatting sqref="AD71:AE71">
    <cfRule type="expression" dxfId="476" priority="32">
      <formula>AA71&lt;&gt;""</formula>
    </cfRule>
  </conditionalFormatting>
  <conditionalFormatting sqref="AD70:AE70">
    <cfRule type="expression" dxfId="475" priority="43">
      <formula>AA70&lt;&gt;""</formula>
    </cfRule>
    <cfRule type="expression" dxfId="474" priority="131">
      <formula>OR(AD70="-",AD70="FIL",AD70="PEN",AD70="CON")</formula>
    </cfRule>
  </conditionalFormatting>
  <conditionalFormatting sqref="AF60:AG60">
    <cfRule type="expression" dxfId="473" priority="5847">
      <formula>COUNTIF($AN65:$AN69,$AF60)=0</formula>
    </cfRule>
  </conditionalFormatting>
  <conditionalFormatting sqref="AF76:AG76">
    <cfRule type="expression" dxfId="472" priority="73">
      <formula>COUNTIF($AN81:$AN85,$AF76)=0</formula>
    </cfRule>
  </conditionalFormatting>
  <conditionalFormatting sqref="AF92:AG92">
    <cfRule type="expression" dxfId="471" priority="67">
      <formula>COUNTIF($AN97:$AN101,$AF92)=0</formula>
    </cfRule>
  </conditionalFormatting>
  <conditionalFormatting sqref="N39:Q39">
    <cfRule type="expression" dxfId="470" priority="55">
      <formula>$I$41="Exceso de bonos de transformación"</formula>
    </cfRule>
  </conditionalFormatting>
  <conditionalFormatting sqref="M48:Q54">
    <cfRule type="expression" dxfId="469" priority="54">
      <formula>$Q48&gt;$L48</formula>
    </cfRule>
  </conditionalFormatting>
  <conditionalFormatting sqref="AC21:AE21 AC25:AE25 AC29:AE29">
    <cfRule type="cellIs" dxfId="468" priority="5858" stopIfTrue="1" operator="greaterThan">
      <formula>$K$69</formula>
    </cfRule>
  </conditionalFormatting>
  <conditionalFormatting sqref="AJ19:AJ20">
    <cfRule type="expression" dxfId="467" priority="51">
      <formula>$AG20&lt;&gt;""</formula>
    </cfRule>
  </conditionalFormatting>
  <conditionalFormatting sqref="AJ23">
    <cfRule type="expression" dxfId="466" priority="50">
      <formula>$AG23&lt;&gt;""</formula>
    </cfRule>
  </conditionalFormatting>
  <conditionalFormatting sqref="AJ27">
    <cfRule type="expression" dxfId="465" priority="49">
      <formula>$AG27&lt;&gt;""</formula>
    </cfRule>
  </conditionalFormatting>
  <conditionalFormatting sqref="AJ24">
    <cfRule type="expression" dxfId="464" priority="48">
      <formula>$AG25&lt;&gt;""</formula>
    </cfRule>
  </conditionalFormatting>
  <conditionalFormatting sqref="AJ28">
    <cfRule type="expression" dxfId="463" priority="47">
      <formula>$AG29&lt;&gt;""</formula>
    </cfRule>
  </conditionalFormatting>
  <conditionalFormatting sqref="AJ21">
    <cfRule type="expression" dxfId="462" priority="46">
      <formula>$AG21&lt;&gt;""</formula>
    </cfRule>
  </conditionalFormatting>
  <conditionalFormatting sqref="AJ25">
    <cfRule type="expression" dxfId="461" priority="45">
      <formula>$AG25&lt;&gt;""</formula>
    </cfRule>
  </conditionalFormatting>
  <conditionalFormatting sqref="AJ29">
    <cfRule type="expression" dxfId="460" priority="44">
      <formula>$AG29&lt;&gt;""</formula>
    </cfRule>
  </conditionalFormatting>
  <conditionalFormatting sqref="AI70:AJ70">
    <cfRule type="expression" dxfId="459" priority="41">
      <formula>AF70&lt;&gt;""</formula>
    </cfRule>
    <cfRule type="expression" dxfId="458" priority="42">
      <formula>OR(AI70="-",AI70="FIL",AI70="PEN",AI70="CON")</formula>
    </cfRule>
  </conditionalFormatting>
  <conditionalFormatting sqref="AD86:AE86">
    <cfRule type="expression" dxfId="457" priority="39">
      <formula>AA86&lt;&gt;""</formula>
    </cfRule>
    <cfRule type="expression" dxfId="456" priority="40">
      <formula>OR(AD86="-",AD86="FIL",AD86="PEN",AD86="CON")</formula>
    </cfRule>
  </conditionalFormatting>
  <conditionalFormatting sqref="AI86:AJ86">
    <cfRule type="expression" dxfId="455" priority="37">
      <formula>AF86&lt;&gt;""</formula>
    </cfRule>
    <cfRule type="expression" dxfId="454" priority="38">
      <formula>OR(AI86="-",AI86="FIL",AI86="PEN",AI86="CON")</formula>
    </cfRule>
  </conditionalFormatting>
  <conditionalFormatting sqref="AD102:AE102">
    <cfRule type="expression" dxfId="453" priority="35">
      <formula>AA102&lt;&gt;""</formula>
    </cfRule>
    <cfRule type="expression" dxfId="452" priority="36">
      <formula>OR(AD102="-",AD102="FIL",AD102="PEN",AD102="CON")</formula>
    </cfRule>
  </conditionalFormatting>
  <conditionalFormatting sqref="AI102:AJ102">
    <cfRule type="expression" dxfId="451" priority="33">
      <formula>AF102&lt;&gt;""</formula>
    </cfRule>
    <cfRule type="expression" dxfId="450" priority="34">
      <formula>OR(AI102="-",AI102="FIL",AI102="PEN",AI102="CON")</formula>
    </cfRule>
  </conditionalFormatting>
  <conditionalFormatting sqref="AB67">
    <cfRule type="expression" dxfId="449" priority="21">
      <formula>AA67&lt;&gt;""</formula>
    </cfRule>
  </conditionalFormatting>
  <conditionalFormatting sqref="AG67">
    <cfRule type="expression" dxfId="448" priority="19">
      <formula>AF67&lt;&gt;""</formula>
    </cfRule>
  </conditionalFormatting>
  <conditionalFormatting sqref="AG83">
    <cfRule type="expression" dxfId="447" priority="18">
      <formula>AF83&lt;&gt;""</formula>
    </cfRule>
  </conditionalFormatting>
  <conditionalFormatting sqref="AB83">
    <cfRule type="expression" dxfId="446" priority="17">
      <formula>AA83&lt;&gt;""</formula>
    </cfRule>
  </conditionalFormatting>
  <conditionalFormatting sqref="AB99">
    <cfRule type="expression" dxfId="445" priority="16">
      <formula>AA99&lt;&gt;""</formula>
    </cfRule>
  </conditionalFormatting>
  <conditionalFormatting sqref="AG99">
    <cfRule type="expression" dxfId="444" priority="15">
      <formula>AF99&lt;&gt;""</formula>
    </cfRule>
  </conditionalFormatting>
  <conditionalFormatting sqref="AC61:AE61">
    <cfRule type="expression" dxfId="443" priority="14">
      <formula>AA61&lt;&gt;""</formula>
    </cfRule>
  </conditionalFormatting>
  <conditionalFormatting sqref="AH61:AJ61">
    <cfRule type="expression" dxfId="442" priority="13">
      <formula>AF61&lt;&gt;""</formula>
    </cfRule>
  </conditionalFormatting>
  <conditionalFormatting sqref="AH77:AJ77">
    <cfRule type="expression" dxfId="441" priority="12">
      <formula>AF77&lt;&gt;""</formula>
    </cfRule>
  </conditionalFormatting>
  <conditionalFormatting sqref="AC77:AE77">
    <cfRule type="expression" dxfId="440" priority="11">
      <formula>AA77&lt;&gt;""</formula>
    </cfRule>
  </conditionalFormatting>
  <conditionalFormatting sqref="AC93:AE93">
    <cfRule type="expression" dxfId="439" priority="10">
      <formula>AA93&lt;&gt;""</formula>
    </cfRule>
  </conditionalFormatting>
  <conditionalFormatting sqref="AH93:AJ93">
    <cfRule type="expression" dxfId="438" priority="9">
      <formula>AF93&lt;&gt;""</formula>
    </cfRule>
  </conditionalFormatting>
  <conditionalFormatting sqref="AI71:AJ71">
    <cfRule type="expression" dxfId="437" priority="7">
      <formula>AF71&lt;&gt;""</formula>
    </cfRule>
  </conditionalFormatting>
  <conditionalFormatting sqref="AD87:AE87">
    <cfRule type="expression" dxfId="436" priority="6">
      <formula>AA87&lt;&gt;""</formula>
    </cfRule>
  </conditionalFormatting>
  <conditionalFormatting sqref="AI87:AJ87">
    <cfRule type="expression" dxfId="435" priority="5">
      <formula>AF87&lt;&gt;""</formula>
    </cfRule>
  </conditionalFormatting>
  <conditionalFormatting sqref="AD103:AE103">
    <cfRule type="expression" dxfId="434" priority="4">
      <formula>AA103&lt;&gt;""</formula>
    </cfRule>
  </conditionalFormatting>
  <conditionalFormatting sqref="AI103:AJ103">
    <cfRule type="expression" dxfId="433" priority="3">
      <formula>AF103&lt;&gt;""</formula>
    </cfRule>
  </conditionalFormatting>
  <conditionalFormatting sqref="E22:G22">
    <cfRule type="expression" dxfId="432" priority="2">
      <formula>C22&lt;&gt;""</formula>
    </cfRule>
  </conditionalFormatting>
  <conditionalFormatting sqref="E23:G23">
    <cfRule type="expression" dxfId="431" priority="1">
      <formula>C23&lt;&gt;""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3:G23">
      <formula1>INDIRECT($AN$24)</formula1>
    </dataValidation>
    <dataValidation type="list" allowBlank="1" showInputMessage="1" showErrorMessage="1" sqref="E22:G22">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9:G40">
      <formula1>Tabla_SueAman</formula1>
    </dataValidation>
    <dataValidation type="list" allowBlank="1" showInputMessage="1" showErrorMessage="1" sqref="W20:X21 W24:X25 W28:X29">
      <formula1>Lista_Tipologías</formula1>
    </dataValidation>
    <dataValidation type="list" allowBlank="1" showInputMessage="1" showErrorMessage="1" sqref="E41:G41">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5:G37 G16">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4">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C29:C31">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E19:G19</xm:sqref>
        </x14:dataValidation>
        <x14:dataValidation type="list" allowBlank="1" showInputMessage="1" showErrorMessage="1">
          <x14:formula1>
            <xm:f>Tablas!$Q$49:$Q$52</xm:f>
          </x14:formula1>
          <xm:sqref>F26 F25:G25</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R1" zoomScale="85" zoomScaleNormal="85" workbookViewId="0">
      <selection activeCell="N552" sqref="N552"/>
    </sheetView>
  </sheetViews>
  <sheetFormatPr baseColWidth="10"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20"/>
      <c r="C2" s="5719" t="s">
        <v>8111</v>
      </c>
      <c r="D2" s="5719"/>
      <c r="E2" s="5719"/>
      <c r="F2" s="5719"/>
      <c r="G2" s="5719"/>
      <c r="H2" s="5719"/>
      <c r="I2" s="5719"/>
      <c r="J2" s="5719"/>
      <c r="K2" s="5719"/>
      <c r="L2" s="5719"/>
      <c r="M2" s="5719"/>
      <c r="N2" s="5719"/>
      <c r="O2" s="5719"/>
      <c r="P2" s="5719"/>
      <c r="Q2" s="5719"/>
      <c r="R2" s="5719"/>
      <c r="S2" s="5719"/>
      <c r="T2" s="5719"/>
      <c r="U2" s="5719"/>
      <c r="V2" s="5719"/>
      <c r="W2" s="5719"/>
      <c r="X2" s="5719"/>
      <c r="Y2" s="5719"/>
      <c r="Z2" s="5719"/>
      <c r="AA2" s="5719"/>
      <c r="AB2" s="5719"/>
      <c r="AC2" s="5719"/>
      <c r="AD2" s="5719"/>
      <c r="AE2" s="5719"/>
      <c r="AF2" s="5719"/>
      <c r="AG2" s="5719"/>
      <c r="AH2" s="5719"/>
      <c r="AI2" s="5719"/>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20"/>
      <c r="C3" s="5719"/>
      <c r="D3" s="5719"/>
      <c r="E3" s="5719"/>
      <c r="F3" s="5719"/>
      <c r="G3" s="5719"/>
      <c r="H3" s="5719"/>
      <c r="I3" s="5719"/>
      <c r="J3" s="5719"/>
      <c r="K3" s="5719"/>
      <c r="L3" s="5719"/>
      <c r="M3" s="5719"/>
      <c r="N3" s="5719"/>
      <c r="O3" s="5719"/>
      <c r="P3" s="5719"/>
      <c r="Q3" s="5719"/>
      <c r="R3" s="5719"/>
      <c r="S3" s="5719"/>
      <c r="T3" s="5719"/>
      <c r="U3" s="5719"/>
      <c r="V3" s="5719"/>
      <c r="W3" s="5719"/>
      <c r="X3" s="5719"/>
      <c r="Y3" s="5719"/>
      <c r="Z3" s="5719"/>
      <c r="AA3" s="5719"/>
      <c r="AB3" s="5719"/>
      <c r="AC3" s="5719"/>
      <c r="AD3" s="5719"/>
      <c r="AE3" s="5719"/>
      <c r="AF3" s="5719"/>
      <c r="AG3" s="5719"/>
      <c r="AH3" s="5719"/>
      <c r="AI3" s="5719"/>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20"/>
      <c r="C4" s="5719"/>
      <c r="D4" s="5719"/>
      <c r="E4" s="5719"/>
      <c r="F4" s="5719"/>
      <c r="G4" s="5719"/>
      <c r="H4" s="5719"/>
      <c r="I4" s="5719"/>
      <c r="J4" s="5719"/>
      <c r="K4" s="5719"/>
      <c r="L4" s="5719"/>
      <c r="M4" s="5719"/>
      <c r="N4" s="5719"/>
      <c r="O4" s="5719"/>
      <c r="P4" s="5719"/>
      <c r="Q4" s="5719"/>
      <c r="R4" s="5719"/>
      <c r="S4" s="5719"/>
      <c r="T4" s="5719"/>
      <c r="U4" s="5719"/>
      <c r="V4" s="5719"/>
      <c r="W4" s="5719"/>
      <c r="X4" s="5719"/>
      <c r="Y4" s="5719"/>
      <c r="Z4" s="5719"/>
      <c r="AA4" s="5719"/>
      <c r="AB4" s="5719"/>
      <c r="AC4" s="5719"/>
      <c r="AD4" s="5719"/>
      <c r="AE4" s="5719"/>
      <c r="AF4" s="5719"/>
      <c r="AG4" s="5719"/>
      <c r="AH4" s="5719"/>
      <c r="AI4" s="5719"/>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20"/>
      <c r="H5" s="222"/>
      <c r="I5" s="726"/>
      <c r="N5" s="222"/>
      <c r="O5" s="983"/>
    </row>
    <row r="6" spans="1:109" ht="12.75" customHeight="1" thickBot="1" x14ac:dyDescent="0.25">
      <c r="A6" s="302">
        <v>6</v>
      </c>
      <c r="B6" s="5720"/>
      <c r="C6" s="3391" t="s">
        <v>2399</v>
      </c>
      <c r="E6" s="3391" t="s">
        <v>1575</v>
      </c>
      <c r="G6" s="3391" t="s">
        <v>1077</v>
      </c>
      <c r="H6" s="3391"/>
      <c r="I6" s="726"/>
      <c r="J6" s="5848" t="s">
        <v>9506</v>
      </c>
      <c r="K6" s="5848"/>
      <c r="L6" s="5848"/>
      <c r="M6" s="5848"/>
      <c r="N6" s="5848"/>
      <c r="O6" s="5848"/>
      <c r="P6" s="5848"/>
      <c r="Q6" s="5848"/>
      <c r="S6" s="5727" t="s">
        <v>7268</v>
      </c>
      <c r="T6" s="5728"/>
      <c r="U6" s="5728"/>
      <c r="V6" s="5728"/>
      <c r="W6" s="5728"/>
      <c r="X6" s="5729"/>
      <c r="Y6" s="1647"/>
      <c r="Z6" s="1647"/>
    </row>
    <row r="7" spans="1:109" ht="12.75" customHeight="1" thickBot="1" x14ac:dyDescent="0.25">
      <c r="A7" s="302">
        <v>7</v>
      </c>
      <c r="B7" s="5720"/>
      <c r="C7" s="3391"/>
      <c r="E7" s="3391"/>
      <c r="G7" s="3391"/>
      <c r="H7" s="3391"/>
      <c r="I7" s="726"/>
      <c r="J7" s="5848" t="s">
        <v>9507</v>
      </c>
      <c r="K7" s="5848"/>
      <c r="L7" s="5848"/>
      <c r="M7" s="5848"/>
      <c r="N7" s="5848"/>
      <c r="O7" s="5848"/>
      <c r="P7" s="5848"/>
      <c r="Q7" s="5848"/>
      <c r="S7" s="5730"/>
      <c r="T7" s="5731"/>
      <c r="U7" s="5731"/>
      <c r="V7" s="5731"/>
      <c r="W7" s="5731"/>
      <c r="X7" s="5732"/>
      <c r="Y7" s="1647"/>
      <c r="Z7" s="1647"/>
    </row>
    <row r="8" spans="1:109" ht="12.75" customHeight="1" thickBot="1" x14ac:dyDescent="0.25">
      <c r="A8" s="302">
        <v>8</v>
      </c>
      <c r="B8" s="5720"/>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720"/>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720"/>
      <c r="H10" s="222"/>
      <c r="I10" s="726"/>
      <c r="N10" s="222"/>
      <c r="O10" s="983"/>
      <c r="P10" s="5725" t="s">
        <v>1474</v>
      </c>
      <c r="Q10" s="5725"/>
      <c r="S10" s="806" t="s">
        <v>2008</v>
      </c>
      <c r="T10" s="118">
        <f>VLOOKUP($S10&amp;$X$15,$U$14:$W$22,2,FALSE)</f>
        <v>10</v>
      </c>
      <c r="U10" s="118">
        <f>VLOOKUP($S10&amp;$X$15,$U$14:$W$22,3,FALSE)</f>
        <v>0.1</v>
      </c>
      <c r="V10" s="118">
        <v>0.5</v>
      </c>
      <c r="W10" s="118"/>
      <c r="X10" s="886">
        <v>1</v>
      </c>
    </row>
    <row r="11" spans="1:109" ht="12.75" customHeight="1" thickBot="1" x14ac:dyDescent="0.25">
      <c r="A11" s="1706">
        <v>11</v>
      </c>
      <c r="B11" s="5720"/>
      <c r="C11" s="5847" t="s">
        <v>2272</v>
      </c>
      <c r="D11" s="5847"/>
      <c r="E11" s="5847"/>
      <c r="G11" s="5846" t="s">
        <v>2314</v>
      </c>
      <c r="H11" s="5846"/>
      <c r="I11" s="5846"/>
      <c r="J11" s="5846"/>
      <c r="L11" s="5721" t="s">
        <v>1416</v>
      </c>
      <c r="M11" s="5722"/>
      <c r="N11" s="5723"/>
      <c r="O11" s="983"/>
      <c r="P11" s="5725"/>
      <c r="Q11" s="5725"/>
      <c r="S11" s="806" t="s">
        <v>7270</v>
      </c>
      <c r="T11" s="118">
        <f>VLOOKUP($S11&amp;$X$15,$U$14:$W$22,2,FALSE)</f>
        <v>20</v>
      </c>
      <c r="U11" s="118">
        <f>VLOOKUP($S11&amp;$X$15,$U$14:$W$22,3,FALSE)</f>
        <v>0.25</v>
      </c>
      <c r="V11" s="118">
        <v>1</v>
      </c>
      <c r="W11" s="118"/>
      <c r="X11" s="886">
        <v>1</v>
      </c>
    </row>
    <row r="12" spans="1:109" ht="12.75" customHeight="1" thickBot="1" x14ac:dyDescent="0.25">
      <c r="A12" s="1706">
        <v>12</v>
      </c>
      <c r="B12" s="5720"/>
      <c r="C12" s="5847"/>
      <c r="D12" s="5847"/>
      <c r="E12" s="5847"/>
      <c r="G12" s="5846"/>
      <c r="H12" s="5846"/>
      <c r="I12" s="5846"/>
      <c r="J12" s="5846"/>
      <c r="L12" s="5724"/>
      <c r="M12" s="5725"/>
      <c r="N12" s="5726"/>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720"/>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720"/>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720"/>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20"/>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720"/>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720"/>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720"/>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841" t="s">
        <v>7941</v>
      </c>
    </row>
    <row r="20" spans="1:41" ht="12.75" customHeight="1" x14ac:dyDescent="0.2">
      <c r="A20" s="302">
        <v>20</v>
      </c>
      <c r="B20" s="5720"/>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842"/>
    </row>
    <row r="21" spans="1:41" ht="12.75" customHeight="1" x14ac:dyDescent="0.2">
      <c r="A21" s="302">
        <v>21</v>
      </c>
      <c r="B21" s="5720"/>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843" t="b">
        <f>AND(Nivel_Sobrenatural&lt;&gt;Tablas!S12,General!$X$12="")</f>
        <v>0</v>
      </c>
    </row>
    <row r="22" spans="1:41" ht="12.75" customHeight="1" thickBot="1" x14ac:dyDescent="0.25">
      <c r="A22" s="302">
        <v>22</v>
      </c>
      <c r="B22" s="5720"/>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844"/>
    </row>
    <row r="23" spans="1:41" ht="12.75" customHeight="1" thickBot="1" x14ac:dyDescent="0.25">
      <c r="A23" s="302">
        <v>23</v>
      </c>
      <c r="B23" s="5720"/>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20"/>
      <c r="C24" s="784">
        <v>11</v>
      </c>
      <c r="D24" s="118">
        <v>20</v>
      </c>
      <c r="E24" s="126">
        <v>20</v>
      </c>
      <c r="G24" s="247">
        <v>11</v>
      </c>
      <c r="H24" s="118">
        <v>3</v>
      </c>
      <c r="I24" s="118">
        <v>200</v>
      </c>
      <c r="J24" s="126">
        <v>600</v>
      </c>
      <c r="L24" s="806">
        <v>11</v>
      </c>
      <c r="M24" s="118">
        <v>100</v>
      </c>
      <c r="N24" s="886">
        <v>5</v>
      </c>
      <c r="O24" s="983"/>
      <c r="P24" s="101">
        <v>12</v>
      </c>
      <c r="Q24" s="307">
        <v>2</v>
      </c>
      <c r="T24" s="5865" t="s">
        <v>7962</v>
      </c>
      <c r="U24" s="5866"/>
      <c r="W24" s="5721" t="s">
        <v>1414</v>
      </c>
      <c r="X24" s="5722"/>
      <c r="Y24" s="5723"/>
      <c r="AA24" s="5859" t="s">
        <v>2385</v>
      </c>
      <c r="AB24" s="5860"/>
      <c r="AC24" s="5861"/>
      <c r="AE24" s="5859" t="s">
        <v>2388</v>
      </c>
      <c r="AF24" s="5860"/>
      <c r="AG24" s="5861"/>
      <c r="AI24" s="5756" t="s">
        <v>1748</v>
      </c>
      <c r="AJ24" s="5757"/>
    </row>
    <row r="25" spans="1:41" ht="12.75" customHeight="1" x14ac:dyDescent="0.2">
      <c r="A25" s="1706">
        <v>25</v>
      </c>
      <c r="B25" s="5720"/>
      <c r="C25" s="784">
        <v>12</v>
      </c>
      <c r="D25" s="118">
        <v>20</v>
      </c>
      <c r="E25" s="126">
        <v>30</v>
      </c>
      <c r="G25" s="247">
        <v>12</v>
      </c>
      <c r="H25" s="118">
        <v>3</v>
      </c>
      <c r="I25" s="118">
        <v>350</v>
      </c>
      <c r="J25" s="126">
        <v>1000</v>
      </c>
      <c r="L25" s="806">
        <v>12</v>
      </c>
      <c r="M25" s="118">
        <v>250</v>
      </c>
      <c r="N25" s="886">
        <v>10</v>
      </c>
      <c r="O25" s="983"/>
      <c r="P25" s="101">
        <v>13</v>
      </c>
      <c r="Q25" s="307">
        <v>3</v>
      </c>
      <c r="T25" s="5867"/>
      <c r="U25" s="5868"/>
      <c r="W25" s="5724"/>
      <c r="X25" s="5725"/>
      <c r="Y25" s="5726"/>
      <c r="AA25" s="5862"/>
      <c r="AB25" s="5863"/>
      <c r="AC25" s="5864"/>
      <c r="AE25" s="5862"/>
      <c r="AF25" s="5863"/>
      <c r="AG25" s="5864"/>
      <c r="AI25" s="5758"/>
      <c r="AJ25" s="5759"/>
    </row>
    <row r="26" spans="1:41" ht="13.5" customHeight="1" thickBot="1" x14ac:dyDescent="0.25">
      <c r="A26" s="1706">
        <v>26</v>
      </c>
      <c r="B26" s="5720"/>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720"/>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720"/>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720"/>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720"/>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720"/>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720"/>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720"/>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720"/>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720"/>
      <c r="C35" s="3114" t="s">
        <v>2274</v>
      </c>
      <c r="D35" s="3115"/>
      <c r="E35" s="3115"/>
      <c r="F35" s="3115"/>
      <c r="G35" s="3115"/>
      <c r="H35" s="3116"/>
      <c r="J35" s="5839" t="s">
        <v>2318</v>
      </c>
      <c r="K35" s="5840"/>
      <c r="M35" s="5727" t="s">
        <v>2404</v>
      </c>
      <c r="N35" s="5728"/>
      <c r="O35" s="5729"/>
      <c r="Q35" s="3114" t="s">
        <v>2401</v>
      </c>
      <c r="R35" s="3116"/>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720"/>
      <c r="C36" s="5617"/>
      <c r="D36" s="5805"/>
      <c r="E36" s="5805"/>
      <c r="F36" s="5805"/>
      <c r="G36" s="5805"/>
      <c r="H36" s="5618"/>
      <c r="J36" s="5839"/>
      <c r="K36" s="5840"/>
      <c r="M36" s="1623" t="s">
        <v>2405</v>
      </c>
      <c r="N36" s="1612" t="s">
        <v>2406</v>
      </c>
      <c r="O36" s="1614" t="s">
        <v>2407</v>
      </c>
      <c r="Q36" s="5617"/>
      <c r="R36" s="5618"/>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720"/>
      <c r="C37" s="1615" t="s">
        <v>1772</v>
      </c>
      <c r="D37" s="1616" t="s">
        <v>1641</v>
      </c>
      <c r="E37" s="5845" t="s">
        <v>2275</v>
      </c>
      <c r="F37" s="5845"/>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720"/>
      <c r="C38" s="806">
        <v>1</v>
      </c>
      <c r="D38" s="146">
        <v>0</v>
      </c>
      <c r="E38" s="5813" t="s">
        <v>2277</v>
      </c>
      <c r="F38" s="5813"/>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720"/>
      <c r="C39" s="806">
        <v>2</v>
      </c>
      <c r="D39" s="146">
        <v>0</v>
      </c>
      <c r="E39" s="5813" t="s">
        <v>2277</v>
      </c>
      <c r="F39" s="5813"/>
      <c r="G39" s="353" t="s">
        <v>2277</v>
      </c>
      <c r="H39" s="1579" t="str">
        <f>""</f>
        <v/>
      </c>
      <c r="J39" s="120">
        <v>2</v>
      </c>
      <c r="K39" s="250" t="s">
        <v>2321</v>
      </c>
      <c r="M39" s="1624">
        <v>3</v>
      </c>
      <c r="N39" s="1613">
        <v>40</v>
      </c>
      <c r="O39" s="1625">
        <v>0</v>
      </c>
      <c r="Q39" s="806">
        <v>11</v>
      </c>
      <c r="R39" s="886">
        <v>2</v>
      </c>
      <c r="W39" s="5721" t="s">
        <v>7850</v>
      </c>
      <c r="X39" s="5723"/>
      <c r="AI39" s="1656">
        <v>13</v>
      </c>
      <c r="AJ39" s="1657">
        <v>8</v>
      </c>
    </row>
    <row r="40" spans="1:41" ht="12.75" customHeight="1" thickBot="1" x14ac:dyDescent="0.25">
      <c r="A40" s="1706">
        <v>40</v>
      </c>
      <c r="B40" s="5720"/>
      <c r="C40" s="806">
        <v>3</v>
      </c>
      <c r="D40" s="146">
        <v>1</v>
      </c>
      <c r="E40" s="5813" t="s">
        <v>2278</v>
      </c>
      <c r="F40" s="5813"/>
      <c r="G40" s="1620" t="s">
        <v>2279</v>
      </c>
      <c r="H40" s="1579" t="str">
        <f>""</f>
        <v/>
      </c>
      <c r="J40" s="120">
        <v>3</v>
      </c>
      <c r="K40" s="250" t="s">
        <v>2322</v>
      </c>
      <c r="M40" s="1624">
        <v>4</v>
      </c>
      <c r="N40" s="1613">
        <v>55</v>
      </c>
      <c r="O40" s="1625">
        <v>0</v>
      </c>
      <c r="Q40" s="806">
        <v>15</v>
      </c>
      <c r="R40" s="886">
        <v>3</v>
      </c>
      <c r="T40" s="3114" t="s">
        <v>1518</v>
      </c>
      <c r="U40" s="3116"/>
      <c r="W40" s="5809"/>
      <c r="X40" s="5869"/>
      <c r="AI40" s="1656">
        <v>14</v>
      </c>
      <c r="AJ40" s="1657">
        <v>9</v>
      </c>
    </row>
    <row r="41" spans="1:41" ht="12.75" customHeight="1" x14ac:dyDescent="0.2">
      <c r="A41" s="1706">
        <v>41</v>
      </c>
      <c r="B41" s="5720"/>
      <c r="C41" s="806">
        <v>4</v>
      </c>
      <c r="D41" s="146">
        <v>1</v>
      </c>
      <c r="E41" s="5813" t="s">
        <v>2278</v>
      </c>
      <c r="F41" s="5813"/>
      <c r="G41" s="1620" t="s">
        <v>2279</v>
      </c>
      <c r="H41" s="1579" t="str">
        <f>""</f>
        <v/>
      </c>
      <c r="J41" s="120">
        <v>4</v>
      </c>
      <c r="K41" s="250" t="s">
        <v>2323</v>
      </c>
      <c r="M41" s="1624">
        <v>5</v>
      </c>
      <c r="N41" s="1613">
        <v>70</v>
      </c>
      <c r="O41" s="1625">
        <v>5</v>
      </c>
      <c r="Q41" s="806">
        <v>20</v>
      </c>
      <c r="R41" s="886">
        <v>4</v>
      </c>
      <c r="T41" s="5617"/>
      <c r="U41" s="5618"/>
      <c r="W41" s="871" t="s">
        <v>1650</v>
      </c>
      <c r="X41" s="810"/>
      <c r="AI41" s="1656">
        <v>15</v>
      </c>
      <c r="AJ41" s="1657">
        <v>10</v>
      </c>
    </row>
    <row r="42" spans="1:41" ht="12.75" customHeight="1" thickBot="1" x14ac:dyDescent="0.25">
      <c r="A42" s="1706">
        <v>42</v>
      </c>
      <c r="B42" s="5720"/>
      <c r="C42" s="806">
        <v>5</v>
      </c>
      <c r="D42" s="146">
        <v>1</v>
      </c>
      <c r="E42" s="5813" t="s">
        <v>2278</v>
      </c>
      <c r="F42" s="5813"/>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20"/>
      <c r="C43" s="806">
        <v>6</v>
      </c>
      <c r="D43" s="146">
        <v>1</v>
      </c>
      <c r="E43" s="5813" t="s">
        <v>2278</v>
      </c>
      <c r="F43" s="5813"/>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720"/>
      <c r="C44" s="806">
        <v>7</v>
      </c>
      <c r="D44" s="146">
        <v>1</v>
      </c>
      <c r="E44" s="5813" t="s">
        <v>2278</v>
      </c>
      <c r="F44" s="5813"/>
      <c r="G44" s="1620" t="s">
        <v>2279</v>
      </c>
      <c r="H44" s="1579" t="str">
        <f>""</f>
        <v/>
      </c>
      <c r="J44" s="120">
        <v>7</v>
      </c>
      <c r="K44" s="250" t="s">
        <v>2326</v>
      </c>
      <c r="M44" s="1624">
        <v>8</v>
      </c>
      <c r="N44" s="1613">
        <v>110</v>
      </c>
      <c r="O44" s="1625">
        <v>10</v>
      </c>
      <c r="Q44" s="806">
        <v>29</v>
      </c>
      <c r="R44" s="886">
        <v>8</v>
      </c>
      <c r="T44" s="1631">
        <v>7</v>
      </c>
      <c r="U44" s="886">
        <v>320</v>
      </c>
      <c r="W44" s="5721" t="s">
        <v>2248</v>
      </c>
      <c r="X44" s="5722"/>
      <c r="Y44" s="5722"/>
      <c r="Z44" s="5722"/>
      <c r="AA44" s="5722"/>
      <c r="AB44" s="5722"/>
      <c r="AC44" s="5722"/>
      <c r="AD44" s="5722"/>
      <c r="AE44" s="5722"/>
      <c r="AF44" s="5723"/>
      <c r="AI44" s="1656">
        <v>18</v>
      </c>
      <c r="AJ44" s="1657">
        <v>10</v>
      </c>
    </row>
    <row r="45" spans="1:41" ht="14.85" customHeight="1" thickBot="1" x14ac:dyDescent="0.25">
      <c r="A45" s="302">
        <v>45</v>
      </c>
      <c r="B45" s="5720"/>
      <c r="C45" s="806">
        <v>8</v>
      </c>
      <c r="D45" s="146">
        <v>2</v>
      </c>
      <c r="E45" s="5813" t="s">
        <v>2280</v>
      </c>
      <c r="F45" s="5813"/>
      <c r="G45" s="1620" t="s">
        <v>2279</v>
      </c>
      <c r="H45" s="1579" t="str">
        <f>""</f>
        <v/>
      </c>
      <c r="J45" s="120">
        <v>8</v>
      </c>
      <c r="K45" s="250" t="s">
        <v>2327</v>
      </c>
      <c r="M45" s="1624">
        <v>9</v>
      </c>
      <c r="N45" s="1613">
        <v>120</v>
      </c>
      <c r="O45" s="1625">
        <v>10</v>
      </c>
      <c r="Q45" s="1628">
        <v>32</v>
      </c>
      <c r="R45" s="905">
        <v>10</v>
      </c>
      <c r="T45" s="1632">
        <v>10</v>
      </c>
      <c r="U45" s="905">
        <v>1000</v>
      </c>
      <c r="W45" s="5809"/>
      <c r="X45" s="5810"/>
      <c r="Y45" s="5810"/>
      <c r="Z45" s="5810"/>
      <c r="AA45" s="5810"/>
      <c r="AB45" s="5810"/>
      <c r="AC45" s="5810"/>
      <c r="AD45" s="5810"/>
      <c r="AE45" s="5810"/>
      <c r="AF45" s="5869"/>
      <c r="AI45" s="1656">
        <v>19</v>
      </c>
      <c r="AJ45" s="1657">
        <v>10</v>
      </c>
    </row>
    <row r="46" spans="1:41" ht="14.85" customHeight="1" thickBot="1" x14ac:dyDescent="0.25">
      <c r="A46" s="1706">
        <v>46</v>
      </c>
      <c r="B46" s="5720"/>
      <c r="C46" s="806">
        <v>9</v>
      </c>
      <c r="D46" s="146">
        <v>2</v>
      </c>
      <c r="E46" s="5813" t="s">
        <v>2280</v>
      </c>
      <c r="F46" s="5813"/>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720"/>
      <c r="C47" s="806">
        <v>10</v>
      </c>
      <c r="D47" s="146">
        <v>3</v>
      </c>
      <c r="E47" s="5813" t="s">
        <v>2281</v>
      </c>
      <c r="F47" s="5813"/>
      <c r="G47" s="1620" t="s">
        <v>2279</v>
      </c>
      <c r="H47" s="1579" t="str">
        <f>""</f>
        <v/>
      </c>
      <c r="J47" s="120">
        <v>10</v>
      </c>
      <c r="K47" s="250" t="s">
        <v>2329</v>
      </c>
      <c r="M47" s="1624">
        <v>11</v>
      </c>
      <c r="N47" s="1613">
        <v>150</v>
      </c>
      <c r="O47" s="1625">
        <v>10</v>
      </c>
      <c r="Q47" s="3391"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20"/>
      <c r="C48" s="806">
        <v>11</v>
      </c>
      <c r="D48" s="146">
        <v>4</v>
      </c>
      <c r="E48" s="5813" t="s">
        <v>2282</v>
      </c>
      <c r="F48" s="5813"/>
      <c r="G48" s="1620" t="s">
        <v>2283</v>
      </c>
      <c r="H48" s="1579" t="str">
        <f>""</f>
        <v/>
      </c>
      <c r="J48" s="120">
        <v>11</v>
      </c>
      <c r="K48" s="250" t="s">
        <v>2330</v>
      </c>
      <c r="M48" s="1624">
        <v>12</v>
      </c>
      <c r="N48" s="1613">
        <v>160</v>
      </c>
      <c r="O48" s="1625">
        <v>15</v>
      </c>
      <c r="Q48" s="3391"/>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720"/>
      <c r="C49" s="806">
        <v>12</v>
      </c>
      <c r="D49" s="146">
        <v>5</v>
      </c>
      <c r="E49" s="5813" t="s">
        <v>2284</v>
      </c>
      <c r="F49" s="5813"/>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720"/>
      <c r="C50" s="806">
        <v>13</v>
      </c>
      <c r="D50" s="146">
        <v>6</v>
      </c>
      <c r="E50" s="5813" t="s">
        <v>2285</v>
      </c>
      <c r="F50" s="5813"/>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20"/>
      <c r="C51" s="806">
        <v>14</v>
      </c>
      <c r="D51" s="146">
        <v>7</v>
      </c>
      <c r="E51" s="5813" t="s">
        <v>2286</v>
      </c>
      <c r="F51" s="5813"/>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720"/>
      <c r="C52" s="806">
        <v>15</v>
      </c>
      <c r="D52" s="146">
        <v>8</v>
      </c>
      <c r="E52" s="5813" t="s">
        <v>2288</v>
      </c>
      <c r="F52" s="5813"/>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720"/>
      <c r="C53" s="806">
        <v>16</v>
      </c>
      <c r="D53" s="146">
        <v>9</v>
      </c>
      <c r="E53" s="5813" t="s">
        <v>2290</v>
      </c>
      <c r="F53" s="5813"/>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20"/>
      <c r="C54" s="806">
        <v>17</v>
      </c>
      <c r="D54" s="146">
        <v>10</v>
      </c>
      <c r="E54" s="5813" t="s">
        <v>2292</v>
      </c>
      <c r="F54" s="5813"/>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720"/>
      <c r="C55" s="806">
        <v>18</v>
      </c>
      <c r="D55" s="146">
        <v>11</v>
      </c>
      <c r="E55" s="5813" t="s">
        <v>2294</v>
      </c>
      <c r="F55" s="5813"/>
      <c r="G55" s="1620" t="s">
        <v>2295</v>
      </c>
      <c r="H55" s="1579" t="s">
        <v>9246</v>
      </c>
      <c r="J55" s="120">
        <v>18</v>
      </c>
      <c r="K55" s="250" t="s">
        <v>2337</v>
      </c>
      <c r="M55" s="1624">
        <v>19</v>
      </c>
      <c r="N55" s="1613">
        <v>250</v>
      </c>
      <c r="O55" s="1625">
        <v>30</v>
      </c>
      <c r="Q55" s="338" t="s">
        <v>1830</v>
      </c>
    </row>
    <row r="56" spans="1:32" ht="12.75" customHeight="1" thickBot="1" x14ac:dyDescent="0.25">
      <c r="A56" s="1706">
        <v>56</v>
      </c>
      <c r="B56" s="5720"/>
      <c r="C56" s="806">
        <v>19</v>
      </c>
      <c r="D56" s="146">
        <v>12</v>
      </c>
      <c r="E56" s="5813" t="s">
        <v>2296</v>
      </c>
      <c r="F56" s="5813"/>
      <c r="G56" s="1620" t="s">
        <v>2297</v>
      </c>
      <c r="H56" s="1579" t="s">
        <v>9247</v>
      </c>
      <c r="J56" s="120">
        <v>19</v>
      </c>
      <c r="K56" s="250" t="s">
        <v>2338</v>
      </c>
      <c r="M56" s="1626">
        <v>20</v>
      </c>
      <c r="N56" s="639">
        <v>265</v>
      </c>
      <c r="O56" s="1627">
        <v>35</v>
      </c>
      <c r="Q56" s="351" t="s">
        <v>1831</v>
      </c>
    </row>
    <row r="57" spans="1:32" ht="12.75" customHeight="1" thickBot="1" x14ac:dyDescent="0.25">
      <c r="A57" s="1706">
        <v>57</v>
      </c>
      <c r="B57" s="5720"/>
      <c r="C57" s="806">
        <v>20</v>
      </c>
      <c r="D57" s="146">
        <v>12</v>
      </c>
      <c r="E57" s="5813" t="s">
        <v>2296</v>
      </c>
      <c r="F57" s="5813"/>
      <c r="G57" s="1620" t="s">
        <v>2298</v>
      </c>
      <c r="H57" s="1579" t="s">
        <v>9247</v>
      </c>
      <c r="J57" s="241">
        <v>20</v>
      </c>
      <c r="K57" s="254" t="s">
        <v>2339</v>
      </c>
      <c r="N57" s="222"/>
      <c r="O57" s="983"/>
      <c r="S57" s="4581" t="s">
        <v>9347</v>
      </c>
      <c r="T57" s="4582"/>
      <c r="U57" s="4582"/>
      <c r="V57" s="4582"/>
      <c r="W57" s="4582"/>
      <c r="X57" s="4583"/>
    </row>
    <row r="58" spans="1:32" ht="12.75" customHeight="1" thickBot="1" x14ac:dyDescent="0.25">
      <c r="A58" s="302">
        <v>58</v>
      </c>
      <c r="B58" s="5720"/>
      <c r="C58" s="750"/>
      <c r="D58" s="146">
        <v>13</v>
      </c>
      <c r="E58" s="5813" t="s">
        <v>2299</v>
      </c>
      <c r="F58" s="5813"/>
      <c r="G58" s="1620" t="s">
        <v>2300</v>
      </c>
      <c r="H58" s="1579" t="s">
        <v>9248</v>
      </c>
      <c r="I58" s="726"/>
      <c r="N58" s="222"/>
      <c r="O58" s="983"/>
      <c r="S58" s="1795" t="s">
        <v>1714</v>
      </c>
      <c r="T58" s="1796" t="s">
        <v>9352</v>
      </c>
      <c r="U58" s="1796" t="s">
        <v>9353</v>
      </c>
      <c r="V58" s="1796" t="s">
        <v>9357</v>
      </c>
      <c r="W58" s="4582" t="s">
        <v>7070</v>
      </c>
      <c r="X58" s="4583"/>
    </row>
    <row r="59" spans="1:32" ht="12.75" customHeight="1" x14ac:dyDescent="0.2">
      <c r="A59" s="302">
        <v>59</v>
      </c>
      <c r="B59" s="5720"/>
      <c r="C59" s="750"/>
      <c r="D59" s="146">
        <v>14</v>
      </c>
      <c r="E59" s="5813" t="s">
        <v>2301</v>
      </c>
      <c r="F59" s="5813"/>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720"/>
      <c r="C60" s="750"/>
      <c r="D60" s="146">
        <v>15</v>
      </c>
      <c r="E60" s="5813" t="s">
        <v>2303</v>
      </c>
      <c r="F60" s="5813"/>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20"/>
      <c r="C61" s="750"/>
      <c r="D61" s="146">
        <v>16</v>
      </c>
      <c r="E61" s="5813" t="s">
        <v>2305</v>
      </c>
      <c r="F61" s="5813"/>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20"/>
      <c r="C62" s="750"/>
      <c r="D62" s="146">
        <v>17</v>
      </c>
      <c r="E62" s="5813" t="s">
        <v>2307</v>
      </c>
      <c r="F62" s="5813"/>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20"/>
      <c r="C63" s="750"/>
      <c r="D63" s="146">
        <v>18</v>
      </c>
      <c r="E63" s="5813" t="s">
        <v>2309</v>
      </c>
      <c r="F63" s="5813"/>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20"/>
      <c r="C64" s="750"/>
      <c r="D64" s="146">
        <v>19</v>
      </c>
      <c r="E64" s="5813" t="s">
        <v>2311</v>
      </c>
      <c r="F64" s="5813"/>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20"/>
      <c r="C65" s="751"/>
      <c r="D65" s="795">
        <v>20</v>
      </c>
      <c r="E65" s="5883" t="s">
        <v>2313</v>
      </c>
      <c r="F65" s="5883"/>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895" t="str">
        <f>IF(COUNTIF(T60:T64,TRUE)&gt;0,"Tablas!"&amp;ADDRESS(ROW(W59),COLUMN(W59))&amp;":"&amp;ADDRESS(ROW(W59)+MATCH("",$W$59:$W$64,0)-2,COLUMN(W59)),"")</f>
        <v/>
      </c>
      <c r="X65" s="5896"/>
    </row>
    <row r="66" spans="1:27" ht="12.75" customHeight="1" thickBot="1" x14ac:dyDescent="0.25">
      <c r="A66" s="302">
        <v>66</v>
      </c>
      <c r="B66" s="5720"/>
      <c r="H66" s="222"/>
      <c r="I66" s="726"/>
      <c r="N66" s="222"/>
      <c r="O66" s="983"/>
    </row>
    <row r="67" spans="1:27" ht="12.75" customHeight="1" x14ac:dyDescent="0.2">
      <c r="A67" s="302">
        <v>67</v>
      </c>
      <c r="B67" s="5720"/>
      <c r="C67" s="5872" t="s">
        <v>9161</v>
      </c>
      <c r="D67" s="5873"/>
      <c r="E67" s="5873"/>
      <c r="F67" s="5873"/>
      <c r="G67" s="5873"/>
      <c r="H67" s="5873"/>
      <c r="I67" s="5873"/>
      <c r="J67" s="5873"/>
      <c r="K67" s="5873"/>
      <c r="L67" s="5873"/>
      <c r="M67" s="5873"/>
      <c r="N67" s="5874"/>
      <c r="P67" s="5872" t="s">
        <v>9160</v>
      </c>
      <c r="Q67" s="5873"/>
      <c r="R67" s="5873"/>
      <c r="S67" s="5873"/>
      <c r="T67" s="5873"/>
      <c r="U67" s="5873"/>
      <c r="V67" s="5873"/>
      <c r="W67" s="5873"/>
      <c r="X67" s="5873"/>
      <c r="Y67" s="5873"/>
      <c r="Z67" s="5873"/>
      <c r="AA67" s="5874"/>
    </row>
    <row r="68" spans="1:27" ht="12.75" customHeight="1" x14ac:dyDescent="0.2">
      <c r="A68" s="302">
        <v>68</v>
      </c>
      <c r="B68" s="5720"/>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720"/>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20"/>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20"/>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20"/>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20"/>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20"/>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20"/>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20"/>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20"/>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20"/>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20"/>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20"/>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20"/>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20"/>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20"/>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20"/>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20"/>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20"/>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20"/>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20"/>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20"/>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20"/>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20"/>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20"/>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20"/>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20"/>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20"/>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20"/>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20"/>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20"/>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20"/>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20"/>
    </row>
    <row r="101" spans="1:109" ht="12.75" customHeight="1" x14ac:dyDescent="0.2">
      <c r="A101" s="302">
        <v>101</v>
      </c>
      <c r="B101" s="5720"/>
      <c r="C101" s="5719" t="s">
        <v>8110</v>
      </c>
      <c r="D101" s="5719"/>
      <c r="E101" s="5719"/>
      <c r="F101" s="5719"/>
      <c r="G101" s="5719"/>
      <c r="H101" s="5719"/>
      <c r="I101" s="5719"/>
      <c r="J101" s="5719"/>
      <c r="K101" s="5719"/>
      <c r="L101" s="5719"/>
      <c r="M101" s="5719"/>
      <c r="N101" s="5719"/>
      <c r="O101" s="5719"/>
      <c r="P101" s="5719"/>
      <c r="Q101" s="5719"/>
      <c r="R101" s="5719"/>
      <c r="S101" s="5719"/>
      <c r="T101" s="5719"/>
      <c r="U101" s="5719"/>
      <c r="V101" s="5719"/>
      <c r="W101" s="5719"/>
      <c r="X101" s="5719"/>
      <c r="Y101" s="5719"/>
      <c r="Z101" s="5719"/>
      <c r="AA101" s="5719"/>
      <c r="AB101" s="5719"/>
      <c r="AC101" s="5719"/>
      <c r="AD101" s="5719"/>
      <c r="AE101" s="5719"/>
      <c r="AF101" s="5719"/>
      <c r="AG101" s="5719"/>
      <c r="AH101" s="5719"/>
      <c r="AI101" s="5719"/>
      <c r="AJ101" s="5719"/>
      <c r="AK101" s="5719"/>
      <c r="AL101" s="5719"/>
      <c r="AM101" s="5719"/>
      <c r="AN101" s="5719"/>
      <c r="AO101" s="5719"/>
      <c r="AP101" s="5719"/>
      <c r="AQ101" s="5719"/>
      <c r="AR101" s="5719"/>
      <c r="AS101" s="5719"/>
      <c r="AT101" s="5719"/>
      <c r="AU101" s="5719"/>
      <c r="AV101" s="5719"/>
      <c r="AW101" s="5719"/>
      <c r="AX101" s="5719"/>
      <c r="AY101" s="5719"/>
      <c r="AZ101" s="5719"/>
      <c r="BA101" s="5719"/>
      <c r="BB101" s="5719"/>
      <c r="BC101" s="5719"/>
      <c r="BD101" s="5719"/>
      <c r="BE101" s="5719"/>
      <c r="BF101" s="5719"/>
      <c r="BG101" s="5719"/>
      <c r="BH101" s="5719"/>
      <c r="BI101" s="5719"/>
      <c r="BJ101" s="5719"/>
      <c r="BK101" s="5719"/>
      <c r="BL101" s="5719"/>
      <c r="BM101" s="5719"/>
      <c r="BN101" s="5719"/>
      <c r="BO101" s="5719"/>
      <c r="BP101" s="5719"/>
      <c r="BQ101" s="5719"/>
      <c r="BR101" s="5719"/>
      <c r="BS101" s="5719"/>
      <c r="BT101" s="5719"/>
      <c r="BU101" s="5719"/>
      <c r="BV101" s="5719"/>
      <c r="BW101" s="5719"/>
      <c r="BX101" s="5719"/>
      <c r="BY101" s="5719"/>
      <c r="BZ101" s="5719"/>
      <c r="CA101" s="5719"/>
      <c r="CB101" s="5719"/>
      <c r="CC101" s="5719"/>
      <c r="CD101" s="5719"/>
      <c r="CE101" s="5719"/>
      <c r="CF101" s="5719"/>
      <c r="CG101" s="5719"/>
      <c r="CH101" s="5719"/>
      <c r="CI101" s="5719"/>
      <c r="CJ101" s="5719"/>
      <c r="CK101" s="5719"/>
      <c r="CL101" s="5719"/>
      <c r="CM101" s="5719"/>
      <c r="CN101" s="5719"/>
      <c r="CO101" s="5719"/>
      <c r="CP101" s="5719"/>
      <c r="CQ101" s="5719"/>
      <c r="CR101" s="5719"/>
      <c r="CS101" s="5719"/>
      <c r="CT101" s="5719"/>
      <c r="CU101" s="5719"/>
      <c r="CV101" s="5719"/>
      <c r="CW101" s="5719"/>
      <c r="CX101" s="5719"/>
      <c r="CY101" s="5719"/>
      <c r="CZ101" s="5719"/>
      <c r="DA101" s="5719"/>
      <c r="DB101" s="5719"/>
      <c r="DC101" s="5719"/>
      <c r="DD101" s="5719"/>
      <c r="DE101" s="5719"/>
    </row>
    <row r="102" spans="1:109" ht="12.75" customHeight="1" x14ac:dyDescent="0.2">
      <c r="A102" s="302">
        <v>102</v>
      </c>
      <c r="B102" s="5720"/>
      <c r="C102" s="5719"/>
      <c r="D102" s="5719"/>
      <c r="E102" s="5719"/>
      <c r="F102" s="5719"/>
      <c r="G102" s="5719"/>
      <c r="H102" s="5719"/>
      <c r="I102" s="5719"/>
      <c r="J102" s="5719"/>
      <c r="K102" s="5719"/>
      <c r="L102" s="5719"/>
      <c r="M102" s="5719"/>
      <c r="N102" s="5719"/>
      <c r="O102" s="5719"/>
      <c r="P102" s="5719"/>
      <c r="Q102" s="5719"/>
      <c r="R102" s="5719"/>
      <c r="S102" s="5719"/>
      <c r="T102" s="5719"/>
      <c r="U102" s="5719"/>
      <c r="V102" s="5719"/>
      <c r="W102" s="5719"/>
      <c r="X102" s="5719"/>
      <c r="Y102" s="5719"/>
      <c r="Z102" s="5719"/>
      <c r="AA102" s="5719"/>
      <c r="AB102" s="5719"/>
      <c r="AC102" s="5719"/>
      <c r="AD102" s="5719"/>
      <c r="AE102" s="5719"/>
      <c r="AF102" s="5719"/>
      <c r="AG102" s="5719"/>
      <c r="AH102" s="5719"/>
      <c r="AI102" s="5719"/>
      <c r="AJ102" s="5719"/>
      <c r="AK102" s="5719"/>
      <c r="AL102" s="5719"/>
      <c r="AM102" s="5719"/>
      <c r="AN102" s="5719"/>
      <c r="AO102" s="5719"/>
      <c r="AP102" s="5719"/>
      <c r="AQ102" s="5719"/>
      <c r="AR102" s="5719"/>
      <c r="AS102" s="5719"/>
      <c r="AT102" s="5719"/>
      <c r="AU102" s="5719"/>
      <c r="AV102" s="5719"/>
      <c r="AW102" s="5719"/>
      <c r="AX102" s="5719"/>
      <c r="AY102" s="5719"/>
      <c r="AZ102" s="5719"/>
      <c r="BA102" s="5719"/>
      <c r="BB102" s="5719"/>
      <c r="BC102" s="5719"/>
      <c r="BD102" s="5719"/>
      <c r="BE102" s="5719"/>
      <c r="BF102" s="5719"/>
      <c r="BG102" s="5719"/>
      <c r="BH102" s="5719"/>
      <c r="BI102" s="5719"/>
      <c r="BJ102" s="5719"/>
      <c r="BK102" s="5719"/>
      <c r="BL102" s="5719"/>
      <c r="BM102" s="5719"/>
      <c r="BN102" s="5719"/>
      <c r="BO102" s="5719"/>
      <c r="BP102" s="5719"/>
      <c r="BQ102" s="5719"/>
      <c r="BR102" s="5719"/>
      <c r="BS102" s="5719"/>
      <c r="BT102" s="5719"/>
      <c r="BU102" s="5719"/>
      <c r="BV102" s="5719"/>
      <c r="BW102" s="5719"/>
      <c r="BX102" s="5719"/>
      <c r="BY102" s="5719"/>
      <c r="BZ102" s="5719"/>
      <c r="CA102" s="5719"/>
      <c r="CB102" s="5719"/>
      <c r="CC102" s="5719"/>
      <c r="CD102" s="5719"/>
      <c r="CE102" s="5719"/>
      <c r="CF102" s="5719"/>
      <c r="CG102" s="5719"/>
      <c r="CH102" s="5719"/>
      <c r="CI102" s="5719"/>
      <c r="CJ102" s="5719"/>
      <c r="CK102" s="5719"/>
      <c r="CL102" s="5719"/>
      <c r="CM102" s="5719"/>
      <c r="CN102" s="5719"/>
      <c r="CO102" s="5719"/>
      <c r="CP102" s="5719"/>
      <c r="CQ102" s="5719"/>
      <c r="CR102" s="5719"/>
      <c r="CS102" s="5719"/>
      <c r="CT102" s="5719"/>
      <c r="CU102" s="5719"/>
      <c r="CV102" s="5719"/>
      <c r="CW102" s="5719"/>
      <c r="CX102" s="5719"/>
      <c r="CY102" s="5719"/>
      <c r="CZ102" s="5719"/>
      <c r="DA102" s="5719"/>
      <c r="DB102" s="5719"/>
      <c r="DC102" s="5719"/>
      <c r="DD102" s="5719"/>
      <c r="DE102" s="5719"/>
    </row>
    <row r="103" spans="1:109" ht="12.75" customHeight="1" x14ac:dyDescent="0.2">
      <c r="A103" s="302">
        <v>103</v>
      </c>
      <c r="B103" s="5720"/>
      <c r="C103" s="5719"/>
      <c r="D103" s="5719"/>
      <c r="E103" s="5719"/>
      <c r="F103" s="5719"/>
      <c r="G103" s="5719"/>
      <c r="H103" s="5719"/>
      <c r="I103" s="5719"/>
      <c r="J103" s="5719"/>
      <c r="K103" s="5719"/>
      <c r="L103" s="5719"/>
      <c r="M103" s="5719"/>
      <c r="N103" s="5719"/>
      <c r="O103" s="5719"/>
      <c r="P103" s="5719"/>
      <c r="Q103" s="5719"/>
      <c r="R103" s="5719"/>
      <c r="S103" s="5719"/>
      <c r="T103" s="5719"/>
      <c r="U103" s="5719"/>
      <c r="V103" s="5719"/>
      <c r="W103" s="5719"/>
      <c r="X103" s="5719"/>
      <c r="Y103" s="5719"/>
      <c r="Z103" s="5719"/>
      <c r="AA103" s="5719"/>
      <c r="AB103" s="5719"/>
      <c r="AC103" s="5719"/>
      <c r="AD103" s="5719"/>
      <c r="AE103" s="5719"/>
      <c r="AF103" s="5719"/>
      <c r="AG103" s="5719"/>
      <c r="AH103" s="5719"/>
      <c r="AI103" s="5719"/>
      <c r="AJ103" s="5719"/>
      <c r="AK103" s="5719"/>
      <c r="AL103" s="5719"/>
      <c r="AM103" s="5719"/>
      <c r="AN103" s="5719"/>
      <c r="AO103" s="5719"/>
      <c r="AP103" s="5719"/>
      <c r="AQ103" s="5719"/>
      <c r="AR103" s="5719"/>
      <c r="AS103" s="5719"/>
      <c r="AT103" s="5719"/>
      <c r="AU103" s="5719"/>
      <c r="AV103" s="5719"/>
      <c r="AW103" s="5719"/>
      <c r="AX103" s="5719"/>
      <c r="AY103" s="5719"/>
      <c r="AZ103" s="5719"/>
      <c r="BA103" s="5719"/>
      <c r="BB103" s="5719"/>
      <c r="BC103" s="5719"/>
      <c r="BD103" s="5719"/>
      <c r="BE103" s="5719"/>
      <c r="BF103" s="5719"/>
      <c r="BG103" s="5719"/>
      <c r="BH103" s="5719"/>
      <c r="BI103" s="5719"/>
      <c r="BJ103" s="5719"/>
      <c r="BK103" s="5719"/>
      <c r="BL103" s="5719"/>
      <c r="BM103" s="5719"/>
      <c r="BN103" s="5719"/>
      <c r="BO103" s="5719"/>
      <c r="BP103" s="5719"/>
      <c r="BQ103" s="5719"/>
      <c r="BR103" s="5719"/>
      <c r="BS103" s="5719"/>
      <c r="BT103" s="5719"/>
      <c r="BU103" s="5719"/>
      <c r="BV103" s="5719"/>
      <c r="BW103" s="5719"/>
      <c r="BX103" s="5719"/>
      <c r="BY103" s="5719"/>
      <c r="BZ103" s="5719"/>
      <c r="CA103" s="5719"/>
      <c r="CB103" s="5719"/>
      <c r="CC103" s="5719"/>
      <c r="CD103" s="5719"/>
      <c r="CE103" s="5719"/>
      <c r="CF103" s="5719"/>
      <c r="CG103" s="5719"/>
      <c r="CH103" s="5719"/>
      <c r="CI103" s="5719"/>
      <c r="CJ103" s="5719"/>
      <c r="CK103" s="5719"/>
      <c r="CL103" s="5719"/>
      <c r="CM103" s="5719"/>
      <c r="CN103" s="5719"/>
      <c r="CO103" s="5719"/>
      <c r="CP103" s="5719"/>
      <c r="CQ103" s="5719"/>
      <c r="CR103" s="5719"/>
      <c r="CS103" s="5719"/>
      <c r="CT103" s="5719"/>
      <c r="CU103" s="5719"/>
      <c r="CV103" s="5719"/>
      <c r="CW103" s="5719"/>
      <c r="CX103" s="5719"/>
      <c r="CY103" s="5719"/>
      <c r="CZ103" s="5719"/>
      <c r="DA103" s="5719"/>
      <c r="DB103" s="5719"/>
      <c r="DC103" s="5719"/>
      <c r="DD103" s="5719"/>
      <c r="DE103" s="5719"/>
    </row>
    <row r="104" spans="1:109" ht="12.75" customHeight="1" thickBot="1" x14ac:dyDescent="0.25">
      <c r="A104" s="302">
        <v>104</v>
      </c>
      <c r="B104" s="5720"/>
      <c r="H104" s="222"/>
      <c r="N104" s="222"/>
    </row>
    <row r="105" spans="1:109" ht="12.75" customHeight="1" thickBot="1" x14ac:dyDescent="0.25">
      <c r="A105" s="302">
        <v>105</v>
      </c>
      <c r="B105" s="5720"/>
      <c r="C105" s="5815" t="s">
        <v>2219</v>
      </c>
      <c r="D105" s="5815"/>
      <c r="F105" s="5815" t="s">
        <v>2245</v>
      </c>
      <c r="G105" s="5815"/>
      <c r="H105" s="222"/>
      <c r="I105" s="5916" t="s">
        <v>2188</v>
      </c>
      <c r="J105" s="5917"/>
      <c r="K105" s="5917"/>
      <c r="L105" s="5917"/>
      <c r="M105" s="5917"/>
      <c r="N105" s="5917"/>
      <c r="O105" s="5917"/>
      <c r="P105" s="5917"/>
      <c r="Q105" s="5917"/>
      <c r="R105" s="5917"/>
      <c r="S105" s="5917"/>
      <c r="T105" s="5917"/>
      <c r="U105" s="5917"/>
      <c r="V105" s="5917"/>
      <c r="W105" s="5917"/>
      <c r="X105" s="5917"/>
      <c r="Y105" s="5917"/>
      <c r="Z105" s="5917"/>
      <c r="AA105" s="5917"/>
      <c r="AB105" s="5917"/>
      <c r="AC105" s="5917"/>
      <c r="AD105" s="5917"/>
      <c r="AE105" s="5917"/>
      <c r="AF105" s="5917"/>
      <c r="AG105" s="5917"/>
      <c r="AH105" s="5917"/>
      <c r="AI105" s="5917"/>
      <c r="AJ105" s="5917"/>
      <c r="AK105" s="5917"/>
      <c r="AL105" s="5917"/>
      <c r="AM105" s="5917"/>
      <c r="AN105" s="5917"/>
      <c r="AO105" s="5917"/>
      <c r="AP105" s="5917"/>
      <c r="AQ105" s="5917"/>
      <c r="AR105" s="5917"/>
      <c r="AS105" s="5917"/>
      <c r="AT105" s="5917"/>
      <c r="AU105" s="5917"/>
      <c r="AV105" s="5917"/>
      <c r="AW105" s="5917"/>
      <c r="AX105" s="5917"/>
      <c r="AY105" s="5917"/>
      <c r="AZ105" s="5917"/>
      <c r="BA105" s="5917"/>
      <c r="BB105" s="5917"/>
      <c r="BC105" s="5917"/>
      <c r="BD105" s="5917"/>
      <c r="BE105" s="5917"/>
      <c r="BF105" s="5917"/>
      <c r="BG105" s="5917"/>
      <c r="BH105" s="5917"/>
      <c r="BI105" s="5917"/>
      <c r="BJ105" s="5917"/>
      <c r="BK105" s="5917"/>
      <c r="BL105" s="5918"/>
    </row>
    <row r="106" spans="1:109" ht="12.75" customHeight="1" thickBot="1" x14ac:dyDescent="0.25">
      <c r="A106" s="302">
        <v>106</v>
      </c>
      <c r="B106" s="5720"/>
      <c r="C106" s="5815"/>
      <c r="D106" s="5815"/>
      <c r="F106" s="5815"/>
      <c r="G106" s="5815"/>
      <c r="H106" s="222"/>
      <c r="I106" s="5919"/>
      <c r="J106" s="5897"/>
      <c r="K106" s="5897"/>
      <c r="L106" s="5897"/>
      <c r="M106" s="5897"/>
      <c r="N106" s="5897"/>
      <c r="O106" s="5897"/>
      <c r="P106" s="5897"/>
      <c r="Q106" s="5897"/>
      <c r="R106" s="5897"/>
      <c r="S106" s="5897"/>
      <c r="T106" s="5897"/>
      <c r="U106" s="5897"/>
      <c r="V106" s="5897"/>
      <c r="W106" s="5897"/>
      <c r="X106" s="5897"/>
      <c r="Y106" s="5897"/>
      <c r="Z106" s="5897"/>
      <c r="AA106" s="5897"/>
      <c r="AB106" s="5897"/>
      <c r="AC106" s="5897"/>
      <c r="AD106" s="5897"/>
      <c r="AE106" s="5897"/>
      <c r="AF106" s="5897"/>
      <c r="AG106" s="5897"/>
      <c r="AH106" s="5897"/>
      <c r="AI106" s="5897"/>
      <c r="AJ106" s="5897"/>
      <c r="AK106" s="5897"/>
      <c r="AL106" s="5897"/>
      <c r="AM106" s="5897"/>
      <c r="AN106" s="5897"/>
      <c r="AO106" s="5897"/>
      <c r="AP106" s="5897"/>
      <c r="AQ106" s="5897"/>
      <c r="AR106" s="5897"/>
      <c r="AS106" s="5897"/>
      <c r="AT106" s="5897"/>
      <c r="AU106" s="5897"/>
      <c r="AV106" s="5897"/>
      <c r="AW106" s="5897"/>
      <c r="AX106" s="5897"/>
      <c r="AY106" s="5897"/>
      <c r="AZ106" s="5897"/>
      <c r="BA106" s="5897"/>
      <c r="BB106" s="5897"/>
      <c r="BC106" s="5897"/>
      <c r="BD106" s="5897"/>
      <c r="BE106" s="5897"/>
      <c r="BF106" s="5897"/>
      <c r="BG106" s="5897"/>
      <c r="BH106" s="5897"/>
      <c r="BI106" s="5897"/>
      <c r="BJ106" s="5897"/>
      <c r="BK106" s="5897"/>
      <c r="BL106" s="5920"/>
    </row>
    <row r="107" spans="1:109" ht="13.5" customHeight="1" x14ac:dyDescent="0.2">
      <c r="A107" s="302">
        <v>107</v>
      </c>
      <c r="B107" s="5720"/>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48">
        <v>20</v>
      </c>
      <c r="AD107" s="5948"/>
      <c r="AE107" s="987"/>
      <c r="AF107" s="5948"/>
      <c r="AG107" s="5948"/>
      <c r="AH107" s="987"/>
      <c r="AI107" s="5948"/>
      <c r="AJ107" s="5948"/>
      <c r="AK107" s="987"/>
      <c r="AL107" s="5948"/>
      <c r="AM107" s="5948"/>
      <c r="AN107" s="987"/>
      <c r="AO107" s="5924"/>
      <c r="AP107" s="5924"/>
      <c r="AQ107" s="1589"/>
      <c r="AR107" s="5924"/>
      <c r="AS107" s="5924"/>
      <c r="AT107" s="1589"/>
      <c r="AU107" s="5924"/>
      <c r="AV107" s="5924"/>
      <c r="AW107" s="1589"/>
      <c r="AX107" s="5924"/>
      <c r="AY107" s="5924"/>
      <c r="AZ107" s="1589"/>
      <c r="BA107" s="5924"/>
      <c r="BB107" s="5924"/>
      <c r="BC107" s="1589"/>
      <c r="BD107" s="5924"/>
      <c r="BE107" s="5924"/>
      <c r="BF107" s="1589"/>
      <c r="BG107" s="5924"/>
      <c r="BH107" s="5924"/>
      <c r="BI107" s="1589"/>
      <c r="BJ107" s="5924"/>
      <c r="BK107" s="5924"/>
      <c r="BL107" s="1513"/>
    </row>
    <row r="108" spans="1:109" ht="12.75" customHeight="1" thickBot="1" x14ac:dyDescent="0.25">
      <c r="A108" s="302">
        <v>108</v>
      </c>
      <c r="B108" s="5720"/>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49" t="s">
        <v>9237</v>
      </c>
      <c r="AD108" s="5949"/>
      <c r="AE108" s="779"/>
      <c r="AF108" s="5949"/>
      <c r="AG108" s="5949"/>
      <c r="AH108" s="779"/>
      <c r="AI108" s="5949"/>
      <c r="AJ108" s="5949"/>
      <c r="AK108" s="779"/>
      <c r="AL108" s="5949"/>
      <c r="AM108" s="5949"/>
      <c r="AN108" s="779"/>
      <c r="AO108" s="5875"/>
      <c r="AP108" s="5875"/>
      <c r="AQ108" s="1586"/>
      <c r="AR108" s="5875"/>
      <c r="AS108" s="5875"/>
      <c r="AT108" s="1586"/>
      <c r="AU108" s="5875"/>
      <c r="AV108" s="5875"/>
      <c r="AW108" s="1586"/>
      <c r="AX108" s="5875"/>
      <c r="AY108" s="5875"/>
      <c r="AZ108" s="1586"/>
      <c r="BA108" s="5875"/>
      <c r="BB108" s="5875"/>
      <c r="BC108" s="1586"/>
      <c r="BD108" s="5875"/>
      <c r="BE108" s="5875"/>
      <c r="BF108" s="1586"/>
      <c r="BG108" s="5875"/>
      <c r="BH108" s="5875"/>
      <c r="BI108" s="1586"/>
      <c r="BJ108" s="5875"/>
      <c r="BK108" s="5875"/>
      <c r="BL108" s="1591"/>
    </row>
    <row r="109" spans="1:109" ht="12.75" customHeight="1" thickBot="1" x14ac:dyDescent="0.25">
      <c r="A109" s="302">
        <v>109</v>
      </c>
      <c r="B109" s="5720"/>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20"/>
      <c r="C110" s="5815" t="s">
        <v>2225</v>
      </c>
      <c r="D110" s="5815"/>
      <c r="F110" s="3391" t="s">
        <v>2108</v>
      </c>
      <c r="G110" s="3391"/>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20"/>
      <c r="C111" s="5815"/>
      <c r="D111" s="5815"/>
      <c r="F111" s="3391"/>
      <c r="G111" s="3391"/>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20"/>
      <c r="C112" s="237" t="s">
        <v>2228</v>
      </c>
      <c r="D112" s="50"/>
      <c r="F112" s="5885" t="s">
        <v>2221</v>
      </c>
      <c r="G112" s="5885"/>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20"/>
      <c r="C113" s="237" t="s">
        <v>2230</v>
      </c>
      <c r="D113" s="50"/>
      <c r="F113" s="5885" t="s">
        <v>2223</v>
      </c>
      <c r="G113" s="5885"/>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20"/>
      <c r="C114" s="237" t="s">
        <v>2231</v>
      </c>
      <c r="D114" s="50"/>
      <c r="F114" s="5885" t="s">
        <v>2224</v>
      </c>
      <c r="G114" s="5885"/>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20"/>
      <c r="C115" s="237" t="s">
        <v>2232</v>
      </c>
      <c r="D115" s="50"/>
      <c r="F115" s="5885" t="s">
        <v>2226</v>
      </c>
      <c r="G115" s="5885"/>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20"/>
      <c r="C116" s="237" t="s">
        <v>2233</v>
      </c>
      <c r="D116" s="50"/>
      <c r="F116" s="5885" t="s">
        <v>2227</v>
      </c>
      <c r="G116" s="5885"/>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20"/>
      <c r="C117" s="237" t="s">
        <v>2234</v>
      </c>
      <c r="D117" s="50"/>
      <c r="F117" s="5821" t="s">
        <v>2229</v>
      </c>
      <c r="G117" s="5821"/>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20"/>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20"/>
      <c r="C119" s="237" t="s">
        <v>2236</v>
      </c>
      <c r="D119" s="50"/>
      <c r="F119" s="5815" t="s">
        <v>2262</v>
      </c>
      <c r="G119" s="5815"/>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20"/>
      <c r="C120" s="237" t="s">
        <v>2237</v>
      </c>
      <c r="D120" s="50"/>
      <c r="F120" s="5815"/>
      <c r="G120" s="5815"/>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20"/>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20"/>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20"/>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20"/>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20"/>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20"/>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20"/>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20"/>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20"/>
      <c r="C129" s="3188" t="s">
        <v>9310</v>
      </c>
      <c r="D129" s="3563"/>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20"/>
      <c r="C130" s="5950"/>
      <c r="D130" s="5951"/>
      <c r="H130" s="222"/>
      <c r="J130" s="5819"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20"/>
      <c r="C131" s="1760" t="s">
        <v>1654</v>
      </c>
      <c r="D131" s="1761"/>
      <c r="H131" s="222"/>
      <c r="J131" s="5820"/>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20"/>
      <c r="C132" s="1762" t="s">
        <v>9311</v>
      </c>
      <c r="D132" s="1763"/>
      <c r="F132" s="726"/>
      <c r="H132" s="222"/>
      <c r="L132" s="983"/>
      <c r="N132" s="222"/>
    </row>
    <row r="133" spans="1:109" ht="12.75" customHeight="1" thickBot="1" x14ac:dyDescent="0.25">
      <c r="A133" s="302">
        <v>133</v>
      </c>
      <c r="B133" s="5720"/>
      <c r="C133" s="1764" t="s">
        <v>9576</v>
      </c>
      <c r="D133" s="1765"/>
      <c r="F133" s="5774" t="s">
        <v>7026</v>
      </c>
      <c r="G133" s="5774"/>
      <c r="H133" s="5774"/>
      <c r="I133" s="5774"/>
      <c r="J133" s="5774"/>
      <c r="K133" s="5774"/>
      <c r="L133" s="5774"/>
      <c r="M133" s="5774"/>
      <c r="N133" s="5774"/>
      <c r="O133" s="5774"/>
      <c r="P133" s="5774"/>
      <c r="Q133" s="5774"/>
      <c r="R133" s="5774"/>
      <c r="S133" s="5774"/>
      <c r="T133" s="5774"/>
      <c r="U133" s="5774"/>
      <c r="V133" s="5774"/>
      <c r="W133" s="5774"/>
      <c r="X133" s="5774"/>
      <c r="Y133" s="5774"/>
      <c r="Z133" s="5774"/>
      <c r="AA133" s="5774"/>
      <c r="AB133" s="5774"/>
      <c r="AC133" s="5774"/>
      <c r="AD133" s="5774"/>
      <c r="AE133" s="5774"/>
      <c r="AF133" s="5774"/>
      <c r="AG133" s="5774"/>
      <c r="AH133" s="5774"/>
      <c r="AI133" s="5774"/>
      <c r="AJ133" s="5774"/>
      <c r="AK133" s="5774"/>
      <c r="AL133" s="5774"/>
      <c r="AM133" s="5774"/>
      <c r="AN133" s="5774"/>
      <c r="AO133" s="5774"/>
      <c r="AP133" s="5774"/>
      <c r="AQ133" s="5774"/>
      <c r="AR133" s="5774"/>
      <c r="AS133" s="5774"/>
      <c r="AT133" s="5774"/>
      <c r="AU133" s="5774"/>
      <c r="AV133" s="5774"/>
      <c r="AW133" s="5774"/>
      <c r="AX133" s="5774"/>
      <c r="AY133" s="5774"/>
      <c r="AZ133" s="5774"/>
      <c r="BA133" s="5774"/>
      <c r="BB133" s="5774"/>
      <c r="BC133" s="5774"/>
      <c r="BD133" s="5774"/>
      <c r="BE133" s="5774"/>
      <c r="BF133" s="5774"/>
      <c r="BG133" s="5774"/>
      <c r="BH133" s="5774"/>
      <c r="BI133" s="5774"/>
      <c r="BJ133" s="5774"/>
      <c r="BK133" s="5774"/>
      <c r="BL133" s="5774"/>
      <c r="BM133" s="5774"/>
      <c r="BN133" s="5774"/>
      <c r="BO133" s="5774"/>
      <c r="BP133" s="5774"/>
      <c r="BQ133" s="5774"/>
      <c r="BR133" s="5774"/>
      <c r="BS133" s="5774"/>
      <c r="BT133" s="5774"/>
      <c r="BU133" s="5774"/>
      <c r="BV133" s="5774"/>
      <c r="BW133" s="5774"/>
      <c r="BX133" s="5774"/>
      <c r="BY133" s="5774"/>
      <c r="BZ133" s="5774"/>
      <c r="CA133" s="5774"/>
      <c r="CB133" s="5774"/>
      <c r="CC133" s="5774"/>
      <c r="CD133" s="5774"/>
      <c r="CE133" s="5774"/>
      <c r="CF133" s="5774"/>
      <c r="CG133" s="5774"/>
      <c r="CH133" s="5774"/>
      <c r="CI133" s="5774"/>
      <c r="CJ133" s="5774"/>
      <c r="CK133" s="5774"/>
      <c r="CL133" s="5774"/>
      <c r="CM133" s="5774"/>
      <c r="CN133" s="5774"/>
      <c r="CO133" s="5774"/>
      <c r="CP133" s="5774"/>
      <c r="CQ133" s="5774"/>
      <c r="CR133" s="5774"/>
      <c r="CS133" s="5774"/>
      <c r="CT133" s="5774"/>
      <c r="CU133" s="5774"/>
      <c r="CV133" s="5774"/>
      <c r="CW133" s="5774"/>
      <c r="CX133" s="5774"/>
      <c r="CY133" s="5774"/>
      <c r="CZ133" s="5774"/>
      <c r="DA133" s="5774"/>
      <c r="DB133" s="5774"/>
      <c r="DC133" s="5774"/>
      <c r="DD133" s="5774"/>
      <c r="DE133" s="5775"/>
    </row>
    <row r="134" spans="1:109" ht="12.75" customHeight="1" x14ac:dyDescent="0.2">
      <c r="A134" s="302">
        <v>134</v>
      </c>
      <c r="B134" s="5720"/>
      <c r="F134" s="5774"/>
      <c r="G134" s="5774"/>
      <c r="H134" s="5774"/>
      <c r="I134" s="5774"/>
      <c r="J134" s="5774"/>
      <c r="K134" s="5774"/>
      <c r="L134" s="5774"/>
      <c r="M134" s="5774"/>
      <c r="N134" s="5774"/>
      <c r="O134" s="5774"/>
      <c r="P134" s="5774"/>
      <c r="Q134" s="5774"/>
      <c r="R134" s="5774"/>
      <c r="S134" s="5774"/>
      <c r="T134" s="5774"/>
      <c r="U134" s="5774"/>
      <c r="V134" s="5774"/>
      <c r="W134" s="5774"/>
      <c r="X134" s="5774"/>
      <c r="Y134" s="5774"/>
      <c r="Z134" s="5774"/>
      <c r="AA134" s="5774"/>
      <c r="AB134" s="5774"/>
      <c r="AC134" s="5774"/>
      <c r="AD134" s="5774"/>
      <c r="AE134" s="5774"/>
      <c r="AF134" s="5774"/>
      <c r="AG134" s="5774"/>
      <c r="AH134" s="5774"/>
      <c r="AI134" s="5774"/>
      <c r="AJ134" s="5774"/>
      <c r="AK134" s="5774"/>
      <c r="AL134" s="5774"/>
      <c r="AM134" s="5774"/>
      <c r="AN134" s="5774"/>
      <c r="AO134" s="5774"/>
      <c r="AP134" s="5774"/>
      <c r="AQ134" s="5774"/>
      <c r="AR134" s="5774"/>
      <c r="AS134" s="5774"/>
      <c r="AT134" s="5774"/>
      <c r="AU134" s="5774"/>
      <c r="AV134" s="5774"/>
      <c r="AW134" s="5774"/>
      <c r="AX134" s="5774"/>
      <c r="AY134" s="5774"/>
      <c r="AZ134" s="5774"/>
      <c r="BA134" s="5774"/>
      <c r="BB134" s="5774"/>
      <c r="BC134" s="5774"/>
      <c r="BD134" s="5774"/>
      <c r="BE134" s="5774"/>
      <c r="BF134" s="5774"/>
      <c r="BG134" s="5774"/>
      <c r="BH134" s="5774"/>
      <c r="BI134" s="5774"/>
      <c r="BJ134" s="5774"/>
      <c r="BK134" s="5774"/>
      <c r="BL134" s="5774"/>
      <c r="BM134" s="5774"/>
      <c r="BN134" s="5774"/>
      <c r="BO134" s="5774"/>
      <c r="BP134" s="5774"/>
      <c r="BQ134" s="5774"/>
      <c r="BR134" s="5774"/>
      <c r="BS134" s="5774"/>
      <c r="BT134" s="5774"/>
      <c r="BU134" s="5774"/>
      <c r="BV134" s="5774"/>
      <c r="BW134" s="5774"/>
      <c r="BX134" s="5774"/>
      <c r="BY134" s="5774"/>
      <c r="BZ134" s="5774"/>
      <c r="CA134" s="5774"/>
      <c r="CB134" s="5774"/>
      <c r="CC134" s="5774"/>
      <c r="CD134" s="5774"/>
      <c r="CE134" s="5774"/>
      <c r="CF134" s="5774"/>
      <c r="CG134" s="5774"/>
      <c r="CH134" s="5774"/>
      <c r="CI134" s="5774"/>
      <c r="CJ134" s="5774"/>
      <c r="CK134" s="5774"/>
      <c r="CL134" s="5774"/>
      <c r="CM134" s="5774"/>
      <c r="CN134" s="5774"/>
      <c r="CO134" s="5774"/>
      <c r="CP134" s="5774"/>
      <c r="CQ134" s="5774"/>
      <c r="CR134" s="5774"/>
      <c r="CS134" s="5774"/>
      <c r="CT134" s="5774"/>
      <c r="CU134" s="5774"/>
      <c r="CV134" s="5774"/>
      <c r="CW134" s="5774"/>
      <c r="CX134" s="5774"/>
      <c r="CY134" s="5774"/>
      <c r="CZ134" s="5774"/>
      <c r="DA134" s="5774"/>
      <c r="DB134" s="5774"/>
      <c r="DC134" s="5774"/>
      <c r="DD134" s="5774"/>
      <c r="DE134" s="5775"/>
    </row>
    <row r="135" spans="1:109" ht="12.75" customHeight="1" thickBot="1" x14ac:dyDescent="0.25">
      <c r="A135" s="302">
        <v>135</v>
      </c>
      <c r="B135" s="5720"/>
      <c r="F135" s="5776" t="s">
        <v>7034</v>
      </c>
      <c r="G135" s="5777"/>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20"/>
      <c r="C136" s="5735" t="s">
        <v>7019</v>
      </c>
      <c r="D136" s="5737"/>
      <c r="F136" s="1310" t="str">
        <f>IF(ISNA(HLOOKUP($I$136&amp;$A1,$H$139:$DE$140,2,FALSE))," ",HLOOKUP($I$136&amp;$A1,$H$139:$DE$140,2,FALSE))</f>
        <v xml:space="preserve"> </v>
      </c>
      <c r="G136" s="1311"/>
      <c r="H136" s="1245" t="s">
        <v>7033</v>
      </c>
      <c r="I136" s="5761" t="str">
        <f>IF(Region="","",Region)</f>
        <v/>
      </c>
      <c r="J136" s="5762"/>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20"/>
      <c r="C137" s="5738"/>
      <c r="D137" s="5740"/>
      <c r="F137" s="1310" t="str">
        <f>IF(ISNA(HLOOKUP($I$136&amp;$A2,$H$139:$DE$140,2,FALSE))," ",HLOOKUP($I$136&amp;$A2,$H$139:$DE$140,2,FALSE))</f>
        <v xml:space="preserve"> </v>
      </c>
      <c r="G137" s="1311"/>
      <c r="H137" s="1314" t="s">
        <v>1636</v>
      </c>
      <c r="I137" s="5857" t="str">
        <f>IF(ClaseSocial="","",ClaseSocial)</f>
        <v/>
      </c>
      <c r="J137" s="5858"/>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20"/>
      <c r="C138" s="731" t="s">
        <v>7027</v>
      </c>
      <c r="D138" s="728"/>
      <c r="F138" s="1310" t="str">
        <f>IF(ISNA(HLOOKUP($I$136&amp;$A3,$H$139:$DE$140,2,FALSE))," ",HLOOKUP($I$136&amp;$A3,$H$139:$DE$140,2,FALSE))</f>
        <v xml:space="preserve"> </v>
      </c>
      <c r="G138" s="1311"/>
      <c r="H138" s="5771" t="s">
        <v>6971</v>
      </c>
      <c r="I138" s="5771"/>
      <c r="J138" s="5771"/>
      <c r="K138" s="5771" t="s">
        <v>6972</v>
      </c>
      <c r="L138" s="5771"/>
      <c r="M138" s="5771" t="s">
        <v>6973</v>
      </c>
      <c r="N138" s="5771"/>
      <c r="O138" s="5771"/>
      <c r="P138" s="5771" t="s">
        <v>6974</v>
      </c>
      <c r="Q138" s="5771"/>
      <c r="R138" s="5771" t="s">
        <v>6975</v>
      </c>
      <c r="S138" s="5771"/>
      <c r="T138" s="1231" t="s">
        <v>6976</v>
      </c>
      <c r="U138" s="5771" t="s">
        <v>6977</v>
      </c>
      <c r="V138" s="5771"/>
      <c r="W138" s="5763" t="s">
        <v>6978</v>
      </c>
      <c r="X138" s="5764"/>
      <c r="Y138" s="5836" t="s">
        <v>6979</v>
      </c>
      <c r="Z138" s="5837"/>
      <c r="AA138" s="5838"/>
      <c r="AB138" s="5836" t="s">
        <v>6980</v>
      </c>
      <c r="AC138" s="5838"/>
      <c r="AD138" s="5836" t="s">
        <v>6981</v>
      </c>
      <c r="AE138" s="5838"/>
      <c r="AF138" s="5836" t="s">
        <v>6982</v>
      </c>
      <c r="AG138" s="5837"/>
      <c r="AH138" s="5838"/>
      <c r="AI138" s="5836" t="s">
        <v>6983</v>
      </c>
      <c r="AJ138" s="5837"/>
      <c r="AK138" s="5838"/>
      <c r="AL138" s="5836" t="s">
        <v>6984</v>
      </c>
      <c r="AM138" s="5837"/>
      <c r="AN138" s="5837"/>
      <c r="AO138" s="5838"/>
      <c r="AP138" s="5763" t="s">
        <v>6985</v>
      </c>
      <c r="AQ138" s="5765"/>
      <c r="AR138" s="5764"/>
      <c r="AS138" s="5763" t="s">
        <v>6986</v>
      </c>
      <c r="AT138" s="5764"/>
      <c r="AU138" s="5763" t="s">
        <v>6987</v>
      </c>
      <c r="AV138" s="5765"/>
      <c r="AW138" s="5764"/>
      <c r="AX138" s="5763" t="s">
        <v>6988</v>
      </c>
      <c r="AY138" s="5764"/>
      <c r="AZ138" s="5763" t="s">
        <v>6989</v>
      </c>
      <c r="BA138" s="5764"/>
      <c r="BB138" s="5763" t="s">
        <v>6990</v>
      </c>
      <c r="BC138" s="5764"/>
      <c r="BD138" s="5763" t="s">
        <v>6991</v>
      </c>
      <c r="BE138" s="5764"/>
      <c r="BF138" s="5763" t="s">
        <v>6992</v>
      </c>
      <c r="BG138" s="5764"/>
      <c r="BH138" s="1231" t="s">
        <v>6993</v>
      </c>
      <c r="BI138" s="5763" t="s">
        <v>6954</v>
      </c>
      <c r="BJ138" s="5764"/>
      <c r="BK138" s="1041" t="s">
        <v>6955</v>
      </c>
      <c r="BL138" s="1042"/>
      <c r="BM138" s="1231" t="s">
        <v>6956</v>
      </c>
      <c r="BN138" s="5763" t="s">
        <v>6957</v>
      </c>
      <c r="BO138" s="5764"/>
      <c r="BP138" s="5763" t="s">
        <v>6994</v>
      </c>
      <c r="BQ138" s="5765"/>
      <c r="BR138" s="5764"/>
      <c r="BS138" s="5763" t="s">
        <v>6995</v>
      </c>
      <c r="BT138" s="5764"/>
      <c r="BU138" s="5763" t="s">
        <v>6958</v>
      </c>
      <c r="BV138" s="5765"/>
      <c r="BW138" s="5765"/>
      <c r="BX138" s="5764"/>
      <c r="BY138" s="5763" t="s">
        <v>6959</v>
      </c>
      <c r="BZ138" s="5765"/>
      <c r="CA138" s="5764"/>
      <c r="CB138" s="5763" t="s">
        <v>6960</v>
      </c>
      <c r="CC138" s="5765"/>
      <c r="CD138" s="5764"/>
      <c r="CE138" s="5763" t="s">
        <v>6961</v>
      </c>
      <c r="CF138" s="5764"/>
      <c r="CG138" s="5763" t="s">
        <v>6962</v>
      </c>
      <c r="CH138" s="5765"/>
      <c r="CI138" s="5764"/>
      <c r="CJ138" s="5763" t="s">
        <v>9162</v>
      </c>
      <c r="CK138" s="5765"/>
      <c r="CL138" s="5765"/>
      <c r="CM138" s="5764"/>
      <c r="CN138" s="5763" t="s">
        <v>6963</v>
      </c>
      <c r="CO138" s="5764"/>
      <c r="CP138" s="5763" t="s">
        <v>6964</v>
      </c>
      <c r="CQ138" s="5764"/>
      <c r="CR138" s="5763" t="s">
        <v>6965</v>
      </c>
      <c r="CS138" s="5765"/>
      <c r="CT138" s="5764"/>
      <c r="CU138" s="5763" t="s">
        <v>6966</v>
      </c>
      <c r="CV138" s="5764"/>
      <c r="CW138" s="5763" t="s">
        <v>6967</v>
      </c>
      <c r="CX138" s="5765"/>
      <c r="CY138" s="5764"/>
      <c r="CZ138" s="741" t="s">
        <v>6968</v>
      </c>
      <c r="DA138" s="5763" t="s">
        <v>6969</v>
      </c>
      <c r="DB138" s="5765"/>
      <c r="DC138" s="5764"/>
      <c r="DD138" s="5763" t="s">
        <v>6970</v>
      </c>
      <c r="DE138" s="5778"/>
    </row>
    <row r="139" spans="1:109" ht="12.75" customHeight="1" x14ac:dyDescent="0.2">
      <c r="A139" s="302">
        <v>139</v>
      </c>
      <c r="B139" s="5720"/>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20"/>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720"/>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20"/>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20"/>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20"/>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20"/>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20"/>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20"/>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20"/>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20"/>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20"/>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20"/>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20"/>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20"/>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20"/>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20"/>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20"/>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20"/>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20"/>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20"/>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20"/>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20"/>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20"/>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20"/>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720"/>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20"/>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20"/>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20"/>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20"/>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720"/>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20"/>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20"/>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20"/>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20"/>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20"/>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20"/>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20"/>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20"/>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20"/>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20"/>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20"/>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20"/>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20"/>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20"/>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20"/>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20"/>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20"/>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20"/>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20"/>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20"/>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20"/>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20"/>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20"/>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20"/>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720"/>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720"/>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20"/>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20"/>
      <c r="H197" s="222"/>
      <c r="N197" s="222"/>
    </row>
    <row r="198" spans="1:109" ht="12.75" customHeight="1" thickBot="1" x14ac:dyDescent="0.25">
      <c r="A198" s="302">
        <v>198</v>
      </c>
      <c r="B198" s="5720"/>
      <c r="C198" s="5952" t="s">
        <v>2340</v>
      </c>
      <c r="D198" s="5952"/>
      <c r="E198" s="5952"/>
      <c r="F198" s="5952"/>
      <c r="G198" s="5952"/>
      <c r="H198" s="5952"/>
      <c r="I198" s="5952"/>
      <c r="J198" s="5952"/>
      <c r="K198" s="5952"/>
      <c r="L198" s="5952"/>
      <c r="M198" s="5952"/>
      <c r="N198" s="5952"/>
      <c r="O198" s="5952"/>
      <c r="P198" s="5952"/>
      <c r="Q198" s="5952"/>
      <c r="R198" s="5952"/>
      <c r="S198" s="5952"/>
      <c r="T198" s="5952"/>
      <c r="U198" s="5952"/>
      <c r="V198" s="5952"/>
      <c r="W198" s="5952"/>
      <c r="X198" s="5952"/>
      <c r="Y198" s="5952"/>
      <c r="Z198" s="5952"/>
      <c r="AA198" s="5952"/>
      <c r="AB198" s="5952"/>
      <c r="AC198" s="5952"/>
      <c r="AD198" s="5952"/>
      <c r="AE198" s="5952"/>
      <c r="AF198" s="5952"/>
      <c r="AG198" s="5952"/>
      <c r="AH198" s="5952"/>
      <c r="AI198" s="5952"/>
      <c r="AJ198" s="5952"/>
      <c r="AK198" s="5952"/>
      <c r="AL198" s="5952"/>
      <c r="AM198" s="5952"/>
      <c r="AN198" s="5952"/>
      <c r="AO198" s="5952"/>
      <c r="AP198" s="5952"/>
      <c r="AQ198" s="5952"/>
      <c r="AR198" s="5952"/>
      <c r="AS198" s="5952"/>
      <c r="AT198" s="5952"/>
      <c r="AU198" s="5952"/>
      <c r="AV198" s="5952"/>
      <c r="AW198" s="5952"/>
      <c r="AX198" s="5952"/>
      <c r="AY198" s="5952"/>
      <c r="AZ198" s="5952"/>
      <c r="BA198" s="5952"/>
      <c r="BB198" s="5952"/>
      <c r="BC198" s="5952"/>
      <c r="BD198" s="5952"/>
      <c r="BE198" s="5952"/>
      <c r="BF198" s="5952"/>
      <c r="BG198" s="5952"/>
      <c r="BH198" s="5952"/>
      <c r="BI198" s="5952"/>
      <c r="BJ198" s="5952"/>
      <c r="BK198" s="5952"/>
      <c r="BL198" s="5952"/>
      <c r="BM198" s="5952"/>
      <c r="BN198" s="5952"/>
      <c r="BO198" s="5952"/>
      <c r="BP198" s="5952"/>
      <c r="BQ198" s="5952"/>
      <c r="BR198" s="5952"/>
      <c r="BS198" s="5952"/>
      <c r="BT198" s="5952"/>
      <c r="BU198" s="5952"/>
      <c r="BV198" s="5952"/>
      <c r="BW198" s="5952"/>
      <c r="BX198" s="5952"/>
      <c r="BY198" s="5952"/>
      <c r="BZ198" s="5952"/>
      <c r="CA198" s="5952"/>
      <c r="CB198" s="5952"/>
      <c r="CC198" s="5952"/>
      <c r="CD198" s="5952"/>
      <c r="CE198" s="5952"/>
      <c r="CF198" s="5952"/>
      <c r="CG198" s="5952"/>
      <c r="CH198" s="5952"/>
      <c r="CI198" s="5952"/>
    </row>
    <row r="199" spans="1:109" ht="12.75" customHeight="1" x14ac:dyDescent="0.2">
      <c r="A199" s="302">
        <v>199</v>
      </c>
      <c r="B199" s="5720"/>
      <c r="C199" s="5952"/>
      <c r="D199" s="5952"/>
      <c r="E199" s="5952"/>
      <c r="F199" s="5952"/>
      <c r="G199" s="5952"/>
      <c r="H199" s="5952"/>
      <c r="I199" s="5952"/>
      <c r="J199" s="5952"/>
      <c r="K199" s="5952"/>
      <c r="L199" s="5952"/>
      <c r="M199" s="5952"/>
      <c r="N199" s="5952"/>
      <c r="O199" s="5952"/>
      <c r="P199" s="5952"/>
      <c r="Q199" s="5952"/>
      <c r="R199" s="5952"/>
      <c r="S199" s="5952"/>
      <c r="T199" s="5952"/>
      <c r="U199" s="5952"/>
      <c r="V199" s="5952"/>
      <c r="W199" s="5952"/>
      <c r="X199" s="5952"/>
      <c r="Y199" s="5952"/>
      <c r="Z199" s="5952"/>
      <c r="AA199" s="5952"/>
      <c r="AB199" s="5952"/>
      <c r="AC199" s="5952"/>
      <c r="AD199" s="5952"/>
      <c r="AE199" s="5952"/>
      <c r="AF199" s="5952"/>
      <c r="AG199" s="5952"/>
      <c r="AH199" s="5952"/>
      <c r="AI199" s="5952"/>
      <c r="AJ199" s="5952"/>
      <c r="AK199" s="5952"/>
      <c r="AL199" s="5952"/>
      <c r="AM199" s="5952"/>
      <c r="AN199" s="5952"/>
      <c r="AO199" s="5952"/>
      <c r="AP199" s="5952"/>
      <c r="AQ199" s="5952"/>
      <c r="AR199" s="5952"/>
      <c r="AS199" s="5952"/>
      <c r="AT199" s="5952"/>
      <c r="AU199" s="5952"/>
      <c r="AV199" s="5952"/>
      <c r="AW199" s="5952"/>
      <c r="AX199" s="5952"/>
      <c r="AY199" s="5952"/>
      <c r="AZ199" s="5952"/>
      <c r="BA199" s="5952"/>
      <c r="BB199" s="5952"/>
      <c r="BC199" s="5952"/>
      <c r="BD199" s="5952"/>
      <c r="BE199" s="5952"/>
      <c r="BF199" s="5952"/>
      <c r="BG199" s="5952"/>
      <c r="BH199" s="5952"/>
      <c r="BI199" s="5952"/>
      <c r="BJ199" s="5952"/>
      <c r="BK199" s="5952"/>
      <c r="BL199" s="5952"/>
      <c r="BM199" s="5952"/>
      <c r="BN199" s="5952"/>
      <c r="BO199" s="5952"/>
      <c r="BP199" s="5952"/>
      <c r="BQ199" s="5952"/>
      <c r="BR199" s="5952"/>
      <c r="BS199" s="5952"/>
      <c r="BT199" s="5952"/>
      <c r="BU199" s="5952"/>
      <c r="BV199" s="5952"/>
      <c r="BW199" s="5952"/>
      <c r="BX199" s="5952"/>
      <c r="BY199" s="5952"/>
      <c r="BZ199" s="5952"/>
      <c r="CA199" s="5952"/>
      <c r="CB199" s="5952"/>
      <c r="CC199" s="5952"/>
      <c r="CD199" s="5952"/>
      <c r="CE199" s="5952"/>
      <c r="CF199" s="5952"/>
      <c r="CG199" s="5952"/>
      <c r="CH199" s="5952"/>
      <c r="CI199" s="5952"/>
    </row>
    <row r="200" spans="1:109" ht="12.75" customHeight="1" x14ac:dyDescent="0.2">
      <c r="A200" s="302">
        <v>200</v>
      </c>
      <c r="B200" s="5720"/>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20"/>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20"/>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720"/>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720"/>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720"/>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720"/>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720"/>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720"/>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720"/>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720"/>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720"/>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20"/>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720"/>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720"/>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720"/>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720"/>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720"/>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720"/>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720"/>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720"/>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720"/>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720"/>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720"/>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720"/>
      <c r="C224" s="1190"/>
      <c r="D224" s="5772"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20"/>
      <c r="D225" s="5773"/>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20"/>
    </row>
    <row r="227" spans="1:83" ht="12.75" customHeight="1" x14ac:dyDescent="0.2">
      <c r="A227" s="302">
        <v>227</v>
      </c>
      <c r="B227" s="5720"/>
    </row>
    <row r="228" spans="1:83" ht="12.75" customHeight="1" x14ac:dyDescent="0.2">
      <c r="A228" s="302">
        <v>228</v>
      </c>
      <c r="B228" s="5720"/>
      <c r="C228" s="5719" t="s">
        <v>8112</v>
      </c>
      <c r="D228" s="5719"/>
      <c r="E228" s="5719"/>
      <c r="F228" s="5719"/>
      <c r="G228" s="5719"/>
      <c r="H228" s="5719"/>
      <c r="I228" s="5719"/>
      <c r="J228" s="5719"/>
      <c r="K228" s="5719"/>
      <c r="L228" s="5719"/>
      <c r="M228" s="5719"/>
      <c r="N228" s="5719"/>
      <c r="O228" s="5719"/>
      <c r="P228" s="5719"/>
      <c r="Q228" s="5719"/>
      <c r="R228" s="5719"/>
      <c r="S228" s="5719"/>
      <c r="T228" s="5719"/>
      <c r="U228" s="5719"/>
      <c r="V228" s="5719"/>
      <c r="W228" s="5719"/>
      <c r="X228" s="5719"/>
      <c r="Y228" s="5719"/>
      <c r="Z228" s="5719"/>
    </row>
    <row r="229" spans="1:83" ht="12.75" customHeight="1" x14ac:dyDescent="0.2">
      <c r="A229" s="302">
        <v>229</v>
      </c>
      <c r="B229" s="5720"/>
      <c r="C229" s="5719"/>
      <c r="D229" s="5719"/>
      <c r="E229" s="5719"/>
      <c r="F229" s="5719"/>
      <c r="G229" s="5719"/>
      <c r="H229" s="5719"/>
      <c r="I229" s="5719"/>
      <c r="J229" s="5719"/>
      <c r="K229" s="5719"/>
      <c r="L229" s="5719"/>
      <c r="M229" s="5719"/>
      <c r="N229" s="5719"/>
      <c r="O229" s="5719"/>
      <c r="P229" s="5719"/>
      <c r="Q229" s="5719"/>
      <c r="R229" s="5719"/>
      <c r="S229" s="5719"/>
      <c r="T229" s="5719"/>
      <c r="U229" s="5719"/>
      <c r="V229" s="5719"/>
      <c r="W229" s="5719"/>
      <c r="X229" s="5719"/>
      <c r="Y229" s="5719"/>
      <c r="Z229" s="5719"/>
    </row>
    <row r="230" spans="1:83" ht="12.75" customHeight="1" x14ac:dyDescent="0.2">
      <c r="A230" s="302">
        <v>230</v>
      </c>
      <c r="B230" s="5720"/>
      <c r="C230" s="5719"/>
      <c r="D230" s="5719"/>
      <c r="E230" s="5719"/>
      <c r="F230" s="5719"/>
      <c r="G230" s="5719"/>
      <c r="H230" s="5719"/>
      <c r="I230" s="5719"/>
      <c r="J230" s="5719"/>
      <c r="K230" s="5719"/>
      <c r="L230" s="5719"/>
      <c r="M230" s="5719"/>
      <c r="N230" s="5719"/>
      <c r="O230" s="5719"/>
      <c r="P230" s="5719"/>
      <c r="Q230" s="5719"/>
      <c r="R230" s="5719"/>
      <c r="S230" s="5719"/>
      <c r="T230" s="5719"/>
      <c r="U230" s="5719"/>
      <c r="V230" s="5719"/>
      <c r="W230" s="5719"/>
      <c r="X230" s="5719"/>
      <c r="Y230" s="5719"/>
      <c r="Z230" s="5719"/>
    </row>
    <row r="231" spans="1:83" ht="12.75" customHeight="1" thickBot="1" x14ac:dyDescent="0.25">
      <c r="A231" s="302">
        <v>231</v>
      </c>
      <c r="B231" s="5720"/>
      <c r="H231" s="222"/>
      <c r="I231" s="1227"/>
      <c r="N231" s="222"/>
      <c r="O231" s="1227"/>
    </row>
    <row r="232" spans="1:83" ht="12.75" customHeight="1" x14ac:dyDescent="0.2">
      <c r="A232" s="302">
        <v>232</v>
      </c>
      <c r="B232" s="5720"/>
      <c r="C232" s="5768" t="s">
        <v>2566</v>
      </c>
      <c r="D232" s="5769"/>
      <c r="E232" s="5769"/>
      <c r="F232" s="5769"/>
      <c r="G232" s="5769"/>
      <c r="H232" s="5770"/>
      <c r="I232" s="1227"/>
      <c r="L232" s="5738" t="s">
        <v>2847</v>
      </c>
      <c r="M232" s="5739"/>
      <c r="N232" s="5739"/>
      <c r="O232" s="5739"/>
      <c r="P232" s="5739"/>
      <c r="Q232" s="5739"/>
      <c r="R232" s="5739"/>
      <c r="S232" s="5739"/>
      <c r="T232" s="5739"/>
    </row>
    <row r="233" spans="1:83" ht="12.75" customHeight="1" x14ac:dyDescent="0.2">
      <c r="A233" s="302">
        <v>233</v>
      </c>
      <c r="B233" s="5720"/>
      <c r="C233" s="1142" t="s">
        <v>1622</v>
      </c>
      <c r="D233" s="1143" t="s">
        <v>3204</v>
      </c>
      <c r="E233" s="1143" t="s">
        <v>7260</v>
      </c>
      <c r="F233" s="1143" t="s">
        <v>7259</v>
      </c>
      <c r="G233" s="1143" t="s">
        <v>1637</v>
      </c>
      <c r="H233" s="1144" t="s">
        <v>7949</v>
      </c>
      <c r="I233" s="1227"/>
      <c r="L233" s="5738"/>
      <c r="M233" s="5739"/>
      <c r="N233" s="5739"/>
      <c r="O233" s="5739"/>
      <c r="P233" s="5739"/>
      <c r="Q233" s="5739"/>
      <c r="R233" s="5739"/>
      <c r="S233" s="5739"/>
      <c r="T233" s="5739"/>
    </row>
    <row r="234" spans="1:83" ht="12.75" customHeight="1" thickBot="1" x14ac:dyDescent="0.25">
      <c r="A234" s="302">
        <v>234</v>
      </c>
      <c r="B234" s="5720"/>
      <c r="C234" s="1146">
        <f>D234+E234+F234+G234+H234</f>
        <v>1</v>
      </c>
      <c r="D234" s="1147">
        <f>SUM($H$256:H397)+SUM(H491:H535)</f>
        <v>0</v>
      </c>
      <c r="E234" s="1147">
        <f>E236+F236</f>
        <v>0</v>
      </c>
      <c r="F234" s="1147">
        <f>SUM(H551:H557)+SUM(H469:H490)</f>
        <v>0</v>
      </c>
      <c r="G234" s="1147">
        <f>H250</f>
        <v>0</v>
      </c>
      <c r="H234" s="1148">
        <f>Q262</f>
        <v>1</v>
      </c>
      <c r="I234" s="726"/>
      <c r="L234" s="1590"/>
      <c r="M234" s="1583"/>
      <c r="N234" s="1583" t="s">
        <v>1714</v>
      </c>
      <c r="O234" s="1583" t="s">
        <v>1764</v>
      </c>
      <c r="P234" s="1583" t="s">
        <v>2568</v>
      </c>
      <c r="Q234" s="1583" t="s">
        <v>2569</v>
      </c>
      <c r="R234" s="5875" t="s">
        <v>1824</v>
      </c>
      <c r="S234" s="5876"/>
      <c r="T234" s="226" t="s">
        <v>9220</v>
      </c>
    </row>
    <row r="235" spans="1:83" ht="12.75" customHeight="1" thickBot="1" x14ac:dyDescent="0.25">
      <c r="A235" s="302">
        <v>235</v>
      </c>
      <c r="B235" s="5720"/>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720"/>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1</v>
      </c>
      <c r="Q236" s="287">
        <f t="shared" ref="Q236:Q261" si="26">P236*O236</f>
        <v>1</v>
      </c>
      <c r="R236" s="1015" t="s">
        <v>9195</v>
      </c>
      <c r="S236" s="1572"/>
      <c r="T236" s="1597" t="str">
        <f>IF(P236=0,"",R236)</f>
        <v>, Afinidad Elemental (Fuego), Empatía Elemental (Fuego)</v>
      </c>
    </row>
    <row r="237" spans="1:83" ht="12.75" customHeight="1" thickBot="1" x14ac:dyDescent="0.25">
      <c r="A237" s="302">
        <v>237</v>
      </c>
      <c r="B237" s="5720"/>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720"/>
      <c r="C238" s="5897" t="s">
        <v>2567</v>
      </c>
      <c r="D238" s="5897"/>
      <c r="E238" s="5897"/>
      <c r="F238" s="5897"/>
      <c r="G238" s="5897"/>
      <c r="H238" s="5897"/>
      <c r="I238" s="5897"/>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720"/>
      <c r="C239" s="5897"/>
      <c r="D239" s="5897"/>
      <c r="E239" s="5897"/>
      <c r="F239" s="5897"/>
      <c r="G239" s="5897"/>
      <c r="H239" s="5897"/>
      <c r="I239" s="5897"/>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720"/>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720"/>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720"/>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720"/>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720"/>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720"/>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720"/>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720"/>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720"/>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720"/>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720"/>
      <c r="H250" s="5954">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720"/>
      <c r="H251" s="5954"/>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720"/>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720"/>
      <c r="C253" s="5741" t="s">
        <v>2570</v>
      </c>
      <c r="D253" s="5742"/>
      <c r="E253" s="5742"/>
      <c r="F253" s="5742"/>
      <c r="G253" s="5742"/>
      <c r="H253" s="5742"/>
      <c r="I253" s="5742"/>
      <c r="J253" s="5743"/>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720"/>
      <c r="C254" s="5744"/>
      <c r="D254" s="5739"/>
      <c r="E254" s="5739"/>
      <c r="F254" s="5739"/>
      <c r="G254" s="5739"/>
      <c r="H254" s="5739"/>
      <c r="I254" s="5739"/>
      <c r="J254" s="5745"/>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720"/>
      <c r="C255" s="5966" t="s">
        <v>7057</v>
      </c>
      <c r="D255" s="5967"/>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720"/>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720"/>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720"/>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720"/>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720"/>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720"/>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720"/>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953">
        <f>SUM(Q236:Q261)</f>
        <v>1</v>
      </c>
      <c r="R262" s="1600" t="str">
        <f>MID(T236&amp;T237&amp;T238&amp;T239&amp;T240&amp;T241&amp;T242&amp;T243&amp;T244&amp;T245&amp;T246&amp;T247&amp;T248&amp;T249&amp;T250&amp;T251&amp;T252&amp;T253&amp;T254&amp;T255&amp;T256&amp;T257&amp;T258&amp;T259&amp;T260&amp;T261,3,20000)</f>
        <v>Afinidad Elemental (Fuego), Empatía Elemental (Fuego)</v>
      </c>
      <c r="S262" s="1598"/>
      <c r="T262" s="1599"/>
      <c r="U262" s="297"/>
      <c r="V262" s="298"/>
      <c r="W262" s="279"/>
      <c r="X262" s="998"/>
    </row>
    <row r="263" spans="1:26" ht="12.75" customHeight="1" thickBot="1" x14ac:dyDescent="0.25">
      <c r="A263" s="302">
        <v>263</v>
      </c>
      <c r="B263" s="5720"/>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954"/>
      <c r="X263" s="983"/>
    </row>
    <row r="264" spans="1:26" ht="12.75" customHeight="1" thickBot="1" x14ac:dyDescent="0.25">
      <c r="A264" s="302">
        <v>264</v>
      </c>
      <c r="B264" s="5720"/>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720"/>
      <c r="C265" s="2770" t="str">
        <f t="shared" si="30"/>
        <v>Afinidad animal</v>
      </c>
      <c r="D265" s="1150">
        <f t="shared" si="31"/>
        <v>6</v>
      </c>
      <c r="E265" s="1226" t="s">
        <v>2580</v>
      </c>
      <c r="F265" s="2772">
        <v>1</v>
      </c>
      <c r="G265" s="2766">
        <f>COUNTIF(Principal!$C$35:$J$53,Tablas!E265)</f>
        <v>0</v>
      </c>
      <c r="H265" s="2767">
        <f t="shared" si="29"/>
        <v>0</v>
      </c>
      <c r="I265" s="1155"/>
      <c r="J265" s="2771" t="s">
        <v>3204</v>
      </c>
      <c r="L265" s="5735" t="s">
        <v>2813</v>
      </c>
      <c r="M265" s="5736"/>
      <c r="N265" s="5736"/>
      <c r="O265" s="5736"/>
      <c r="P265" s="5736"/>
      <c r="Q265" s="5736"/>
      <c r="R265" s="5736"/>
      <c r="S265" s="5736"/>
      <c r="T265" s="5736"/>
      <c r="U265" s="5736"/>
      <c r="V265" s="5736"/>
      <c r="W265" s="5736"/>
      <c r="X265" s="5736"/>
      <c r="Y265" s="5736"/>
      <c r="Z265" s="5737"/>
    </row>
    <row r="266" spans="1:26" ht="12.75" customHeight="1" x14ac:dyDescent="0.2">
      <c r="A266" s="302">
        <v>266</v>
      </c>
      <c r="B266" s="5720"/>
      <c r="C266" s="2770" t="str">
        <f t="shared" si="30"/>
        <v>Afinidad de uso</v>
      </c>
      <c r="D266" s="1150">
        <f t="shared" si="31"/>
        <v>7</v>
      </c>
      <c r="E266" s="69" t="s">
        <v>2581</v>
      </c>
      <c r="F266" s="2772">
        <v>2</v>
      </c>
      <c r="G266" s="2766">
        <f>COUNTIF(Principal!$C$35:$J$53,Tablas!E266)</f>
        <v>0</v>
      </c>
      <c r="H266" s="2767">
        <f t="shared" si="29"/>
        <v>0</v>
      </c>
      <c r="I266" s="1155"/>
      <c r="J266" s="2771" t="s">
        <v>3204</v>
      </c>
      <c r="L266" s="5738"/>
      <c r="M266" s="5739"/>
      <c r="N266" s="5739"/>
      <c r="O266" s="5739"/>
      <c r="P266" s="5739"/>
      <c r="Q266" s="5739"/>
      <c r="R266" s="5739"/>
      <c r="S266" s="5739"/>
      <c r="T266" s="5739"/>
      <c r="U266" s="5739"/>
      <c r="V266" s="5739"/>
      <c r="W266" s="5739"/>
      <c r="X266" s="5739"/>
      <c r="Y266" s="5739"/>
      <c r="Z266" s="5740"/>
    </row>
    <row r="267" spans="1:26" ht="12.75" customHeight="1" x14ac:dyDescent="0.2">
      <c r="A267" s="302">
        <v>267</v>
      </c>
      <c r="B267" s="5720"/>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849" t="s">
        <v>1805</v>
      </c>
      <c r="O267" s="5849"/>
      <c r="P267" s="5850" t="s">
        <v>1807</v>
      </c>
      <c r="Q267" s="5850"/>
      <c r="R267" s="5850" t="s">
        <v>1809</v>
      </c>
      <c r="S267" s="5850"/>
      <c r="T267" s="5850" t="s">
        <v>1806</v>
      </c>
      <c r="U267" s="5850"/>
      <c r="V267" s="5850" t="s">
        <v>1808</v>
      </c>
      <c r="W267" s="5850"/>
      <c r="X267" s="5955" t="s">
        <v>1810</v>
      </c>
      <c r="Y267" s="5956"/>
      <c r="Z267" s="5754" t="s">
        <v>7859</v>
      </c>
    </row>
    <row r="268" spans="1:26" ht="13.5" customHeight="1" thickBot="1" x14ac:dyDescent="0.25">
      <c r="A268" s="302">
        <v>268</v>
      </c>
      <c r="B268" s="5720"/>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5755"/>
    </row>
    <row r="269" spans="1:26" ht="12.75" customHeight="1" x14ac:dyDescent="0.2">
      <c r="A269" s="302">
        <v>269</v>
      </c>
      <c r="B269" s="5720"/>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20"/>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20"/>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20"/>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20"/>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20"/>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20"/>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20"/>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20"/>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20"/>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20"/>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20"/>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20"/>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20"/>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20"/>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20"/>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20"/>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20"/>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20"/>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20"/>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20"/>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20"/>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20"/>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20"/>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20"/>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20"/>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20"/>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20"/>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20"/>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20"/>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20"/>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20"/>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20"/>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20"/>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20"/>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20"/>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20"/>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20"/>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20"/>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20"/>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20"/>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20"/>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20"/>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20"/>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20"/>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20"/>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20"/>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20"/>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20"/>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20"/>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20"/>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20"/>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20"/>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20"/>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20"/>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20"/>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20"/>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720"/>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720"/>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720"/>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720"/>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720"/>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720"/>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720"/>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720"/>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720"/>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720"/>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720"/>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720"/>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720"/>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720"/>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720"/>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720"/>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720"/>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720"/>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720"/>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720"/>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720"/>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720"/>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720"/>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720"/>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720"/>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720"/>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720"/>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720"/>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720"/>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720"/>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720"/>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720"/>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720"/>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720"/>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720"/>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720"/>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720"/>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720"/>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720"/>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720"/>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720"/>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720"/>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720"/>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720"/>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720"/>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720"/>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720"/>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720"/>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720"/>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720"/>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720"/>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720"/>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720"/>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720"/>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720"/>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720"/>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720"/>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720"/>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720"/>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720"/>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720"/>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720"/>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720"/>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720"/>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720"/>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720"/>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720"/>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720"/>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720"/>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IF(Personalización!C11&lt;&gt;"",MAX(Tablas!$K$393:K393)+1,0)</f>
        <v>0</v>
      </c>
      <c r="N394" s="222"/>
    </row>
    <row r="395" spans="1:14" ht="12.75" customHeight="1" x14ac:dyDescent="0.2">
      <c r="A395" s="302">
        <v>395</v>
      </c>
      <c r="B395" s="5720"/>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IF(Personalización!C12&lt;&gt;"",MAX(Tablas!$K$393:K394)+1,0)</f>
        <v>0</v>
      </c>
      <c r="N395" s="222"/>
    </row>
    <row r="396" spans="1:14" ht="12.75" customHeight="1" x14ac:dyDescent="0.2">
      <c r="A396" s="302">
        <v>396</v>
      </c>
      <c r="B396" s="5720"/>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IF(Personalización!C13&lt;&gt;"",MAX(Tablas!$K$393:K395)+1,0)</f>
        <v>0</v>
      </c>
      <c r="N396" s="222"/>
    </row>
    <row r="397" spans="1:14" ht="12.75" customHeight="1" x14ac:dyDescent="0.2">
      <c r="A397" s="302">
        <v>397</v>
      </c>
      <c r="B397" s="5720"/>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IF(Personalización!C14&lt;&gt;"",MAX(Tablas!$K$393:K396)+1,0)</f>
        <v>0</v>
      </c>
      <c r="N397" s="222"/>
    </row>
    <row r="398" spans="1:14" ht="12.75" customHeight="1" x14ac:dyDescent="0.2">
      <c r="A398" s="302">
        <v>398</v>
      </c>
      <c r="B398" s="5720"/>
      <c r="C398" s="2775"/>
      <c r="D398" s="1151"/>
      <c r="E398" s="2776" t="s">
        <v>2652</v>
      </c>
      <c r="F398" s="972"/>
      <c r="G398" s="972"/>
      <c r="H398" s="1154"/>
      <c r="I398" s="2768"/>
      <c r="J398" s="2769" t="s">
        <v>2588</v>
      </c>
      <c r="N398" s="222"/>
    </row>
    <row r="399" spans="1:14" ht="12.75" customHeight="1" x14ac:dyDescent="0.2">
      <c r="A399" s="302">
        <v>399</v>
      </c>
      <c r="B399" s="5720"/>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720"/>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720"/>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720"/>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720"/>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720"/>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720"/>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720"/>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720"/>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720"/>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720"/>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720"/>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720"/>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720"/>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720"/>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720"/>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720"/>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720"/>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720"/>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720"/>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720"/>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720"/>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720"/>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720"/>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720"/>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720"/>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720"/>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720"/>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720"/>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720"/>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720"/>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720"/>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720"/>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720"/>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720"/>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720"/>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720"/>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720"/>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720"/>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720"/>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720"/>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720"/>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720"/>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720"/>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720"/>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720"/>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720"/>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720"/>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720"/>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720"/>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720"/>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720"/>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720"/>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720"/>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720"/>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720"/>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720"/>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720"/>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720"/>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720"/>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720"/>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720"/>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720"/>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720"/>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720"/>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720"/>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720"/>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720"/>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720"/>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720"/>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720"/>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720"/>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720"/>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720"/>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720"/>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720"/>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720"/>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720"/>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720"/>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720"/>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720"/>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720"/>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720"/>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720"/>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720"/>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720"/>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720"/>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720"/>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720"/>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720"/>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720"/>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720"/>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720"/>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720"/>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720"/>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720"/>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720"/>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720"/>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720"/>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720"/>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720"/>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720"/>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720"/>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720"/>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720"/>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720"/>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720"/>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720"/>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720"/>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720"/>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720"/>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720"/>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720"/>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720"/>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720"/>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720"/>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720"/>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720"/>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720"/>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720"/>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720"/>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720"/>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720"/>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720"/>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720"/>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720"/>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720"/>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720"/>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720"/>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720"/>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720"/>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720"/>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720"/>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720"/>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720"/>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720"/>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720"/>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720"/>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720"/>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720"/>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720"/>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720"/>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720"/>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720"/>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720"/>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720"/>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720"/>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720"/>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720"/>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720"/>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720"/>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720"/>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720"/>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720"/>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720"/>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720"/>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720"/>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720"/>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720"/>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720"/>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720"/>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IF(Personalización!C11&lt;&gt;"",MAX(Tablas!$K558:K558)+1,0)</f>
        <v>0</v>
      </c>
      <c r="N559" s="222"/>
    </row>
    <row r="560" spans="1:14" ht="12.75" customHeight="1" x14ac:dyDescent="0.2">
      <c r="A560" s="302">
        <v>560</v>
      </c>
      <c r="B560" s="5720"/>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IF(Personalización!C12&lt;&gt;"",MAX(Tablas!$K559:K559)+1,0)</f>
        <v>0</v>
      </c>
      <c r="N560" s="222"/>
    </row>
    <row r="561" spans="1:38" ht="12.75" customHeight="1" x14ac:dyDescent="0.2">
      <c r="A561" s="302">
        <v>561</v>
      </c>
      <c r="B561" s="5720"/>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IF(Personalización!C13&lt;&gt;"",MAX(Tablas!$K560:K560)+1,0)</f>
        <v>0</v>
      </c>
      <c r="N561" s="222"/>
    </row>
    <row r="562" spans="1:38" ht="12.75" customHeight="1" thickBot="1" x14ac:dyDescent="0.25">
      <c r="A562" s="302">
        <v>562</v>
      </c>
      <c r="B562" s="5720"/>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3009">
        <f>IF(Personalización!C14&lt;&gt;"",MAX(Tablas!$K561:K561)+1,0)</f>
        <v>0</v>
      </c>
      <c r="N562" s="222"/>
    </row>
    <row r="563" spans="1:38" ht="12.75" customHeight="1" x14ac:dyDescent="0.2">
      <c r="A563" s="302">
        <v>563</v>
      </c>
      <c r="B563" s="5720"/>
      <c r="H563" s="222"/>
      <c r="I563" s="726"/>
      <c r="N563" s="222"/>
      <c r="O563" s="983"/>
    </row>
    <row r="564" spans="1:38" ht="12.75" customHeight="1" x14ac:dyDescent="0.2">
      <c r="A564" s="302">
        <v>564</v>
      </c>
      <c r="B564" s="5720"/>
      <c r="H564" s="222"/>
      <c r="I564" s="726"/>
      <c r="N564" s="222"/>
      <c r="O564" s="983"/>
    </row>
    <row r="565" spans="1:38" ht="12.75" customHeight="1" x14ac:dyDescent="0.2">
      <c r="A565" s="302">
        <v>565</v>
      </c>
      <c r="B565" s="5720"/>
      <c r="H565" s="222"/>
      <c r="I565" s="726"/>
      <c r="N565" s="222"/>
      <c r="O565" s="983"/>
    </row>
    <row r="566" spans="1:38" ht="12.75" customHeight="1" x14ac:dyDescent="0.2">
      <c r="A566" s="302">
        <v>566</v>
      </c>
      <c r="B566" s="5720"/>
      <c r="H566" s="222"/>
      <c r="I566" s="726"/>
      <c r="N566" s="222"/>
      <c r="O566" s="983"/>
    </row>
    <row r="567" spans="1:38" ht="12.75" customHeight="1" x14ac:dyDescent="0.2">
      <c r="A567" s="302">
        <v>567</v>
      </c>
      <c r="B567" s="5720"/>
      <c r="H567" s="222"/>
      <c r="I567" s="726"/>
      <c r="N567" s="222"/>
      <c r="O567" s="983"/>
    </row>
    <row r="568" spans="1:38" ht="12.75" customHeight="1" x14ac:dyDescent="0.2">
      <c r="A568" s="302">
        <v>568</v>
      </c>
      <c r="B568" s="5720"/>
      <c r="C568" s="5719" t="s">
        <v>8113</v>
      </c>
      <c r="D568" s="5719"/>
      <c r="E568" s="5719"/>
      <c r="F568" s="5719"/>
      <c r="G568" s="5719"/>
      <c r="H568" s="5719"/>
      <c r="I568" s="5719"/>
      <c r="J568" s="5719"/>
      <c r="K568" s="5719"/>
      <c r="L568" s="5719"/>
      <c r="M568" s="5719"/>
      <c r="N568" s="5719"/>
      <c r="O568" s="5719"/>
      <c r="P568" s="5719"/>
      <c r="Q568" s="5719"/>
      <c r="R568" s="5719"/>
      <c r="S568" s="5719"/>
      <c r="T568" s="5719"/>
      <c r="U568" s="5719"/>
      <c r="V568" s="5719"/>
      <c r="W568" s="5719"/>
      <c r="X568" s="5719"/>
      <c r="Y568" s="5719"/>
      <c r="Z568" s="5719"/>
      <c r="AA568" s="5719"/>
      <c r="AB568" s="5719"/>
      <c r="AC568" s="5719"/>
      <c r="AD568" s="5719"/>
    </row>
    <row r="569" spans="1:38" ht="12.75" customHeight="1" x14ac:dyDescent="0.2">
      <c r="A569" s="302">
        <v>569</v>
      </c>
      <c r="B569" s="5720"/>
      <c r="C569" s="5719"/>
      <c r="D569" s="5719"/>
      <c r="E569" s="5719"/>
      <c r="F569" s="5719"/>
      <c r="G569" s="5719"/>
      <c r="H569" s="5719"/>
      <c r="I569" s="5719"/>
      <c r="J569" s="5719"/>
      <c r="K569" s="5719"/>
      <c r="L569" s="5719"/>
      <c r="M569" s="5719"/>
      <c r="N569" s="5719"/>
      <c r="O569" s="5719"/>
      <c r="P569" s="5719"/>
      <c r="Q569" s="5719"/>
      <c r="R569" s="5719"/>
      <c r="S569" s="5719"/>
      <c r="T569" s="5719"/>
      <c r="U569" s="5719"/>
      <c r="V569" s="5719"/>
      <c r="W569" s="5719"/>
      <c r="X569" s="5719"/>
      <c r="Y569" s="5719"/>
      <c r="Z569" s="5719"/>
      <c r="AA569" s="5719"/>
      <c r="AB569" s="5719"/>
      <c r="AC569" s="5719"/>
      <c r="AD569" s="5719"/>
      <c r="AL569"/>
    </row>
    <row r="570" spans="1:38" ht="12.75" customHeight="1" x14ac:dyDescent="0.2">
      <c r="A570" s="302">
        <v>570</v>
      </c>
      <c r="B570" s="5720"/>
      <c r="C570" s="5719"/>
      <c r="D570" s="5719"/>
      <c r="E570" s="5719"/>
      <c r="F570" s="5719"/>
      <c r="G570" s="5719"/>
      <c r="H570" s="5719"/>
      <c r="I570" s="5719"/>
      <c r="J570" s="5719"/>
      <c r="K570" s="5719"/>
      <c r="L570" s="5719"/>
      <c r="M570" s="5719"/>
      <c r="N570" s="5719"/>
      <c r="O570" s="5719"/>
      <c r="P570" s="5719"/>
      <c r="Q570" s="5719"/>
      <c r="R570" s="5719"/>
      <c r="S570" s="5719"/>
      <c r="T570" s="5719"/>
      <c r="U570" s="5719"/>
      <c r="V570" s="5719"/>
      <c r="W570" s="5719"/>
      <c r="X570" s="5719"/>
      <c r="Y570" s="5719"/>
      <c r="Z570" s="5719"/>
      <c r="AA570" s="5719"/>
      <c r="AB570" s="5719"/>
      <c r="AC570" s="5719"/>
      <c r="AD570" s="5719"/>
      <c r="AL570"/>
    </row>
    <row r="571" spans="1:38" ht="12.75" customHeight="1" thickBot="1" x14ac:dyDescent="0.25">
      <c r="A571" s="302">
        <v>571</v>
      </c>
      <c r="B571" s="5720"/>
      <c r="H571" s="222"/>
      <c r="I571" s="726"/>
      <c r="N571" s="222"/>
      <c r="O571" s="983"/>
      <c r="AL571"/>
    </row>
    <row r="572" spans="1:38" ht="12.75" customHeight="1" thickBot="1" x14ac:dyDescent="0.25">
      <c r="A572" s="302">
        <v>572</v>
      </c>
      <c r="B572" s="5720"/>
      <c r="C572" s="5970" t="s">
        <v>1426</v>
      </c>
      <c r="D572" s="5971"/>
      <c r="E572" s="5971"/>
      <c r="F572" s="5971"/>
      <c r="G572" s="5971"/>
      <c r="H572" s="5971"/>
      <c r="I572" s="5971"/>
      <c r="J572" s="5971"/>
      <c r="K572" s="5971"/>
      <c r="L572" s="5971"/>
      <c r="M572" s="5971"/>
      <c r="N572" s="5971"/>
      <c r="O572" s="5971"/>
      <c r="P572" s="5971"/>
      <c r="Q572" s="5971"/>
      <c r="R572" s="5972"/>
      <c r="T572" s="5846" t="s">
        <v>1478</v>
      </c>
      <c r="U572" s="5846"/>
      <c r="X572" s="5721" t="s">
        <v>2875</v>
      </c>
      <c r="Y572" s="5722"/>
      <c r="Z572" s="5722"/>
      <c r="AA572" s="5723"/>
      <c r="AC572" s="5936" t="s">
        <v>1420</v>
      </c>
      <c r="AG572" s="5721" t="s">
        <v>9443</v>
      </c>
      <c r="AH572" s="5722"/>
      <c r="AI572" s="5722"/>
      <c r="AJ572" s="5722"/>
      <c r="AK572" s="5723"/>
      <c r="AL572"/>
    </row>
    <row r="573" spans="1:38" ht="12.75" customHeight="1" thickBot="1" x14ac:dyDescent="0.25">
      <c r="A573" s="302">
        <v>573</v>
      </c>
      <c r="B573" s="5720"/>
      <c r="C573" s="5973"/>
      <c r="D573" s="5974"/>
      <c r="E573" s="5974"/>
      <c r="F573" s="5974"/>
      <c r="G573" s="5974"/>
      <c r="H573" s="5974"/>
      <c r="I573" s="5974"/>
      <c r="J573" s="5974"/>
      <c r="K573" s="5974"/>
      <c r="L573" s="5974"/>
      <c r="M573" s="5974"/>
      <c r="N573" s="5974"/>
      <c r="O573" s="5974"/>
      <c r="P573" s="5974"/>
      <c r="Q573" s="5974"/>
      <c r="R573" s="5975"/>
      <c r="T573" s="225" t="s">
        <v>2413</v>
      </c>
      <c r="U573" s="227" t="s">
        <v>1479</v>
      </c>
      <c r="X573" s="5724"/>
      <c r="Y573" s="5725"/>
      <c r="Z573" s="5725"/>
      <c r="AA573" s="5726"/>
      <c r="AC573" s="5936"/>
      <c r="AE573" s="1900" t="s">
        <v>2413</v>
      </c>
      <c r="AF573" s="1887"/>
      <c r="AG573" s="5724"/>
      <c r="AH573" s="5725"/>
      <c r="AI573" s="5725"/>
      <c r="AJ573" s="5725"/>
      <c r="AK573" s="5726"/>
      <c r="AL573"/>
    </row>
    <row r="574" spans="1:38" ht="12.75" customHeight="1" thickBot="1" x14ac:dyDescent="0.25">
      <c r="A574" s="302">
        <v>574</v>
      </c>
      <c r="B574" s="5720"/>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720"/>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720"/>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720"/>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720"/>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720"/>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720"/>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29" t="s">
        <v>7877</v>
      </c>
      <c r="U580" s="5830"/>
      <c r="V580" s="5831"/>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720"/>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32" t="s">
        <v>1801</v>
      </c>
      <c r="U581" s="5833"/>
      <c r="V581" s="1117" t="s">
        <v>2568</v>
      </c>
      <c r="X581" s="5886" t="str">
        <f>X580</f>
        <v>Tabla de armas arquetípicas</v>
      </c>
      <c r="Y581" s="5887"/>
      <c r="Z581" s="5887"/>
      <c r="AA581" s="5888"/>
      <c r="AC581" s="1691" t="s">
        <v>1425</v>
      </c>
      <c r="AG581" s="731" t="s">
        <v>9438</v>
      </c>
      <c r="AH581" s="301" t="s">
        <v>2024</v>
      </c>
      <c r="AI581" s="301">
        <v>240</v>
      </c>
      <c r="AJ581" s="301">
        <v>5</v>
      </c>
      <c r="AK581" s="1105">
        <v>5</v>
      </c>
      <c r="AL581"/>
    </row>
    <row r="582" spans="1:38" ht="12.75" customHeight="1" thickBot="1" x14ac:dyDescent="0.25">
      <c r="A582" s="302">
        <v>582</v>
      </c>
      <c r="B582" s="5720"/>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34" t="s">
        <v>1912</v>
      </c>
      <c r="U582" s="5835"/>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720"/>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34" t="s">
        <v>1915</v>
      </c>
      <c r="U583" s="5835"/>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20"/>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34" t="s">
        <v>2447</v>
      </c>
      <c r="U584" s="5835"/>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63" t="s">
        <v>9358</v>
      </c>
      <c r="AD584" s="5964"/>
      <c r="AE584" s="5964"/>
      <c r="AF584" s="5965"/>
    </row>
    <row r="585" spans="1:38" ht="12.75" customHeight="1" thickBot="1" x14ac:dyDescent="0.25">
      <c r="A585" s="302">
        <v>585</v>
      </c>
      <c r="B585" s="5720"/>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34" t="s">
        <v>7878</v>
      </c>
      <c r="U585" s="5835"/>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720"/>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34" t="s">
        <v>7879</v>
      </c>
      <c r="U586" s="5835"/>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720"/>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34" t="s">
        <v>7880</v>
      </c>
      <c r="U587" s="5835"/>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720"/>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34" t="s">
        <v>7881</v>
      </c>
      <c r="U588" s="5835"/>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720"/>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34" t="s">
        <v>7882</v>
      </c>
      <c r="U589" s="5835"/>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720"/>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53" t="s">
        <v>7883</v>
      </c>
      <c r="U590" s="5854"/>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720"/>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720"/>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29" t="s">
        <v>7885</v>
      </c>
      <c r="U592" s="5830"/>
      <c r="V592" s="5831"/>
      <c r="X592" s="1177" t="s">
        <v>2374</v>
      </c>
      <c r="Y592" s="301"/>
      <c r="Z592" s="301" t="s">
        <v>2898</v>
      </c>
      <c r="AA592" s="1157">
        <f>COUNTIF(PDs!$Y$40:$AA$45,Tablas!X592)</f>
        <v>0</v>
      </c>
      <c r="AC592" s="5968" t="s">
        <v>1454</v>
      </c>
    </row>
    <row r="593" spans="1:29" ht="12.75" customHeight="1" x14ac:dyDescent="0.2">
      <c r="A593" s="302">
        <v>593</v>
      </c>
      <c r="B593" s="5720"/>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55" t="s">
        <v>7105</v>
      </c>
      <c r="U593" s="5856"/>
      <c r="V593" s="1120">
        <f>COUNTIF(Combate!$AB$55:$AG$64,$E$990)*COUNTIF(Personalización!$AD$54:$AF$56,Tablas!$T593)</f>
        <v>0</v>
      </c>
      <c r="X593" s="1177" t="s">
        <v>2899</v>
      </c>
      <c r="Y593" s="301"/>
      <c r="Z593" s="301" t="s">
        <v>2900</v>
      </c>
      <c r="AA593" s="1157">
        <f>COUNTIF(PDs!$Y$40:$AA$45,Tablas!X593)</f>
        <v>0</v>
      </c>
      <c r="AC593" s="5969"/>
    </row>
    <row r="594" spans="1:29" ht="12.75" customHeight="1" x14ac:dyDescent="0.2">
      <c r="A594" s="302">
        <v>594</v>
      </c>
      <c r="B594" s="5720"/>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55" t="s">
        <v>7887</v>
      </c>
      <c r="U594" s="5856"/>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720"/>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55" t="s">
        <v>134</v>
      </c>
      <c r="U595" s="5856"/>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720"/>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55" t="s">
        <v>7890</v>
      </c>
      <c r="U596" s="5856"/>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720"/>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55" t="s">
        <v>7892</v>
      </c>
      <c r="U597" s="5856"/>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720"/>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61" t="s">
        <v>7894</v>
      </c>
      <c r="U598" s="5962"/>
      <c r="V598" s="1123">
        <f>COUNTIF(Combate!$AB$55:$AG$64,$E$990)*COUNTIF(Personalización!$AD$54:$AF$56,Tablas!$T598)</f>
        <v>0</v>
      </c>
      <c r="X598" s="5886" t="str">
        <f>X578</f>
        <v>Tabla de tipología</v>
      </c>
      <c r="Y598" s="5887"/>
      <c r="Z598" s="5887"/>
      <c r="AA598" s="5888"/>
      <c r="AC598" s="931">
        <v>10</v>
      </c>
    </row>
    <row r="599" spans="1:29" ht="12.75" customHeight="1" thickBot="1" x14ac:dyDescent="0.25">
      <c r="A599" s="302">
        <v>599</v>
      </c>
      <c r="B599" s="5720"/>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20"/>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29" t="s">
        <v>7884</v>
      </c>
      <c r="U600" s="5831"/>
      <c r="X600" s="1177" t="s">
        <v>2424</v>
      </c>
      <c r="Y600" s="301"/>
      <c r="Z600" s="301" t="s">
        <v>9108</v>
      </c>
      <c r="AA600" s="1157">
        <f>COUNTIF(PDs!$Y$40:$AA$45,Tablas!X600)</f>
        <v>0</v>
      </c>
      <c r="AC600" s="931">
        <v>20</v>
      </c>
    </row>
    <row r="601" spans="1:29" ht="12.75" customHeight="1" x14ac:dyDescent="0.2">
      <c r="A601" s="302">
        <v>601</v>
      </c>
      <c r="B601" s="5720"/>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720"/>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720"/>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720"/>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720"/>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720"/>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720"/>
      <c r="C607" s="5851" t="s">
        <v>8114</v>
      </c>
      <c r="D607" s="5852"/>
      <c r="E607" s="5852"/>
      <c r="F607" s="5852"/>
      <c r="G607" s="5852"/>
      <c r="H607" s="5852"/>
      <c r="I607" s="726"/>
      <c r="N607" s="222"/>
      <c r="O607" s="983"/>
      <c r="X607" s="1177" t="s">
        <v>2454</v>
      </c>
      <c r="Y607" s="301"/>
      <c r="Z607" s="301" t="s">
        <v>9115</v>
      </c>
      <c r="AA607" s="1157">
        <f>COUNTIF(PDs!$Y$40:$AA$45,Tablas!X607)</f>
        <v>0</v>
      </c>
      <c r="AC607" s="302"/>
    </row>
    <row r="608" spans="1:29" ht="12.75" customHeight="1" thickBot="1" x14ac:dyDescent="0.25">
      <c r="A608" s="302">
        <v>608</v>
      </c>
      <c r="B608" s="5720"/>
      <c r="H608" s="222"/>
      <c r="I608" s="726"/>
      <c r="N608" s="222"/>
      <c r="O608" s="983"/>
      <c r="X608" s="1177" t="s">
        <v>2428</v>
      </c>
      <c r="Y608" s="301"/>
      <c r="Z608" s="301" t="s">
        <v>9116</v>
      </c>
      <c r="AA608" s="1157">
        <f>COUNTIF(PDs!$Y$40:$AA$45,Tablas!X608)</f>
        <v>0</v>
      </c>
      <c r="AC608" s="302"/>
    </row>
    <row r="609" spans="1:73" ht="12.75" customHeight="1" x14ac:dyDescent="0.2">
      <c r="A609" s="302">
        <v>609</v>
      </c>
      <c r="B609" s="5720"/>
      <c r="C609" s="5897" t="s">
        <v>1455</v>
      </c>
      <c r="D609" s="5897"/>
      <c r="E609" s="5897"/>
      <c r="F609" s="5897"/>
      <c r="G609" s="5897"/>
      <c r="H609" s="5897"/>
      <c r="I609" s="5897"/>
      <c r="J609" s="5897"/>
      <c r="K609" s="5897"/>
      <c r="L609" s="5897"/>
      <c r="M609" s="5897"/>
      <c r="N609" s="5897"/>
      <c r="O609" s="5897"/>
      <c r="P609" s="5897"/>
      <c r="Q609" s="5897"/>
      <c r="X609" s="1177" t="s">
        <v>2512</v>
      </c>
      <c r="Y609" s="301"/>
      <c r="Z609" s="301" t="s">
        <v>9424</v>
      </c>
      <c r="AA609" s="1157">
        <f>COUNTIF(PDs!$Y$40:$AA$45,Tablas!X609)</f>
        <v>0</v>
      </c>
    </row>
    <row r="610" spans="1:73" ht="12.75" customHeight="1" thickBot="1" x14ac:dyDescent="0.25">
      <c r="A610" s="302">
        <v>610</v>
      </c>
      <c r="B610" s="5720"/>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720"/>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20"/>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24" t="s">
        <v>8051</v>
      </c>
      <c r="T612" s="5725"/>
      <c r="U612" s="5725"/>
      <c r="V612" s="5725"/>
      <c r="W612" s="5725"/>
      <c r="X612" s="5725"/>
      <c r="Y612" s="5725"/>
      <c r="Z612" s="5725"/>
      <c r="AA612" s="5725"/>
      <c r="AC612" s="5976" t="s">
        <v>1465</v>
      </c>
      <c r="AD612" s="5976"/>
      <c r="AE612" s="5976"/>
      <c r="AF612" s="5976"/>
      <c r="AG612" s="5976"/>
      <c r="AH612" s="5976"/>
      <c r="AI612" s="5976"/>
    </row>
    <row r="613" spans="1:73" ht="12.75" customHeight="1" thickBot="1" x14ac:dyDescent="0.25">
      <c r="A613" s="302">
        <v>613</v>
      </c>
      <c r="B613" s="5720"/>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24"/>
      <c r="T613" s="5725"/>
      <c r="U613" s="5725"/>
      <c r="V613" s="5725"/>
      <c r="W613" s="5725"/>
      <c r="X613" s="5725"/>
      <c r="Y613" s="5725"/>
      <c r="Z613" s="5725"/>
      <c r="AA613" s="5725"/>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20"/>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46" t="s">
        <v>9118</v>
      </c>
      <c r="T614" s="5747"/>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20"/>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48" t="s">
        <v>9122</v>
      </c>
      <c r="T615" s="5749"/>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720"/>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48" t="s">
        <v>9119</v>
      </c>
      <c r="T616" s="5749"/>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20"/>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48" t="s">
        <v>9120</v>
      </c>
      <c r="T617" s="5749"/>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20"/>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48" t="s">
        <v>9121</v>
      </c>
      <c r="T618" s="5749"/>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20"/>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77" t="s">
        <v>3762</v>
      </c>
      <c r="T619" s="5878"/>
      <c r="U619" s="1395" t="str">
        <f>U614&amp;U615&amp;U616&amp;U617&amp;U618</f>
        <v>Desarmado</v>
      </c>
      <c r="V619" s="1396"/>
      <c r="W619" s="1396"/>
      <c r="X619" s="1396"/>
      <c r="Y619" s="1703"/>
      <c r="Z619" s="1703"/>
      <c r="AA619" s="1704"/>
    </row>
    <row r="620" spans="1:73" ht="12.75" customHeight="1" thickBot="1" x14ac:dyDescent="0.25">
      <c r="A620" s="302">
        <v>620</v>
      </c>
      <c r="B620" s="5720"/>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20"/>
    </row>
    <row r="622" spans="1:73" ht="12.75" customHeight="1" x14ac:dyDescent="0.2">
      <c r="A622" s="302">
        <v>622</v>
      </c>
      <c r="B622" s="5720"/>
    </row>
    <row r="623" spans="1:73" ht="12.75" customHeight="1" x14ac:dyDescent="0.2">
      <c r="A623" s="302">
        <v>623</v>
      </c>
      <c r="B623" s="5720"/>
    </row>
    <row r="624" spans="1:73" ht="12.75" customHeight="1" x14ac:dyDescent="0.2">
      <c r="A624" s="302">
        <v>624</v>
      </c>
      <c r="B624" s="5720"/>
      <c r="AG624" s="5766" t="s">
        <v>9578</v>
      </c>
      <c r="AH624" s="5766"/>
      <c r="AI624" s="5766"/>
      <c r="AJ624" s="5766"/>
      <c r="AK624" s="5766"/>
      <c r="AL624" s="5766"/>
      <c r="AM624" s="5766"/>
      <c r="AN624" s="5766"/>
      <c r="AO624" s="5766"/>
      <c r="AP624" s="5766"/>
      <c r="AQ624" s="5766"/>
      <c r="AR624" s="5766"/>
      <c r="AS624" s="5766"/>
      <c r="AT624" s="5766"/>
      <c r="AU624" s="5766"/>
      <c r="AV624" s="5766"/>
      <c r="AW624" s="5766"/>
      <c r="AX624" s="5766"/>
      <c r="AY624" s="5766"/>
      <c r="AZ624" s="5766"/>
      <c r="BA624" s="5766"/>
      <c r="BB624" s="5766"/>
      <c r="BC624" s="5766"/>
      <c r="BD624" s="5766"/>
      <c r="BE624" s="5766"/>
      <c r="BF624" s="5766"/>
      <c r="BG624" s="5766"/>
      <c r="BH624" s="5766"/>
      <c r="BI624" s="5766"/>
      <c r="BJ624" s="5766"/>
      <c r="BK624" s="5766"/>
      <c r="BL624" s="5766"/>
      <c r="BM624" s="5766"/>
      <c r="BN624" s="5766"/>
      <c r="BO624" s="5766"/>
      <c r="BP624" s="5766"/>
      <c r="BQ624" s="5766"/>
      <c r="BR624" s="5766"/>
      <c r="BS624" s="5766"/>
      <c r="BT624" s="5766"/>
      <c r="BU624" s="5766"/>
    </row>
    <row r="625" spans="1:73" ht="12.75" customHeight="1" thickBot="1" x14ac:dyDescent="0.25">
      <c r="A625" s="302">
        <v>625</v>
      </c>
      <c r="B625" s="5720"/>
      <c r="AG625" s="5766"/>
      <c r="AH625" s="5766"/>
      <c r="AI625" s="5766"/>
      <c r="AJ625" s="5766"/>
      <c r="AK625" s="5766"/>
      <c r="AL625" s="5766"/>
      <c r="AM625" s="5766"/>
      <c r="AN625" s="5766"/>
      <c r="AO625" s="5766"/>
      <c r="AP625" s="5766"/>
      <c r="AQ625" s="5766"/>
      <c r="AR625" s="5766"/>
      <c r="AS625" s="5766"/>
      <c r="AT625" s="5766"/>
      <c r="AU625" s="5766"/>
      <c r="AV625" s="5766"/>
      <c r="AW625" s="5766"/>
      <c r="AX625" s="5766"/>
      <c r="AY625" s="5766"/>
      <c r="AZ625" s="5766"/>
      <c r="BA625" s="5766"/>
      <c r="BB625" s="5766"/>
      <c r="BC625" s="5766"/>
      <c r="BD625" s="5766"/>
      <c r="BE625" s="5766"/>
      <c r="BF625" s="5766"/>
      <c r="BG625" s="5766"/>
      <c r="BH625" s="5766"/>
      <c r="BI625" s="5766"/>
      <c r="BJ625" s="5766"/>
      <c r="BK625" s="5766"/>
      <c r="BL625" s="5766"/>
      <c r="BM625" s="5766"/>
      <c r="BN625" s="5766"/>
      <c r="BO625" s="5766"/>
      <c r="BP625" s="5766"/>
      <c r="BQ625" s="5766"/>
      <c r="BR625" s="5766"/>
      <c r="BS625" s="5766"/>
      <c r="BT625" s="5766"/>
      <c r="BU625" s="5766"/>
    </row>
    <row r="626" spans="1:73" ht="12.75" customHeight="1" thickBot="1" x14ac:dyDescent="0.25">
      <c r="A626" s="302">
        <v>626</v>
      </c>
      <c r="B626" s="5720"/>
      <c r="C626" s="5889" t="s">
        <v>2408</v>
      </c>
      <c r="D626" s="5890"/>
      <c r="E626" s="5890"/>
      <c r="F626" s="5890"/>
      <c r="G626" s="5890"/>
      <c r="H626" s="5890"/>
      <c r="I626" s="5890"/>
      <c r="J626" s="5890"/>
      <c r="K626" s="5890"/>
      <c r="L626" s="5890"/>
      <c r="M626" s="5890"/>
      <c r="N626" s="5890"/>
      <c r="O626" s="5890"/>
      <c r="P626" s="5890"/>
      <c r="Q626" s="5890"/>
      <c r="R626" s="5890"/>
      <c r="S626" s="5890"/>
      <c r="T626" s="5890"/>
      <c r="U626" s="5890"/>
      <c r="V626" s="5890"/>
      <c r="W626" s="5890"/>
      <c r="X626" s="5891"/>
      <c r="Z626" s="5805" t="s">
        <v>8022</v>
      </c>
      <c r="AB626" s="1845"/>
      <c r="AC626" s="1845"/>
      <c r="AD626" s="1845"/>
      <c r="AG626" s="4305" t="s">
        <v>9564</v>
      </c>
      <c r="AH626" s="4318"/>
      <c r="AI626" s="4318"/>
      <c r="AJ626" s="4318"/>
      <c r="AK626" s="4319"/>
      <c r="AL626" s="1845">
        <f>PDs!Y40</f>
        <v>0</v>
      </c>
      <c r="AM626" s="5767"/>
      <c r="AN626" s="4305" t="s">
        <v>9565</v>
      </c>
      <c r="AO626" s="4318"/>
      <c r="AP626" s="4318"/>
      <c r="AQ626" s="5879"/>
      <c r="AR626" s="5880"/>
      <c r="AS626" s="1845">
        <f>PDs!Y41</f>
        <v>0</v>
      </c>
      <c r="AT626" s="5767"/>
      <c r="AU626" s="4305" t="s">
        <v>9566</v>
      </c>
      <c r="AV626" s="4318"/>
      <c r="AW626" s="4318"/>
      <c r="AX626" s="4318"/>
      <c r="AY626" s="4319"/>
      <c r="AZ626" s="1845">
        <f>PDs!Y42</f>
        <v>0</v>
      </c>
      <c r="BA626" s="5767"/>
      <c r="BB626" s="4305" t="s">
        <v>9567</v>
      </c>
      <c r="BC626" s="4318"/>
      <c r="BD626" s="4318"/>
      <c r="BE626" s="4318"/>
      <c r="BF626" s="4319"/>
      <c r="BG626" s="1845">
        <f>PDs!Y43</f>
        <v>0</v>
      </c>
      <c r="BH626" s="5767"/>
      <c r="BI626" s="4305" t="s">
        <v>9568</v>
      </c>
      <c r="BJ626" s="4318"/>
      <c r="BK626" s="4318"/>
      <c r="BL626" s="4318"/>
      <c r="BM626" s="4319"/>
      <c r="BN626" s="1845">
        <f>PDs!Y44</f>
        <v>0</v>
      </c>
      <c r="BO626" s="5767"/>
      <c r="BP626" s="4305" t="s">
        <v>9569</v>
      </c>
      <c r="BQ626" s="4318"/>
      <c r="BR626" s="4318"/>
      <c r="BS626" s="4318"/>
      <c r="BT626" s="4319"/>
      <c r="BU626" s="1845">
        <f>PDs!Y45</f>
        <v>0</v>
      </c>
    </row>
    <row r="627" spans="1:73" ht="12.75" customHeight="1" thickBot="1" x14ac:dyDescent="0.25">
      <c r="A627" s="302">
        <v>627</v>
      </c>
      <c r="B627" s="5720"/>
      <c r="C627" s="5892"/>
      <c r="D627" s="5893"/>
      <c r="E627" s="5893"/>
      <c r="F627" s="5893"/>
      <c r="G627" s="5893"/>
      <c r="H627" s="5893"/>
      <c r="I627" s="5893"/>
      <c r="J627" s="5893"/>
      <c r="K627" s="5893"/>
      <c r="L627" s="5893"/>
      <c r="M627" s="5893"/>
      <c r="N627" s="5893"/>
      <c r="O627" s="5893"/>
      <c r="P627" s="5893"/>
      <c r="Q627" s="5893"/>
      <c r="R627" s="5893"/>
      <c r="S627" s="5893"/>
      <c r="T627" s="5893"/>
      <c r="U627" s="5893"/>
      <c r="V627" s="5893"/>
      <c r="W627" s="5893"/>
      <c r="X627" s="5894"/>
      <c r="Z627" s="5805"/>
      <c r="AG627" s="2268" t="s">
        <v>1483</v>
      </c>
      <c r="AH627" s="2269" t="s">
        <v>1482</v>
      </c>
      <c r="AI627" s="2293" t="s">
        <v>1481</v>
      </c>
      <c r="AJ627" s="2268" t="s">
        <v>1483</v>
      </c>
      <c r="AK627" s="2269" t="s">
        <v>1482</v>
      </c>
      <c r="AL627" s="2293" t="s">
        <v>1481</v>
      </c>
      <c r="AM627" s="5767"/>
      <c r="AN627" s="2268" t="s">
        <v>1483</v>
      </c>
      <c r="AO627" s="2269" t="s">
        <v>1482</v>
      </c>
      <c r="AP627" s="2293" t="s">
        <v>1481</v>
      </c>
      <c r="AQ627" s="2268" t="s">
        <v>1483</v>
      </c>
      <c r="AR627" s="2269" t="s">
        <v>1482</v>
      </c>
      <c r="AS627" s="2293" t="s">
        <v>1481</v>
      </c>
      <c r="AT627" s="5767"/>
      <c r="AU627" s="2268" t="s">
        <v>1483</v>
      </c>
      <c r="AV627" s="2269" t="s">
        <v>1482</v>
      </c>
      <c r="AW627" s="2293" t="s">
        <v>1481</v>
      </c>
      <c r="AX627" s="2268" t="s">
        <v>1483</v>
      </c>
      <c r="AY627" s="2269" t="s">
        <v>1482</v>
      </c>
      <c r="AZ627" s="2293" t="s">
        <v>1481</v>
      </c>
      <c r="BA627" s="5767"/>
      <c r="BB627" s="2268" t="s">
        <v>1483</v>
      </c>
      <c r="BC627" s="2269" t="s">
        <v>1482</v>
      </c>
      <c r="BD627" s="2293" t="s">
        <v>1481</v>
      </c>
      <c r="BE627" s="2268" t="s">
        <v>1483</v>
      </c>
      <c r="BF627" s="2269" t="s">
        <v>1482</v>
      </c>
      <c r="BG627" s="2293" t="s">
        <v>1481</v>
      </c>
      <c r="BH627" s="5767"/>
      <c r="BI627" s="2268" t="s">
        <v>1483</v>
      </c>
      <c r="BJ627" s="2269" t="s">
        <v>1482</v>
      </c>
      <c r="BK627" s="2293" t="s">
        <v>1481</v>
      </c>
      <c r="BL627" s="2268" t="s">
        <v>1483</v>
      </c>
      <c r="BM627" s="2269" t="s">
        <v>1482</v>
      </c>
      <c r="BN627" s="2293" t="s">
        <v>1481</v>
      </c>
      <c r="BO627" s="5767"/>
      <c r="BP627" s="2268" t="s">
        <v>1483</v>
      </c>
      <c r="BQ627" s="2269" t="s">
        <v>1482</v>
      </c>
      <c r="BR627" s="2293" t="s">
        <v>1481</v>
      </c>
      <c r="BS627" s="2268" t="s">
        <v>1483</v>
      </c>
      <c r="BT627" s="2269" t="s">
        <v>1482</v>
      </c>
      <c r="BU627" s="2293" t="s">
        <v>1481</v>
      </c>
    </row>
    <row r="628" spans="1:73" ht="12.75" customHeight="1" thickBot="1" x14ac:dyDescent="0.25">
      <c r="A628" s="302">
        <v>628</v>
      </c>
      <c r="B628" s="5720"/>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81"/>
      <c r="AB628" s="5721" t="s">
        <v>1477</v>
      </c>
      <c r="AC628" s="5722"/>
      <c r="AD628" s="5722"/>
      <c r="AE628" s="5723"/>
      <c r="AF628" s="1860"/>
      <c r="AG628" s="1840" t="s">
        <v>9171</v>
      </c>
      <c r="AH628" s="1841" t="s">
        <v>9171</v>
      </c>
      <c r="AI628" s="1842" t="s">
        <v>9171</v>
      </c>
      <c r="AJ628" s="1840" t="s">
        <v>2990</v>
      </c>
      <c r="AK628" s="1841" t="s">
        <v>2990</v>
      </c>
      <c r="AL628" s="1842" t="s">
        <v>2990</v>
      </c>
      <c r="AM628" s="5767"/>
      <c r="AN628" s="1840" t="s">
        <v>9171</v>
      </c>
      <c r="AO628" s="1841" t="s">
        <v>9171</v>
      </c>
      <c r="AP628" s="1842" t="s">
        <v>9171</v>
      </c>
      <c r="AQ628" s="1840" t="s">
        <v>2990</v>
      </c>
      <c r="AR628" s="1841" t="s">
        <v>2990</v>
      </c>
      <c r="AS628" s="1842" t="s">
        <v>2990</v>
      </c>
      <c r="AT628" s="5767"/>
      <c r="AU628" s="1840" t="s">
        <v>9171</v>
      </c>
      <c r="AV628" s="1841" t="s">
        <v>9171</v>
      </c>
      <c r="AW628" s="1842" t="s">
        <v>9171</v>
      </c>
      <c r="AX628" s="1840" t="s">
        <v>2990</v>
      </c>
      <c r="AY628" s="1841" t="s">
        <v>2990</v>
      </c>
      <c r="AZ628" s="1842" t="s">
        <v>2990</v>
      </c>
      <c r="BA628" s="5767"/>
      <c r="BB628" s="1840" t="s">
        <v>9171</v>
      </c>
      <c r="BC628" s="1841" t="s">
        <v>9171</v>
      </c>
      <c r="BD628" s="1842" t="s">
        <v>9171</v>
      </c>
      <c r="BE628" s="1840" t="s">
        <v>2990</v>
      </c>
      <c r="BF628" s="1841" t="s">
        <v>2990</v>
      </c>
      <c r="BG628" s="1842" t="s">
        <v>2990</v>
      </c>
      <c r="BH628" s="5767"/>
      <c r="BI628" s="1840" t="s">
        <v>9171</v>
      </c>
      <c r="BJ628" s="1841" t="s">
        <v>9171</v>
      </c>
      <c r="BK628" s="1842" t="s">
        <v>9171</v>
      </c>
      <c r="BL628" s="1840" t="s">
        <v>2990</v>
      </c>
      <c r="BM628" s="1841" t="s">
        <v>2990</v>
      </c>
      <c r="BN628" s="1842" t="s">
        <v>2990</v>
      </c>
      <c r="BO628" s="5767"/>
      <c r="BP628" s="1840" t="s">
        <v>9171</v>
      </c>
      <c r="BQ628" s="1841" t="s">
        <v>9171</v>
      </c>
      <c r="BR628" s="1842" t="s">
        <v>9171</v>
      </c>
      <c r="BS628" s="1840" t="s">
        <v>2990</v>
      </c>
      <c r="BT628" s="1841" t="s">
        <v>2990</v>
      </c>
      <c r="BU628" s="1842" t="s">
        <v>2990</v>
      </c>
    </row>
    <row r="629" spans="1:73" ht="12.75" customHeight="1" thickBot="1" x14ac:dyDescent="0.25">
      <c r="A629" s="302">
        <v>629</v>
      </c>
      <c r="B629" s="5720"/>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724"/>
      <c r="AC629" s="5725"/>
      <c r="AD629" s="5725"/>
      <c r="AE629" s="5726"/>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5767"/>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5767"/>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5767"/>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5767"/>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5767"/>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720"/>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5767"/>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5767"/>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5767"/>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5767"/>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5767"/>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720"/>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5767"/>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5767"/>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5767"/>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5767"/>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5767"/>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720"/>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5767"/>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5767"/>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5767"/>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5767"/>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5767"/>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720"/>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5767"/>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5767"/>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5767"/>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5767"/>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5767"/>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720"/>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5767"/>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5767"/>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5767"/>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5767"/>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5767"/>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720"/>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5767"/>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5767"/>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5767"/>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5767"/>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5767"/>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720"/>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5767"/>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5767"/>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5767"/>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5767"/>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5767"/>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720"/>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5767"/>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5767"/>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5767"/>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5767"/>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5767"/>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720"/>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5767"/>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5767"/>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5767"/>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5767"/>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5767"/>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720"/>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5767"/>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5767"/>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5767"/>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5767"/>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5767"/>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720"/>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5767"/>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5767"/>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5767"/>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5767"/>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5767"/>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720"/>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5767"/>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5767"/>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5767"/>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5767"/>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5767"/>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720"/>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5767"/>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5767"/>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5767"/>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5767"/>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5767"/>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720"/>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5767"/>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5767"/>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5767"/>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5767"/>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5767"/>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720"/>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5767"/>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5767"/>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5767"/>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5767"/>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5767"/>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720"/>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5767"/>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5767"/>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5767"/>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5767"/>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5767"/>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720"/>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5767"/>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5767"/>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5767"/>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5767"/>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5767"/>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720"/>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5767"/>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5767"/>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5767"/>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5767"/>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5767"/>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720"/>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5767"/>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5767"/>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5767"/>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5767"/>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5767"/>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720"/>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5767"/>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5767"/>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5767"/>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5767"/>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5767"/>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720"/>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5767"/>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5767"/>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5767"/>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5767"/>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5767"/>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720"/>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5767"/>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5767"/>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5767"/>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5767"/>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5767"/>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720"/>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5767"/>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5767"/>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5767"/>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5767"/>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5767"/>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720"/>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5767"/>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5767"/>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5767"/>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5767"/>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5767"/>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720"/>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5767"/>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5767"/>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5767"/>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5767"/>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5767"/>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720"/>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5767"/>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5767"/>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5767"/>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5767"/>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5767"/>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720"/>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5767"/>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5767"/>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5767"/>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5767"/>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5767"/>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720"/>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5767"/>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5767"/>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5767"/>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5767"/>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5767"/>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720"/>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5767"/>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5767"/>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5767"/>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5767"/>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5767"/>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720"/>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5767"/>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5767"/>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5767"/>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5767"/>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5767"/>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720"/>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5767"/>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5767"/>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5767"/>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5767"/>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5767"/>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720"/>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5767"/>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5767"/>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5767"/>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5767"/>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5767"/>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720"/>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5767"/>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5767"/>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5767"/>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5767"/>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5767"/>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720"/>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5767"/>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5767"/>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5767"/>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5767"/>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5767"/>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720"/>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5767"/>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5767"/>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5767"/>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5767"/>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5767"/>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720"/>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5767"/>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5767"/>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5767"/>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5767"/>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5767"/>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720"/>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5767"/>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5767"/>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5767"/>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5767"/>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5767"/>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720"/>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5767"/>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5767"/>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5767"/>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5767"/>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5767"/>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720"/>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5767"/>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5767"/>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5767"/>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5767"/>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5767"/>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720"/>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5767"/>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5767"/>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5767"/>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5767"/>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5767"/>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720"/>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5767"/>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5767"/>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5767"/>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5767"/>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5767"/>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720"/>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5767"/>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5767"/>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5767"/>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5767"/>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5767"/>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720"/>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5767"/>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5767"/>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5767"/>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5767"/>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5767"/>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720"/>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5767"/>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5767"/>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5767"/>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5767"/>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5767"/>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720"/>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5767"/>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5767"/>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5767"/>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5767"/>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5767"/>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720"/>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5767"/>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5767"/>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5767"/>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5767"/>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5767"/>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720"/>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5767"/>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5767"/>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5767"/>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5767"/>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5767"/>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720"/>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5767"/>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5767"/>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5767"/>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5767"/>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5767"/>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720"/>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5767"/>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5767"/>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5767"/>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5767"/>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5767"/>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720"/>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5767"/>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5767"/>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5767"/>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5767"/>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5767"/>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720"/>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5767"/>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5767"/>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5767"/>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5767"/>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5767"/>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720"/>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5767"/>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5767"/>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5767"/>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5767"/>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5767"/>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720"/>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5767"/>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5767"/>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5767"/>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5767"/>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5767"/>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720"/>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5767"/>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5767"/>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5767"/>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5767"/>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5767"/>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720"/>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5767"/>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5767"/>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5767"/>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5767"/>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5767"/>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720"/>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5767"/>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5767"/>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5767"/>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5767"/>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5767"/>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720"/>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5767"/>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5767"/>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5767"/>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5767"/>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5767"/>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720"/>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5767"/>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5767"/>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5767"/>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5767"/>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5767"/>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720"/>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5767"/>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5767"/>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5767"/>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5767"/>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5767"/>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720"/>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5767"/>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5767"/>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5767"/>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5767"/>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5767"/>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720"/>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5767"/>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5767"/>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5767"/>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5767"/>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5767"/>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720"/>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5767"/>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5767"/>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5767"/>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5767"/>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5767"/>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720"/>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5767"/>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5767"/>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5767"/>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5767"/>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5767"/>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720"/>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5767"/>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5767"/>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5767"/>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5767"/>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5767"/>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720"/>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5767"/>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5767"/>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5767"/>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5767"/>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5767"/>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720"/>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5767"/>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5767"/>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5767"/>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5767"/>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5767"/>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720"/>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5767"/>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5767"/>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5767"/>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5767"/>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5767"/>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720"/>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5767"/>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5767"/>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5767"/>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5767"/>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5767"/>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720"/>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5767"/>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5767"/>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5767"/>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5767"/>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5767"/>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720"/>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5767"/>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5767"/>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5767"/>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5767"/>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5767"/>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720"/>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5767"/>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5767"/>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5767"/>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5767"/>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5767"/>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720"/>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5767"/>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5767"/>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5767"/>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5767"/>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5767"/>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720"/>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5767"/>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5767"/>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5767"/>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5767"/>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5767"/>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720"/>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5767"/>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5767"/>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5767"/>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5767"/>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5767"/>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720"/>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5767"/>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5767"/>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5767"/>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5767"/>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5767"/>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720"/>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5767"/>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5767"/>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5767"/>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5767"/>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5767"/>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720"/>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5767"/>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5767"/>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5767"/>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5767"/>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5767"/>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720"/>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5767"/>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5767"/>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5767"/>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5767"/>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5767"/>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720"/>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5767"/>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5767"/>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5767"/>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5767"/>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5767"/>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720"/>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5767"/>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5767"/>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5767"/>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5767"/>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5767"/>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720"/>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5767"/>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5767"/>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5767"/>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5767"/>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5767"/>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720"/>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5767"/>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5767"/>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5767"/>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5767"/>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5767"/>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720"/>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5767"/>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5767"/>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5767"/>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5767"/>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5767"/>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720"/>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5767"/>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5767"/>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5767"/>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5767"/>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5767"/>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720"/>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5767"/>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5767"/>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5767"/>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5767"/>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5767"/>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720"/>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5767"/>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5767"/>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5767"/>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5767"/>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5767"/>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720"/>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5767"/>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5767"/>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5767"/>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5767"/>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5767"/>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720"/>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5767"/>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5767"/>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5767"/>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5767"/>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5767"/>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720"/>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5767"/>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5767"/>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5767"/>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5767"/>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5767"/>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720"/>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5767"/>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5767"/>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5767"/>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5767"/>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5767"/>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720"/>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5767"/>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5767"/>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5767"/>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5767"/>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5767"/>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720"/>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5767"/>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5767"/>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5767"/>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5767"/>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5767"/>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720"/>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5767"/>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5767"/>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5767"/>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5767"/>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5767"/>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720"/>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5767"/>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5767"/>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5767"/>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5767"/>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5767"/>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720"/>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5767"/>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5767"/>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5767"/>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5767"/>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5767"/>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720"/>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5767"/>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5767"/>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5767"/>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5767"/>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5767"/>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720"/>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5767"/>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5767"/>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5767"/>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5767"/>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5767"/>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720"/>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5767"/>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5767"/>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5767"/>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5767"/>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5767"/>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720"/>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5767"/>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5767"/>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5767"/>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5767"/>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5767"/>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720"/>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5767"/>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5767"/>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5767"/>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5767"/>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5767"/>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720"/>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5767"/>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5767"/>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5767"/>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5767"/>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5767"/>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720"/>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5767"/>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5767"/>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5767"/>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5767"/>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5767"/>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720"/>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5767"/>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5767"/>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5767"/>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5767"/>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5767"/>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720"/>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5767"/>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5767"/>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5767"/>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5767"/>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5767"/>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720"/>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5767"/>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5767"/>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5767"/>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5767"/>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5767"/>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720"/>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5767"/>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5767"/>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5767"/>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5767"/>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5767"/>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720"/>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5767"/>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5767"/>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5767"/>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5767"/>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5767"/>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720"/>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5767"/>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5767"/>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5767"/>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5767"/>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5767"/>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720"/>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5767"/>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5767"/>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5767"/>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5767"/>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5767"/>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720"/>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5767"/>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5767"/>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5767"/>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5767"/>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5767"/>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720"/>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5767"/>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5767"/>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5767"/>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5767"/>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5767"/>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720"/>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5767"/>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5767"/>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5767"/>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5767"/>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5767"/>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720"/>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5767"/>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5767"/>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5767"/>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5767"/>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5767"/>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720"/>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5767"/>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5767"/>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5767"/>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5767"/>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5767"/>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720"/>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5767"/>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5767"/>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5767"/>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5767"/>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5767"/>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720"/>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5767"/>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5767"/>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5767"/>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5767"/>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5767"/>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720"/>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5767"/>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5767"/>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5767"/>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5767"/>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5767"/>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720"/>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5767"/>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5767"/>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5767"/>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5767"/>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5767"/>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720"/>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5767"/>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5767"/>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5767"/>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5767"/>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5767"/>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720"/>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5767"/>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5767"/>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5767"/>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5767"/>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5767"/>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720"/>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5767"/>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5767"/>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5767"/>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5767"/>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5767"/>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720"/>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5767"/>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5767"/>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5767"/>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5767"/>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5767"/>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720"/>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5767"/>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5767"/>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5767"/>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5767"/>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5767"/>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720"/>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5767"/>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5767"/>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5767"/>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5767"/>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5767"/>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720"/>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5767"/>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5767"/>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5767"/>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5767"/>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5767"/>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720"/>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5767"/>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5767"/>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5767"/>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5767"/>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5767"/>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720"/>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5767"/>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5767"/>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5767"/>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5767"/>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5767"/>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720"/>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5767"/>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5767"/>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5767"/>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5767"/>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5767"/>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720"/>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5767"/>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5767"/>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5767"/>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5767"/>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5767"/>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720"/>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5767"/>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5767"/>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5767"/>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5767"/>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5767"/>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720"/>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5767"/>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5767"/>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5767"/>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5767"/>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5767"/>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720"/>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5767"/>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5767"/>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5767"/>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5767"/>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5767"/>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720"/>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5767"/>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5767"/>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5767"/>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5767"/>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5767"/>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720"/>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5767"/>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5767"/>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5767"/>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5767"/>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5767"/>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720"/>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5767"/>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5767"/>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5767"/>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5767"/>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5767"/>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720"/>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5767"/>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5767"/>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5767"/>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5767"/>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5767"/>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720"/>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5767"/>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5767"/>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5767"/>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5767"/>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5767"/>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720"/>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67"/>
      <c r="AN767" s="1523" t="str">
        <f>""</f>
        <v/>
      </c>
      <c r="AO767" s="1229" t="str">
        <f>""</f>
        <v/>
      </c>
      <c r="AP767" s="1229" t="str">
        <f>""</f>
        <v/>
      </c>
      <c r="AQ767" s="2296"/>
      <c r="AR767" s="1713"/>
      <c r="AS767" s="1714"/>
      <c r="AT767" s="5767"/>
      <c r="AU767" s="1523" t="str">
        <f>""</f>
        <v/>
      </c>
      <c r="AV767" s="1229" t="str">
        <f>""</f>
        <v/>
      </c>
      <c r="AW767" s="1229" t="str">
        <f>""</f>
        <v/>
      </c>
      <c r="AX767" s="2296"/>
      <c r="AY767" s="1713"/>
      <c r="AZ767" s="1714"/>
      <c r="BA767" s="5767"/>
      <c r="BB767" s="1523" t="str">
        <f>""</f>
        <v/>
      </c>
      <c r="BC767" s="1229" t="str">
        <f>""</f>
        <v/>
      </c>
      <c r="BD767" s="1229" t="str">
        <f>""</f>
        <v/>
      </c>
      <c r="BE767" s="2296"/>
      <c r="BF767" s="1713"/>
      <c r="BG767" s="1714"/>
      <c r="BH767" s="5767"/>
      <c r="BI767" s="1523" t="str">
        <f>""</f>
        <v/>
      </c>
      <c r="BJ767" s="1229" t="str">
        <f>""</f>
        <v/>
      </c>
      <c r="BK767" s="1229" t="str">
        <f>""</f>
        <v/>
      </c>
      <c r="BL767" s="2296"/>
      <c r="BM767" s="1713"/>
      <c r="BN767" s="1714"/>
      <c r="BO767" s="5767"/>
      <c r="BP767" s="1523" t="str">
        <f>""</f>
        <v/>
      </c>
      <c r="BQ767" s="1229" t="str">
        <f>""</f>
        <v/>
      </c>
      <c r="BR767" s="1229" t="str">
        <f>""</f>
        <v/>
      </c>
      <c r="BS767" s="2296"/>
      <c r="BT767" s="1713"/>
      <c r="BU767" s="1714"/>
    </row>
    <row r="768" spans="1:73" ht="12.75" customHeight="1" thickBot="1" x14ac:dyDescent="0.25">
      <c r="A768" s="302">
        <v>768</v>
      </c>
      <c r="B768" s="5720"/>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806" t="s">
        <v>2525</v>
      </c>
      <c r="W768" s="5806"/>
      <c r="X768" s="5807"/>
      <c r="Y768" s="2022"/>
      <c r="Z768" s="1707" t="str">
        <f t="shared" si="170"/>
        <v/>
      </c>
      <c r="AA768" s="1706"/>
      <c r="AC768" s="1706"/>
      <c r="AH768" s="2436"/>
      <c r="AI768" s="2436"/>
      <c r="AJ768" s="2436"/>
      <c r="AK768" s="2436"/>
      <c r="AL768" s="2436"/>
      <c r="AM768" s="2436"/>
    </row>
    <row r="769" spans="1:47" ht="12.75" customHeight="1" x14ac:dyDescent="0.2">
      <c r="A769" s="302">
        <v>769</v>
      </c>
      <c r="B769" s="5720"/>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882" t="s">
        <v>9392</v>
      </c>
      <c r="AC769" s="5879"/>
      <c r="AD769" s="5879"/>
      <c r="AE769" s="5879"/>
      <c r="AF769" s="5879"/>
      <c r="AG769" s="5879"/>
      <c r="AH769" s="5879"/>
      <c r="AI769" s="5879"/>
      <c r="AJ769" s="5879"/>
      <c r="AK769" s="5879"/>
      <c r="AL769" s="5879"/>
      <c r="AM769" s="5879"/>
      <c r="AN769" s="5879"/>
      <c r="AO769" s="5879"/>
      <c r="AP769" s="5879"/>
      <c r="AQ769" s="5879"/>
      <c r="AR769" s="5879"/>
      <c r="AS769" s="5879"/>
      <c r="AT769" s="5879"/>
      <c r="AU769" s="5880"/>
    </row>
    <row r="770" spans="1:47" ht="12.75" customHeight="1" x14ac:dyDescent="0.2">
      <c r="A770" s="302">
        <v>770</v>
      </c>
      <c r="B770" s="5720"/>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806" t="s">
        <v>2527</v>
      </c>
      <c r="W770" s="5806"/>
      <c r="X770" s="5807"/>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20"/>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806" t="s">
        <v>9430</v>
      </c>
      <c r="W771" s="5806"/>
      <c r="X771" s="5807"/>
      <c r="Y771" s="2022"/>
      <c r="Z771" s="1707" t="str">
        <f t="shared" si="170"/>
        <v/>
      </c>
      <c r="AA771" s="1706"/>
      <c r="AB771" s="1840" t="s">
        <v>1714</v>
      </c>
      <c r="AC771" s="1841" t="s">
        <v>9399</v>
      </c>
      <c r="AD771" s="5870" t="s">
        <v>9400</v>
      </c>
      <c r="AE771" s="5870"/>
      <c r="AF771" s="5870"/>
      <c r="AG771" s="5870"/>
      <c r="AH771" s="5870"/>
      <c r="AI771" s="5870"/>
      <c r="AJ771" s="5870"/>
      <c r="AK771" s="5870"/>
      <c r="AL771" s="5870"/>
      <c r="AM771" s="5870"/>
      <c r="AN771" s="5870"/>
      <c r="AO771" s="5870"/>
      <c r="AP771" s="5870"/>
      <c r="AQ771" s="5870"/>
      <c r="AR771" s="5870"/>
      <c r="AS771" s="5870"/>
      <c r="AT771" s="5870"/>
      <c r="AU771" s="5871"/>
    </row>
    <row r="772" spans="1:47" ht="12.75" customHeight="1" x14ac:dyDescent="0.2">
      <c r="A772" s="302">
        <v>772</v>
      </c>
      <c r="B772" s="5720"/>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20"/>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806" t="s">
        <v>2529</v>
      </c>
      <c r="W773" s="5806"/>
      <c r="X773" s="5807"/>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20"/>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806" t="s">
        <v>2531</v>
      </c>
      <c r="W774" s="5806"/>
      <c r="X774" s="5807"/>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20"/>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808" t="s">
        <v>9405</v>
      </c>
      <c r="W775" s="5806"/>
      <c r="X775" s="5807"/>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20"/>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808" t="s">
        <v>9406</v>
      </c>
      <c r="W776" s="5806"/>
      <c r="X776" s="5807"/>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20"/>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20"/>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20"/>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806" t="s">
        <v>2534</v>
      </c>
      <c r="W779" s="5806"/>
      <c r="X779" s="5807"/>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20"/>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806" t="s">
        <v>2536</v>
      </c>
      <c r="W780" s="5806"/>
      <c r="X780" s="5807"/>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20"/>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806" t="s">
        <v>2538</v>
      </c>
      <c r="W781" s="5806"/>
      <c r="X781" s="5807"/>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20"/>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806" t="s">
        <v>2540</v>
      </c>
      <c r="W782" s="5806"/>
      <c r="X782" s="5807"/>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20"/>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20"/>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20"/>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20"/>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20"/>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20"/>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20"/>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20"/>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20"/>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20"/>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20"/>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20"/>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20"/>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20"/>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20"/>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720"/>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720"/>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720"/>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20"/>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720"/>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20"/>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720"/>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720"/>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720"/>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720"/>
      <c r="H807" s="222"/>
      <c r="I807" s="726"/>
      <c r="N807" s="222"/>
      <c r="O807" s="983"/>
    </row>
    <row r="808" spans="1:64" ht="12.75" customHeight="1" x14ac:dyDescent="0.2">
      <c r="A808" s="302">
        <v>808</v>
      </c>
      <c r="B808" s="5720"/>
      <c r="C808" s="5719" t="s">
        <v>8105</v>
      </c>
      <c r="D808" s="5719"/>
      <c r="E808" s="5719"/>
      <c r="F808" s="5719"/>
      <c r="G808" s="5719"/>
      <c r="H808" s="5719"/>
      <c r="I808" s="5719"/>
      <c r="J808" s="5719"/>
      <c r="K808" s="5719"/>
      <c r="L808" s="5719"/>
      <c r="M808" s="5719"/>
      <c r="N808" s="5719"/>
      <c r="O808" s="5719"/>
      <c r="P808" s="5719"/>
      <c r="Q808" s="5719"/>
      <c r="R808" s="5719"/>
      <c r="S808" s="5719"/>
      <c r="T808" s="5719"/>
      <c r="U808" s="5719"/>
      <c r="V808" s="5719"/>
      <c r="W808" s="5719"/>
      <c r="X808" s="5719"/>
      <c r="Y808" s="5719"/>
      <c r="Z808" s="5719"/>
      <c r="AA808" s="5719"/>
      <c r="AB808" s="5719"/>
      <c r="AC808" s="5719"/>
      <c r="AD808" s="5719"/>
      <c r="AE808" s="5719"/>
      <c r="AF808" s="5719"/>
      <c r="AG808" s="5719"/>
      <c r="AH808" s="5719"/>
      <c r="AI808" s="5719"/>
      <c r="AJ808" s="5719"/>
      <c r="AK808" s="5719"/>
      <c r="AL808" s="5719"/>
      <c r="AM808" s="5719"/>
      <c r="AN808" s="5719"/>
      <c r="AO808" s="5719"/>
      <c r="AP808" s="5719"/>
      <c r="AQ808" s="5719"/>
      <c r="AR808" s="5719"/>
      <c r="AS808" s="5719"/>
      <c r="AT808" s="5719"/>
      <c r="AU808" s="5719"/>
      <c r="AV808" s="5719"/>
      <c r="AW808" s="5719"/>
      <c r="AX808" s="5719"/>
      <c r="AY808" s="5719"/>
      <c r="AZ808" s="5719"/>
      <c r="BA808" s="5719"/>
      <c r="BB808" s="5719"/>
      <c r="BC808" s="5719"/>
      <c r="BD808" s="5719"/>
      <c r="BE808" s="5719"/>
      <c r="BF808" s="5719"/>
      <c r="BG808" s="5719"/>
      <c r="BH808" s="5719"/>
      <c r="BI808" s="5719"/>
      <c r="BJ808" s="5719"/>
      <c r="BK808" s="5719"/>
      <c r="BL808" s="5719"/>
    </row>
    <row r="809" spans="1:64" ht="12.75" customHeight="1" x14ac:dyDescent="0.2">
      <c r="A809" s="302">
        <v>809</v>
      </c>
      <c r="B809" s="5720"/>
      <c r="C809" s="5719"/>
      <c r="D809" s="5719"/>
      <c r="E809" s="5719"/>
      <c r="F809" s="5719"/>
      <c r="G809" s="5719"/>
      <c r="H809" s="5719"/>
      <c r="I809" s="5719"/>
      <c r="J809" s="5719"/>
      <c r="K809" s="5719"/>
      <c r="L809" s="5719"/>
      <c r="M809" s="5719"/>
      <c r="N809" s="5719"/>
      <c r="O809" s="5719"/>
      <c r="P809" s="5719"/>
      <c r="Q809" s="5719"/>
      <c r="R809" s="5719"/>
      <c r="S809" s="5719"/>
      <c r="T809" s="5719"/>
      <c r="U809" s="5719"/>
      <c r="V809" s="5719"/>
      <c r="W809" s="5719"/>
      <c r="X809" s="5719"/>
      <c r="Y809" s="5719"/>
      <c r="Z809" s="5719"/>
      <c r="AA809" s="5719"/>
      <c r="AB809" s="5719"/>
      <c r="AC809" s="5719"/>
      <c r="AD809" s="5719"/>
      <c r="AE809" s="5719"/>
      <c r="AF809" s="5719"/>
      <c r="AG809" s="5719"/>
      <c r="AH809" s="5719"/>
      <c r="AI809" s="5719"/>
      <c r="AJ809" s="5719"/>
      <c r="AK809" s="5719"/>
      <c r="AL809" s="5719"/>
      <c r="AM809" s="5719"/>
      <c r="AN809" s="5719"/>
      <c r="AO809" s="5719"/>
      <c r="AP809" s="5719"/>
      <c r="AQ809" s="5719"/>
      <c r="AR809" s="5719"/>
      <c r="AS809" s="5719"/>
      <c r="AT809" s="5719"/>
      <c r="AU809" s="5719"/>
      <c r="AV809" s="5719"/>
      <c r="AW809" s="5719"/>
      <c r="AX809" s="5719"/>
      <c r="AY809" s="5719"/>
      <c r="AZ809" s="5719"/>
      <c r="BA809" s="5719"/>
      <c r="BB809" s="5719"/>
      <c r="BC809" s="5719"/>
      <c r="BD809" s="5719"/>
      <c r="BE809" s="5719"/>
      <c r="BF809" s="5719"/>
      <c r="BG809" s="5719"/>
      <c r="BH809" s="5719"/>
      <c r="BI809" s="5719"/>
      <c r="BJ809" s="5719"/>
      <c r="BK809" s="5719"/>
      <c r="BL809" s="5719"/>
    </row>
    <row r="810" spans="1:64" ht="12.75" customHeight="1" x14ac:dyDescent="0.2">
      <c r="A810" s="302">
        <v>810</v>
      </c>
      <c r="B810" s="5720"/>
      <c r="C810" s="5719"/>
      <c r="D810" s="5719"/>
      <c r="E810" s="5719"/>
      <c r="F810" s="5719"/>
      <c r="G810" s="5719"/>
      <c r="H810" s="5719"/>
      <c r="I810" s="5719"/>
      <c r="J810" s="5719"/>
      <c r="K810" s="5719"/>
      <c r="L810" s="5719"/>
      <c r="M810" s="5719"/>
      <c r="N810" s="5719"/>
      <c r="O810" s="5719"/>
      <c r="P810" s="5719"/>
      <c r="Q810" s="5719"/>
      <c r="R810" s="5719"/>
      <c r="S810" s="5719"/>
      <c r="T810" s="5719"/>
      <c r="U810" s="5719"/>
      <c r="V810" s="5719"/>
      <c r="W810" s="5719"/>
      <c r="X810" s="5719"/>
      <c r="Y810" s="5719"/>
      <c r="Z810" s="5719"/>
      <c r="AA810" s="5719"/>
      <c r="AB810" s="5719"/>
      <c r="AC810" s="5719"/>
      <c r="AD810" s="5719"/>
      <c r="AE810" s="5719"/>
      <c r="AF810" s="5719"/>
      <c r="AG810" s="5719"/>
      <c r="AH810" s="5719"/>
      <c r="AI810" s="5719"/>
      <c r="AJ810" s="5719"/>
      <c r="AK810" s="5719"/>
      <c r="AL810" s="5719"/>
      <c r="AM810" s="5719"/>
      <c r="AN810" s="5719"/>
      <c r="AO810" s="5719"/>
      <c r="AP810" s="5719"/>
      <c r="AQ810" s="5719"/>
      <c r="AR810" s="5719"/>
      <c r="AS810" s="5719"/>
      <c r="AT810" s="5719"/>
      <c r="AU810" s="5719"/>
      <c r="AV810" s="5719"/>
      <c r="AW810" s="5719"/>
      <c r="AX810" s="5719"/>
      <c r="AY810" s="5719"/>
      <c r="AZ810" s="5719"/>
      <c r="BA810" s="5719"/>
      <c r="BB810" s="5719"/>
      <c r="BC810" s="5719"/>
      <c r="BD810" s="5719"/>
      <c r="BE810" s="5719"/>
      <c r="BF810" s="5719"/>
      <c r="BG810" s="5719"/>
      <c r="BH810" s="5719"/>
      <c r="BI810" s="5719"/>
      <c r="BJ810" s="5719"/>
      <c r="BK810" s="5719"/>
      <c r="BL810" s="5719"/>
    </row>
    <row r="811" spans="1:64" ht="12.75" customHeight="1" thickBot="1" x14ac:dyDescent="0.25">
      <c r="A811" s="302">
        <v>811</v>
      </c>
      <c r="B811" s="5720"/>
      <c r="C811" s="920"/>
      <c r="H811" s="222"/>
      <c r="N811" s="222"/>
    </row>
    <row r="812" spans="1:64" ht="12.75" customHeight="1" thickBot="1" x14ac:dyDescent="0.25">
      <c r="A812" s="302">
        <v>812</v>
      </c>
      <c r="B812" s="5720"/>
      <c r="C812" s="6024" t="s">
        <v>1121</v>
      </c>
      <c r="D812" s="6025"/>
      <c r="E812" s="6025"/>
      <c r="F812" s="6025"/>
      <c r="G812" s="6025"/>
      <c r="H812" s="6025"/>
      <c r="I812" s="6025"/>
      <c r="J812" s="6025"/>
      <c r="K812" s="6025"/>
      <c r="L812" s="6025"/>
      <c r="M812" s="6025"/>
      <c r="N812" s="6025"/>
      <c r="O812" s="6025"/>
      <c r="P812" s="6025"/>
      <c r="Q812" s="6025"/>
      <c r="R812" s="6025"/>
      <c r="S812" s="6025"/>
      <c r="T812" s="6025"/>
      <c r="U812" s="6025"/>
      <c r="V812" s="6025"/>
      <c r="W812" s="6025"/>
      <c r="X812" s="6025"/>
      <c r="Y812" s="6025"/>
      <c r="Z812" s="6025"/>
      <c r="AA812" s="6025"/>
      <c r="AB812" s="6025"/>
      <c r="AC812" s="6026"/>
      <c r="AD812" s="2642"/>
      <c r="AE812" s="5912" t="s">
        <v>9589</v>
      </c>
      <c r="AF812" s="5913"/>
      <c r="AG812" s="5914"/>
      <c r="AI812" s="5912" t="s">
        <v>9601</v>
      </c>
      <c r="AJ812" s="5913"/>
      <c r="AK812" s="5913"/>
      <c r="AL812" s="5913"/>
      <c r="AM812" s="5913"/>
      <c r="AN812" s="5913"/>
      <c r="AO812" s="5913"/>
      <c r="AP812" s="5913"/>
      <c r="AQ812" s="5913"/>
      <c r="AR812" s="5913"/>
      <c r="AS812" s="5913"/>
      <c r="AT812" s="5913"/>
      <c r="AU812" s="5913"/>
      <c r="AV812" s="5913"/>
      <c r="AW812" s="5913"/>
      <c r="AX812" s="5913"/>
      <c r="AY812" s="5913"/>
      <c r="AZ812" s="5913"/>
      <c r="BA812" s="5913"/>
      <c r="BB812" s="5913"/>
      <c r="BC812" s="5913"/>
      <c r="BD812" s="5913"/>
      <c r="BE812" s="5913"/>
      <c r="BF812" s="5913"/>
      <c r="BG812" s="5913"/>
      <c r="BH812" s="5913"/>
      <c r="BI812" s="5913"/>
      <c r="BJ812" s="5913"/>
      <c r="BK812" s="5913"/>
      <c r="BL812" s="5914"/>
    </row>
    <row r="813" spans="1:64" ht="12.75" customHeight="1" thickBot="1" x14ac:dyDescent="0.25">
      <c r="A813" s="302">
        <v>813</v>
      </c>
      <c r="B813" s="5720"/>
      <c r="C813" s="6027"/>
      <c r="D813" s="6028"/>
      <c r="E813" s="6028"/>
      <c r="F813" s="6028"/>
      <c r="G813" s="6028"/>
      <c r="H813" s="6028"/>
      <c r="I813" s="6028"/>
      <c r="J813" s="6028"/>
      <c r="K813" s="6028"/>
      <c r="L813" s="6028"/>
      <c r="M813" s="6028"/>
      <c r="N813" s="6028"/>
      <c r="O813" s="6028"/>
      <c r="P813" s="6028"/>
      <c r="Q813" s="6028"/>
      <c r="R813" s="6028"/>
      <c r="S813" s="6028"/>
      <c r="T813" s="6028"/>
      <c r="U813" s="6028"/>
      <c r="V813" s="6028"/>
      <c r="W813" s="6028"/>
      <c r="X813" s="6028"/>
      <c r="Y813" s="6028"/>
      <c r="Z813" s="6028"/>
      <c r="AA813" s="6028"/>
      <c r="AB813" s="6028"/>
      <c r="AC813" s="6029"/>
      <c r="AD813" s="2642"/>
      <c r="AE813" s="2675" t="s">
        <v>6889</v>
      </c>
      <c r="AF813" s="2670" t="s">
        <v>2369</v>
      </c>
      <c r="AG813" s="2671" t="s">
        <v>9590</v>
      </c>
      <c r="AI813" s="6014" t="s">
        <v>9602</v>
      </c>
      <c r="AJ813" s="6016"/>
      <c r="AK813" s="6020" t="b">
        <f>Arma_Desarrollada="Desarmado"</f>
        <v>1</v>
      </c>
      <c r="AL813" s="6021"/>
      <c r="AM813" s="6011" t="str">
        <f>IF(Categoría_1="","",Categoría_1)</f>
        <v/>
      </c>
      <c r="AN813" s="6012"/>
      <c r="AO813" s="6012"/>
      <c r="AP813" s="6012"/>
      <c r="AQ813" s="6013"/>
      <c r="AR813" s="6014" t="str">
        <f>IF(Categoría_2="","",Categoría_2)</f>
        <v/>
      </c>
      <c r="AS813" s="6015"/>
      <c r="AT813" s="6015"/>
      <c r="AU813" s="6015"/>
      <c r="AV813" s="6016"/>
      <c r="AW813" s="6014" t="str">
        <f>IF(Categoría_3="","",Categoría_3)</f>
        <v/>
      </c>
      <c r="AX813" s="6015"/>
      <c r="AY813" s="6015"/>
      <c r="AZ813" s="6015"/>
      <c r="BA813" s="6016"/>
      <c r="BB813" s="6014" t="str">
        <f>IF(Categoría_4="","",Categoría_4)</f>
        <v/>
      </c>
      <c r="BC813" s="6015"/>
      <c r="BD813" s="6015"/>
      <c r="BE813" s="6015"/>
      <c r="BF813" s="6016"/>
      <c r="BG813" s="6014" t="str">
        <f>IF(Categoría_5="","",Categoría_5)</f>
        <v/>
      </c>
      <c r="BH813" s="6015"/>
      <c r="BI813" s="6015"/>
      <c r="BJ813" s="6015"/>
      <c r="BK813" s="6016"/>
      <c r="BL813" s="6017" t="s">
        <v>9603</v>
      </c>
    </row>
    <row r="814" spans="1:64" ht="12.75" customHeight="1" thickBot="1" x14ac:dyDescent="0.25">
      <c r="A814" s="302">
        <v>814</v>
      </c>
      <c r="B814" s="5720"/>
      <c r="C814" s="5877">
        <v>1</v>
      </c>
      <c r="D814" s="5878"/>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22" t="s">
        <v>9607</v>
      </c>
      <c r="AB814" s="6022"/>
      <c r="AC814" s="6023"/>
      <c r="AE814" s="2676" t="s">
        <v>9591</v>
      </c>
      <c r="AF814" s="1369">
        <v>10</v>
      </c>
      <c r="AG814" s="2672">
        <v>20</v>
      </c>
      <c r="AI814" s="6033" t="s">
        <v>9608</v>
      </c>
      <c r="AJ814" s="6034"/>
      <c r="AK814" s="6031" t="b">
        <f>OR(Categoría_2&lt;&gt;"",Categoría_3&lt;&gt;"",Categoría_4&lt;&gt;"",Categoría_5&lt;&gt;"")</f>
        <v>0</v>
      </c>
      <c r="AL814" s="6032"/>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6018"/>
    </row>
    <row r="815" spans="1:64" ht="12.75" customHeight="1" thickBot="1" x14ac:dyDescent="0.25">
      <c r="A815" s="302">
        <v>815</v>
      </c>
      <c r="B815" s="5720"/>
      <c r="C815" s="5937" t="s">
        <v>1122</v>
      </c>
      <c r="D815" s="5938"/>
      <c r="E815" s="2640" t="s">
        <v>1123</v>
      </c>
      <c r="F815" s="2640" t="s">
        <v>1124</v>
      </c>
      <c r="G815" s="2640" t="s">
        <v>9615</v>
      </c>
      <c r="H815" s="2640" t="s">
        <v>1125</v>
      </c>
      <c r="I815" s="2640" t="s">
        <v>7979</v>
      </c>
      <c r="J815" s="2640" t="s">
        <v>7980</v>
      </c>
      <c r="K815" s="2640" t="s">
        <v>1126</v>
      </c>
      <c r="L815" s="4343" t="s">
        <v>1751</v>
      </c>
      <c r="M815" s="4343"/>
      <c r="N815" s="4343"/>
      <c r="O815" s="4343"/>
      <c r="P815" s="4343"/>
      <c r="Q815" s="4343"/>
      <c r="R815" s="4343"/>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6019"/>
    </row>
    <row r="816" spans="1:64" ht="12.75" customHeight="1" x14ac:dyDescent="0.2">
      <c r="A816" s="302">
        <v>816</v>
      </c>
      <c r="B816" s="5720"/>
      <c r="C816" s="750"/>
      <c r="D816" s="111" t="s">
        <v>1132</v>
      </c>
      <c r="E816" s="2644"/>
      <c r="F816" s="2644"/>
      <c r="G816" s="2644"/>
      <c r="H816" s="2644"/>
      <c r="I816" s="2644"/>
      <c r="J816" s="2644"/>
      <c r="K816" s="2644"/>
      <c r="L816" s="5915" t="s">
        <v>1729</v>
      </c>
      <c r="M816" s="5915"/>
      <c r="N816" s="5915"/>
      <c r="O816" s="5915"/>
      <c r="P816" s="5915"/>
      <c r="Q816" s="5915"/>
      <c r="R816" s="5915"/>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720"/>
      <c r="C817" s="750"/>
      <c r="D817" s="282" t="s">
        <v>1133</v>
      </c>
      <c r="E817" s="2644">
        <f>10+Bono_Fue</f>
        <v>10</v>
      </c>
      <c r="F817" s="2644"/>
      <c r="G817" s="2644">
        <v>0</v>
      </c>
      <c r="H817" s="2644"/>
      <c r="I817" s="2644"/>
      <c r="J817" s="2644"/>
      <c r="K817" s="2644"/>
      <c r="L817" s="5915" t="s">
        <v>1134</v>
      </c>
      <c r="M817" s="5915"/>
      <c r="N817" s="5915"/>
      <c r="O817" s="5915"/>
      <c r="P817" s="5915"/>
      <c r="Q817" s="5915"/>
      <c r="R817" s="5915"/>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720"/>
      <c r="C818" s="750"/>
      <c r="D818" s="282" t="s">
        <v>1135</v>
      </c>
      <c r="E818" s="2644">
        <f>10+Bono_Fue</f>
        <v>10</v>
      </c>
      <c r="F818" s="2644"/>
      <c r="G818" s="2644">
        <v>10</v>
      </c>
      <c r="H818" s="2644"/>
      <c r="I818" s="2644">
        <v>10</v>
      </c>
      <c r="J818" s="2644">
        <v>10</v>
      </c>
      <c r="K818" s="2644"/>
      <c r="L818" s="5915" t="s">
        <v>9609</v>
      </c>
      <c r="M818" s="5915"/>
      <c r="N818" s="5915"/>
      <c r="O818" s="5915"/>
      <c r="P818" s="5915"/>
      <c r="Q818" s="5915"/>
      <c r="R818" s="5915"/>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720"/>
      <c r="C819" s="750"/>
      <c r="D819" s="282" t="s">
        <v>1136</v>
      </c>
      <c r="E819" s="2644">
        <f>10+Bono_Fue</f>
        <v>10</v>
      </c>
      <c r="F819" s="2644"/>
      <c r="G819" s="2644">
        <v>20</v>
      </c>
      <c r="H819" s="2644"/>
      <c r="I819" s="2644">
        <v>10</v>
      </c>
      <c r="J819" s="2644">
        <v>10</v>
      </c>
      <c r="K819" s="2644"/>
      <c r="L819" s="5915" t="s">
        <v>9613</v>
      </c>
      <c r="M819" s="5915"/>
      <c r="N819" s="5915"/>
      <c r="O819" s="5915"/>
      <c r="P819" s="5915"/>
      <c r="Q819" s="5915"/>
      <c r="R819" s="5915"/>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720"/>
      <c r="C820" s="750"/>
      <c r="D820" s="282" t="s">
        <v>1137</v>
      </c>
      <c r="E820" s="2644">
        <f>10+2*Bono_Fue</f>
        <v>10</v>
      </c>
      <c r="F820" s="2644"/>
      <c r="G820" s="2644">
        <v>0</v>
      </c>
      <c r="H820" s="2644"/>
      <c r="I820" s="2644"/>
      <c r="J820" s="2644"/>
      <c r="K820" s="2644">
        <v>5</v>
      </c>
      <c r="L820" s="5915" t="s">
        <v>1729</v>
      </c>
      <c r="M820" s="5915"/>
      <c r="N820" s="5915"/>
      <c r="O820" s="5915"/>
      <c r="P820" s="5915"/>
      <c r="Q820" s="5915"/>
      <c r="R820" s="5915"/>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720"/>
      <c r="C821" s="750"/>
      <c r="D821" s="282" t="s">
        <v>1138</v>
      </c>
      <c r="E821" s="2644">
        <f>20+2*Bono_Fue</f>
        <v>20</v>
      </c>
      <c r="F821" s="2644"/>
      <c r="G821" s="2644">
        <v>10</v>
      </c>
      <c r="H821" s="2644"/>
      <c r="I821" s="2644"/>
      <c r="J821" s="2644"/>
      <c r="K821" s="2644">
        <v>5</v>
      </c>
      <c r="L821" s="5915" t="s">
        <v>1139</v>
      </c>
      <c r="M821" s="5915"/>
      <c r="N821" s="5915"/>
      <c r="O821" s="5915"/>
      <c r="P821" s="5915"/>
      <c r="Q821" s="5915"/>
      <c r="R821" s="5915"/>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720"/>
      <c r="C822" s="750"/>
      <c r="D822" s="282" t="s">
        <v>1140</v>
      </c>
      <c r="E822" s="2644">
        <f>30+2*Bono_Fue</f>
        <v>30</v>
      </c>
      <c r="F822" s="2644"/>
      <c r="G822" s="2644">
        <v>20</v>
      </c>
      <c r="H822" s="2644">
        <v>10</v>
      </c>
      <c r="I822" s="2644"/>
      <c r="J822" s="2644"/>
      <c r="K822" s="2644">
        <v>10</v>
      </c>
      <c r="L822" s="5915" t="s">
        <v>1139</v>
      </c>
      <c r="M822" s="5915"/>
      <c r="N822" s="5915"/>
      <c r="O822" s="5915"/>
      <c r="P822" s="5915"/>
      <c r="Q822" s="5915"/>
      <c r="R822" s="5915"/>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720"/>
      <c r="C823" s="750"/>
      <c r="D823" s="282" t="s">
        <v>1141</v>
      </c>
      <c r="E823" s="2644">
        <f>20+Bono_Fue</f>
        <v>20</v>
      </c>
      <c r="F823" s="2644"/>
      <c r="G823" s="2644">
        <v>0</v>
      </c>
      <c r="H823" s="2644"/>
      <c r="I823" s="2644"/>
      <c r="J823" s="2644"/>
      <c r="K823" s="2644"/>
      <c r="L823" s="5915" t="s">
        <v>1142</v>
      </c>
      <c r="M823" s="5915"/>
      <c r="N823" s="5915"/>
      <c r="O823" s="5915"/>
      <c r="P823" s="5915"/>
      <c r="Q823" s="5915"/>
      <c r="R823" s="5915"/>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720"/>
      <c r="C824" s="750"/>
      <c r="D824" s="282" t="s">
        <v>1143</v>
      </c>
      <c r="E824" s="2644">
        <f>20+Bono_Fue</f>
        <v>20</v>
      </c>
      <c r="F824" s="2644"/>
      <c r="G824" s="2644">
        <v>10</v>
      </c>
      <c r="H824" s="2644"/>
      <c r="I824" s="2644">
        <v>10</v>
      </c>
      <c r="J824" s="2644"/>
      <c r="K824" s="2644"/>
      <c r="L824" s="5915" t="s">
        <v>1144</v>
      </c>
      <c r="M824" s="5915"/>
      <c r="N824" s="5915"/>
      <c r="O824" s="5915"/>
      <c r="P824" s="5915"/>
      <c r="Q824" s="5915"/>
      <c r="R824" s="5915"/>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720"/>
      <c r="C825" s="750"/>
      <c r="D825" s="282" t="s">
        <v>1145</v>
      </c>
      <c r="E825" s="2644">
        <f>20+Bono_Fue</f>
        <v>20</v>
      </c>
      <c r="F825" s="2644"/>
      <c r="G825" s="2644">
        <v>20</v>
      </c>
      <c r="H825" s="2644"/>
      <c r="I825" s="2644">
        <v>10</v>
      </c>
      <c r="J825" s="2644"/>
      <c r="K825" s="2644"/>
      <c r="L825" s="5915" t="s">
        <v>9611</v>
      </c>
      <c r="M825" s="5915"/>
      <c r="N825" s="5915"/>
      <c r="O825" s="5915"/>
      <c r="P825" s="5915"/>
      <c r="Q825" s="5915"/>
      <c r="R825" s="5915"/>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720"/>
      <c r="C826" s="750"/>
      <c r="D826" s="282" t="s">
        <v>1146</v>
      </c>
      <c r="E826" s="2644">
        <f>10+Bono_Fue</f>
        <v>10</v>
      </c>
      <c r="F826" s="2644"/>
      <c r="G826" s="2644">
        <v>0</v>
      </c>
      <c r="H826" s="2644"/>
      <c r="I826" s="2644"/>
      <c r="J826" s="2644"/>
      <c r="K826" s="2644"/>
      <c r="L826" s="5915" t="s">
        <v>1147</v>
      </c>
      <c r="M826" s="5915"/>
      <c r="N826" s="5915"/>
      <c r="O826" s="5915"/>
      <c r="P826" s="5915"/>
      <c r="Q826" s="5915"/>
      <c r="R826" s="5915"/>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720"/>
      <c r="C827" s="750"/>
      <c r="D827" s="282" t="s">
        <v>1148</v>
      </c>
      <c r="E827" s="2644">
        <f>20+Bono_Fue</f>
        <v>20</v>
      </c>
      <c r="F827" s="2644"/>
      <c r="G827" s="2644">
        <v>10</v>
      </c>
      <c r="H827" s="2644"/>
      <c r="I827" s="2644"/>
      <c r="J827" s="2644"/>
      <c r="K827" s="2644"/>
      <c r="L827" s="5915" t="s">
        <v>1149</v>
      </c>
      <c r="M827" s="5915"/>
      <c r="N827" s="5915"/>
      <c r="O827" s="5915"/>
      <c r="P827" s="5915"/>
      <c r="Q827" s="5915"/>
      <c r="R827" s="5915"/>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720"/>
      <c r="C828" s="750"/>
      <c r="D828" s="282" t="s">
        <v>1150</v>
      </c>
      <c r="E828" s="2644">
        <f>20+Bono_Fue</f>
        <v>20</v>
      </c>
      <c r="F828" s="2644"/>
      <c r="G828" s="2644">
        <v>20</v>
      </c>
      <c r="H828" s="2644"/>
      <c r="I828" s="2644"/>
      <c r="J828" s="2644"/>
      <c r="K828" s="2644"/>
      <c r="L828" s="5915" t="s">
        <v>9612</v>
      </c>
      <c r="M828" s="5915"/>
      <c r="N828" s="5915"/>
      <c r="O828" s="5915"/>
      <c r="P828" s="5915"/>
      <c r="Q828" s="5915"/>
      <c r="R828" s="5915"/>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720"/>
      <c r="C829" s="750"/>
      <c r="D829" s="282" t="s">
        <v>1151</v>
      </c>
      <c r="E829" s="2644">
        <f>10+Bono_Fue</f>
        <v>10</v>
      </c>
      <c r="F829" s="2644"/>
      <c r="G829" s="2644">
        <v>0</v>
      </c>
      <c r="H829" s="2644"/>
      <c r="I829" s="2644"/>
      <c r="J829" s="2644"/>
      <c r="K829" s="2644"/>
      <c r="L829" s="5915" t="s">
        <v>1152</v>
      </c>
      <c r="M829" s="5915"/>
      <c r="N829" s="5915"/>
      <c r="O829" s="5915"/>
      <c r="P829" s="5915"/>
      <c r="Q829" s="5915"/>
      <c r="R829" s="5915"/>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720"/>
      <c r="C830" s="750"/>
      <c r="D830" s="282" t="s">
        <v>1153</v>
      </c>
      <c r="E830" s="2644">
        <f>20+Bono_Fue</f>
        <v>20</v>
      </c>
      <c r="F830" s="2644"/>
      <c r="G830" s="2644">
        <v>10</v>
      </c>
      <c r="H830" s="2644"/>
      <c r="I830" s="2644">
        <v>10</v>
      </c>
      <c r="J830" s="2644">
        <v>10</v>
      </c>
      <c r="K830" s="2644"/>
      <c r="L830" s="5915" t="s">
        <v>1154</v>
      </c>
      <c r="M830" s="5915"/>
      <c r="N830" s="5915"/>
      <c r="O830" s="5915"/>
      <c r="P830" s="5915"/>
      <c r="Q830" s="5915"/>
      <c r="R830" s="5915"/>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720"/>
      <c r="C831" s="750"/>
      <c r="D831" s="282" t="s">
        <v>1155</v>
      </c>
      <c r="E831" s="2644">
        <f>30+Bono_Fue</f>
        <v>30</v>
      </c>
      <c r="F831" s="2644"/>
      <c r="G831" s="2644">
        <v>20</v>
      </c>
      <c r="H831" s="2644"/>
      <c r="I831" s="2644">
        <v>10</v>
      </c>
      <c r="J831" s="2644">
        <v>10</v>
      </c>
      <c r="K831" s="2644"/>
      <c r="L831" s="5915" t="s">
        <v>9614</v>
      </c>
      <c r="M831" s="5915"/>
      <c r="N831" s="5915"/>
      <c r="O831" s="5915"/>
      <c r="P831" s="5915"/>
      <c r="Q831" s="5915"/>
      <c r="R831" s="5915"/>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720"/>
      <c r="C832" s="750"/>
      <c r="D832" s="282" t="s">
        <v>1156</v>
      </c>
      <c r="E832" s="2644">
        <f>10+Bono_Fue</f>
        <v>10</v>
      </c>
      <c r="F832" s="2644"/>
      <c r="G832" s="2644">
        <v>0</v>
      </c>
      <c r="H832" s="2644"/>
      <c r="I832" s="2644"/>
      <c r="J832" s="2644"/>
      <c r="K832" s="2644"/>
      <c r="L832" s="5915" t="s">
        <v>1157</v>
      </c>
      <c r="M832" s="5915"/>
      <c r="N832" s="5915"/>
      <c r="O832" s="5915"/>
      <c r="P832" s="5915"/>
      <c r="Q832" s="5915"/>
      <c r="R832" s="5915"/>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720"/>
      <c r="C833" s="750"/>
      <c r="D833" s="282" t="s">
        <v>1158</v>
      </c>
      <c r="E833" s="2644">
        <f>20+Bono_Fue</f>
        <v>20</v>
      </c>
      <c r="F833" s="2644"/>
      <c r="G833" s="2644">
        <v>10</v>
      </c>
      <c r="H833" s="2644"/>
      <c r="I833" s="2644"/>
      <c r="J833" s="2644"/>
      <c r="K833" s="2644"/>
      <c r="L833" s="5915" t="s">
        <v>1159</v>
      </c>
      <c r="M833" s="5915"/>
      <c r="N833" s="5915"/>
      <c r="O833" s="5915"/>
      <c r="P833" s="5915"/>
      <c r="Q833" s="5915"/>
      <c r="R833" s="5915"/>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720"/>
      <c r="C834" s="750"/>
      <c r="D834" s="282" t="s">
        <v>1160</v>
      </c>
      <c r="E834" s="2644">
        <f>20+Bono_Fue</f>
        <v>20</v>
      </c>
      <c r="F834" s="2644"/>
      <c r="G834" s="2644">
        <v>20</v>
      </c>
      <c r="H834" s="2644">
        <v>10</v>
      </c>
      <c r="I834" s="2644"/>
      <c r="J834" s="2644"/>
      <c r="K834" s="2644"/>
      <c r="L834" s="5915" t="s">
        <v>9621</v>
      </c>
      <c r="M834" s="5915"/>
      <c r="N834" s="5915"/>
      <c r="O834" s="5915"/>
      <c r="P834" s="5915"/>
      <c r="Q834" s="5915"/>
      <c r="R834" s="5915"/>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720"/>
      <c r="C835" s="750"/>
      <c r="D835" s="282" t="s">
        <v>1161</v>
      </c>
      <c r="E835" s="2644">
        <f>10+Bono_Fue</f>
        <v>10</v>
      </c>
      <c r="F835" s="2644"/>
      <c r="G835" s="2644">
        <v>0</v>
      </c>
      <c r="H835" s="2644"/>
      <c r="I835" s="2644"/>
      <c r="J835" s="2644"/>
      <c r="K835" s="2644"/>
      <c r="L835" s="5915" t="s">
        <v>1162</v>
      </c>
      <c r="M835" s="5915"/>
      <c r="N835" s="5915"/>
      <c r="O835" s="5915"/>
      <c r="P835" s="5915"/>
      <c r="Q835" s="5915"/>
      <c r="R835" s="5915"/>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720"/>
      <c r="C836" s="750"/>
      <c r="D836" s="282" t="s">
        <v>1163</v>
      </c>
      <c r="E836" s="2644">
        <f>20+Bono_Fue</f>
        <v>20</v>
      </c>
      <c r="F836" s="2644"/>
      <c r="G836" s="2644">
        <v>10</v>
      </c>
      <c r="H836" s="2644"/>
      <c r="I836" s="2644"/>
      <c r="J836" s="2644">
        <v>10</v>
      </c>
      <c r="K836" s="2644"/>
      <c r="L836" s="5915" t="s">
        <v>9616</v>
      </c>
      <c r="M836" s="5915"/>
      <c r="N836" s="5915"/>
      <c r="O836" s="5915"/>
      <c r="P836" s="5915"/>
      <c r="Q836" s="5915"/>
      <c r="R836" s="5915"/>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720"/>
      <c r="C837" s="750"/>
      <c r="D837" s="282" t="s">
        <v>1164</v>
      </c>
      <c r="E837" s="2644">
        <f>20+Bono_Fue</f>
        <v>20</v>
      </c>
      <c r="F837" s="2644"/>
      <c r="G837" s="2644">
        <v>20</v>
      </c>
      <c r="H837" s="2644"/>
      <c r="I837" s="2644"/>
      <c r="J837" s="2644">
        <v>10</v>
      </c>
      <c r="K837" s="2644"/>
      <c r="L837" s="5915" t="s">
        <v>9617</v>
      </c>
      <c r="M837" s="5915"/>
      <c r="N837" s="5915"/>
      <c r="O837" s="5915"/>
      <c r="P837" s="5915"/>
      <c r="Q837" s="5915"/>
      <c r="R837" s="5915"/>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720"/>
      <c r="C838" s="750"/>
      <c r="D838" s="282" t="s">
        <v>1165</v>
      </c>
      <c r="E838" s="2644">
        <f>20+Bono_Fue</f>
        <v>20</v>
      </c>
      <c r="F838" s="2644"/>
      <c r="G838" s="2644">
        <v>0</v>
      </c>
      <c r="H838" s="2644"/>
      <c r="I838" s="2644"/>
      <c r="J838" s="2644"/>
      <c r="K838" s="2644"/>
      <c r="L838" s="5915" t="s">
        <v>1729</v>
      </c>
      <c r="M838" s="5915"/>
      <c r="N838" s="5915"/>
      <c r="O838" s="5915"/>
      <c r="P838" s="5915"/>
      <c r="Q838" s="5915"/>
      <c r="R838" s="5915"/>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720"/>
      <c r="C839" s="750"/>
      <c r="D839" s="282" t="s">
        <v>1166</v>
      </c>
      <c r="E839" s="2644">
        <f>20+Bono_Fue</f>
        <v>20</v>
      </c>
      <c r="F839" s="2644"/>
      <c r="G839" s="2644">
        <v>10</v>
      </c>
      <c r="H839" s="2644"/>
      <c r="I839" s="2644"/>
      <c r="J839" s="2644"/>
      <c r="K839" s="2644"/>
      <c r="L839" s="5915" t="s">
        <v>1167</v>
      </c>
      <c r="M839" s="5915"/>
      <c r="N839" s="5915"/>
      <c r="O839" s="5915"/>
      <c r="P839" s="5915"/>
      <c r="Q839" s="5915"/>
      <c r="R839" s="5915"/>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720"/>
      <c r="C840" s="750"/>
      <c r="D840" s="282" t="s">
        <v>1168</v>
      </c>
      <c r="E840" s="2644">
        <f>20+Bono_Fue</f>
        <v>20</v>
      </c>
      <c r="F840" s="2644"/>
      <c r="G840" s="2644">
        <v>20</v>
      </c>
      <c r="H840" s="2644"/>
      <c r="I840" s="2644"/>
      <c r="J840" s="2644"/>
      <c r="K840" s="2644"/>
      <c r="L840" s="5915" t="s">
        <v>9618</v>
      </c>
      <c r="M840" s="5915"/>
      <c r="N840" s="5915"/>
      <c r="O840" s="5915"/>
      <c r="P840" s="5915"/>
      <c r="Q840" s="5915"/>
      <c r="R840" s="5915"/>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720"/>
      <c r="C841" s="750"/>
      <c r="D841" s="282" t="s">
        <v>1169</v>
      </c>
      <c r="E841" s="2644">
        <f>10+Bono_Fue</f>
        <v>10</v>
      </c>
      <c r="F841" s="2644"/>
      <c r="G841" s="2644">
        <v>0</v>
      </c>
      <c r="H841" s="2644"/>
      <c r="I841" s="2644">
        <v>10</v>
      </c>
      <c r="J841" s="2644">
        <v>10</v>
      </c>
      <c r="K841" s="2644"/>
      <c r="L841" s="5915" t="s">
        <v>1729</v>
      </c>
      <c r="M841" s="5915"/>
      <c r="N841" s="5915"/>
      <c r="O841" s="5915"/>
      <c r="P841" s="5915"/>
      <c r="Q841" s="5915"/>
      <c r="R841" s="5915"/>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720"/>
      <c r="C842" s="750"/>
      <c r="D842" s="282" t="s">
        <v>1170</v>
      </c>
      <c r="E842" s="2644">
        <f>20+Bono_Fue</f>
        <v>20</v>
      </c>
      <c r="F842" s="2644"/>
      <c r="G842" s="2644">
        <v>10</v>
      </c>
      <c r="H842" s="2644"/>
      <c r="I842" s="2644"/>
      <c r="J842" s="2644"/>
      <c r="K842" s="2644"/>
      <c r="L842" s="5915" t="s">
        <v>1171</v>
      </c>
      <c r="M842" s="5915"/>
      <c r="N842" s="5915"/>
      <c r="O842" s="5915"/>
      <c r="P842" s="5915"/>
      <c r="Q842" s="5915"/>
      <c r="R842" s="5915"/>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720"/>
      <c r="C843" s="750"/>
      <c r="D843" s="282" t="s">
        <v>1172</v>
      </c>
      <c r="E843" s="2644">
        <f>20+Bono_Fue</f>
        <v>20</v>
      </c>
      <c r="F843" s="2644"/>
      <c r="G843" s="2644">
        <v>20</v>
      </c>
      <c r="H843" s="2644"/>
      <c r="I843" s="2644">
        <v>10</v>
      </c>
      <c r="J843" s="2644">
        <v>10</v>
      </c>
      <c r="K843" s="2644"/>
      <c r="L843" s="5915" t="s">
        <v>9619</v>
      </c>
      <c r="M843" s="5915"/>
      <c r="N843" s="5915"/>
      <c r="O843" s="5915"/>
      <c r="P843" s="5915"/>
      <c r="Q843" s="5915"/>
      <c r="R843" s="5915"/>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720"/>
      <c r="C844" s="750"/>
      <c r="D844" s="282" t="s">
        <v>1173</v>
      </c>
      <c r="E844" s="2644">
        <f>20+Bono_Fue</f>
        <v>20</v>
      </c>
      <c r="F844" s="2644"/>
      <c r="G844" s="2644">
        <v>0</v>
      </c>
      <c r="H844" s="2644"/>
      <c r="I844" s="2644"/>
      <c r="J844" s="2644"/>
      <c r="K844" s="2644"/>
      <c r="L844" s="5915" t="s">
        <v>1174</v>
      </c>
      <c r="M844" s="5915"/>
      <c r="N844" s="5915"/>
      <c r="O844" s="5915"/>
      <c r="P844" s="5915"/>
      <c r="Q844" s="5915"/>
      <c r="R844" s="5915"/>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720"/>
      <c r="C845" s="750"/>
      <c r="D845" s="282" t="s">
        <v>1175</v>
      </c>
      <c r="E845" s="2644">
        <f>30+Bono_Fue</f>
        <v>30</v>
      </c>
      <c r="F845" s="2644"/>
      <c r="G845" s="2644">
        <v>10</v>
      </c>
      <c r="H845" s="2644"/>
      <c r="I845" s="2644"/>
      <c r="J845" s="2644">
        <v>10</v>
      </c>
      <c r="K845" s="2644"/>
      <c r="L845" s="5915" t="s">
        <v>1176</v>
      </c>
      <c r="M845" s="5915"/>
      <c r="N845" s="5915"/>
      <c r="O845" s="5915"/>
      <c r="P845" s="5915"/>
      <c r="Q845" s="5915"/>
      <c r="R845" s="5915"/>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720"/>
      <c r="C846" s="750"/>
      <c r="D846" s="282" t="s">
        <v>1177</v>
      </c>
      <c r="E846" s="2644">
        <f>40+Bono_Fue</f>
        <v>40</v>
      </c>
      <c r="F846" s="2644"/>
      <c r="G846" s="2644">
        <v>20</v>
      </c>
      <c r="H846" s="2644"/>
      <c r="I846" s="2644"/>
      <c r="J846" s="2644">
        <v>20</v>
      </c>
      <c r="K846" s="2644"/>
      <c r="L846" s="5915" t="s">
        <v>1178</v>
      </c>
      <c r="M846" s="5915"/>
      <c r="N846" s="5915"/>
      <c r="O846" s="5915"/>
      <c r="P846" s="5915"/>
      <c r="Q846" s="5915"/>
      <c r="R846" s="5915"/>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720"/>
      <c r="C847" s="750"/>
      <c r="D847" s="282" t="s">
        <v>1179</v>
      </c>
      <c r="E847" s="2644">
        <f>20+2*Bono_Fue</f>
        <v>20</v>
      </c>
      <c r="F847" s="2644"/>
      <c r="G847" s="2644">
        <v>0</v>
      </c>
      <c r="H847" s="2644"/>
      <c r="I847" s="2644"/>
      <c r="J847" s="2644"/>
      <c r="K847" s="2644"/>
      <c r="L847" s="5915" t="s">
        <v>1729</v>
      </c>
      <c r="M847" s="5915"/>
      <c r="N847" s="5915"/>
      <c r="O847" s="5915"/>
      <c r="P847" s="5915"/>
      <c r="Q847" s="5915"/>
      <c r="R847" s="5915"/>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720"/>
      <c r="C848" s="750"/>
      <c r="D848" s="282" t="s">
        <v>1180</v>
      </c>
      <c r="E848" s="2644">
        <f>20+3*Bono_Fue</f>
        <v>20</v>
      </c>
      <c r="F848" s="2644"/>
      <c r="G848" s="2644">
        <v>10</v>
      </c>
      <c r="H848" s="2644"/>
      <c r="I848" s="2644"/>
      <c r="J848" s="2644"/>
      <c r="K848" s="2644"/>
      <c r="L848" s="5915" t="s">
        <v>1729</v>
      </c>
      <c r="M848" s="5915"/>
      <c r="N848" s="5915"/>
      <c r="O848" s="5915"/>
      <c r="P848" s="5915"/>
      <c r="Q848" s="5915"/>
      <c r="R848" s="5915"/>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720"/>
      <c r="C849" s="750"/>
      <c r="D849" s="282" t="s">
        <v>1181</v>
      </c>
      <c r="E849" s="2644">
        <f>20+4*Bono_Fue</f>
        <v>20</v>
      </c>
      <c r="F849" s="2644"/>
      <c r="G849" s="2644">
        <v>20</v>
      </c>
      <c r="H849" s="2644"/>
      <c r="I849" s="2644"/>
      <c r="J849" s="2644"/>
      <c r="K849" s="2644"/>
      <c r="L849" s="5915" t="s">
        <v>1182</v>
      </c>
      <c r="M849" s="5915"/>
      <c r="N849" s="5915"/>
      <c r="O849" s="5915"/>
      <c r="P849" s="5915"/>
      <c r="Q849" s="5915"/>
      <c r="R849" s="5915"/>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720"/>
      <c r="C850" s="750"/>
      <c r="D850" s="282" t="s">
        <v>1183</v>
      </c>
      <c r="E850" s="2644">
        <f>20+Bono_Fue</f>
        <v>20</v>
      </c>
      <c r="F850" s="2644"/>
      <c r="G850" s="2644">
        <v>0</v>
      </c>
      <c r="H850" s="2644"/>
      <c r="I850" s="2644"/>
      <c r="J850" s="2644"/>
      <c r="K850" s="2644"/>
      <c r="L850" s="5915" t="s">
        <v>1184</v>
      </c>
      <c r="M850" s="5915"/>
      <c r="N850" s="5915"/>
      <c r="O850" s="5915"/>
      <c r="P850" s="5915"/>
      <c r="Q850" s="5915"/>
      <c r="R850" s="5915"/>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720"/>
      <c r="C851" s="750"/>
      <c r="D851" s="282" t="s">
        <v>1185</v>
      </c>
      <c r="E851" s="2644">
        <f>20+Bono_Fue</f>
        <v>20</v>
      </c>
      <c r="F851" s="2644"/>
      <c r="G851" s="2644">
        <v>10</v>
      </c>
      <c r="H851" s="2644"/>
      <c r="I851" s="2644"/>
      <c r="J851" s="2644"/>
      <c r="K851" s="2644"/>
      <c r="L851" s="5915" t="s">
        <v>9620</v>
      </c>
      <c r="M851" s="5915"/>
      <c r="N851" s="5915"/>
      <c r="O851" s="5915"/>
      <c r="P851" s="5915"/>
      <c r="Q851" s="5915"/>
      <c r="R851" s="5915"/>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720"/>
      <c r="C852" s="750"/>
      <c r="D852" s="282" t="s">
        <v>1186</v>
      </c>
      <c r="E852" s="2644">
        <f>20+Bono_Fue</f>
        <v>20</v>
      </c>
      <c r="F852" s="2644"/>
      <c r="G852" s="2644">
        <v>20</v>
      </c>
      <c r="H852" s="2644"/>
      <c r="I852" s="2644">
        <v>10</v>
      </c>
      <c r="J852" s="2644">
        <v>10</v>
      </c>
      <c r="K852" s="2644"/>
      <c r="L852" s="5915" t="s">
        <v>9622</v>
      </c>
      <c r="M852" s="5915"/>
      <c r="N852" s="5915"/>
      <c r="O852" s="5915"/>
      <c r="P852" s="5915"/>
      <c r="Q852" s="5915"/>
      <c r="R852" s="5915"/>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720"/>
      <c r="C853" s="750"/>
      <c r="D853" s="282" t="s">
        <v>1187</v>
      </c>
      <c r="E853" s="2644">
        <f>10+Bono_Fue</f>
        <v>10</v>
      </c>
      <c r="F853" s="2644"/>
      <c r="G853" s="2644">
        <v>0</v>
      </c>
      <c r="H853" s="2644"/>
      <c r="I853" s="2644"/>
      <c r="J853" s="2644"/>
      <c r="K853" s="2644"/>
      <c r="L853" s="5915" t="s">
        <v>1188</v>
      </c>
      <c r="M853" s="5915"/>
      <c r="N853" s="5915"/>
      <c r="O853" s="5915"/>
      <c r="P853" s="5915"/>
      <c r="Q853" s="5915"/>
      <c r="R853" s="5915"/>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720"/>
      <c r="C854" s="750"/>
      <c r="D854" s="282" t="s">
        <v>1189</v>
      </c>
      <c r="E854" s="2644">
        <f>20+Bono_Fue</f>
        <v>20</v>
      </c>
      <c r="F854" s="2644"/>
      <c r="G854" s="2644">
        <v>10</v>
      </c>
      <c r="H854" s="2644"/>
      <c r="I854" s="2644"/>
      <c r="J854" s="2644">
        <v>10</v>
      </c>
      <c r="K854" s="2644"/>
      <c r="L854" s="5915" t="s">
        <v>9624</v>
      </c>
      <c r="M854" s="5915"/>
      <c r="N854" s="5915"/>
      <c r="O854" s="5915"/>
      <c r="P854" s="5915"/>
      <c r="Q854" s="5915"/>
      <c r="R854" s="5915"/>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720"/>
      <c r="C855" s="750"/>
      <c r="D855" s="282" t="s">
        <v>1190</v>
      </c>
      <c r="E855" s="2644">
        <f>30+Bono_Fue</f>
        <v>30</v>
      </c>
      <c r="F855" s="2644"/>
      <c r="G855" s="2644">
        <v>20</v>
      </c>
      <c r="H855" s="2644"/>
      <c r="I855" s="2644"/>
      <c r="J855" s="2644">
        <v>10</v>
      </c>
      <c r="K855" s="2644"/>
      <c r="L855" s="5915" t="s">
        <v>9623</v>
      </c>
      <c r="M855" s="5915"/>
      <c r="N855" s="5915"/>
      <c r="O855" s="5915"/>
      <c r="P855" s="5915"/>
      <c r="Q855" s="5915"/>
      <c r="R855" s="5915"/>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720"/>
      <c r="C856" s="750"/>
      <c r="D856" s="282" t="s">
        <v>1191</v>
      </c>
      <c r="E856" s="2644">
        <f>20+Bono_Fue</f>
        <v>20</v>
      </c>
      <c r="F856" s="2644"/>
      <c r="G856" s="2644">
        <v>0</v>
      </c>
      <c r="H856" s="2644">
        <v>5</v>
      </c>
      <c r="I856" s="2644"/>
      <c r="J856" s="2644"/>
      <c r="K856" s="2644"/>
      <c r="L856" s="5915" t="s">
        <v>1729</v>
      </c>
      <c r="M856" s="5915"/>
      <c r="N856" s="5915"/>
      <c r="O856" s="5915"/>
      <c r="P856" s="5915"/>
      <c r="Q856" s="5915"/>
      <c r="R856" s="5915"/>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720"/>
      <c r="C857" s="750"/>
      <c r="D857" s="282" t="s">
        <v>1192</v>
      </c>
      <c r="E857" s="2644">
        <f>30+Bono_Fue</f>
        <v>30</v>
      </c>
      <c r="F857" s="2644"/>
      <c r="G857" s="2644">
        <v>10</v>
      </c>
      <c r="H857" s="2644">
        <v>5</v>
      </c>
      <c r="I857" s="2644"/>
      <c r="J857" s="2644"/>
      <c r="K857" s="2644"/>
      <c r="L857" s="5915" t="s">
        <v>1729</v>
      </c>
      <c r="M857" s="5915"/>
      <c r="N857" s="5915"/>
      <c r="O857" s="5915"/>
      <c r="P857" s="5915"/>
      <c r="Q857" s="5915"/>
      <c r="R857" s="5915"/>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720"/>
      <c r="C858" s="750"/>
      <c r="D858" s="282" t="s">
        <v>1193</v>
      </c>
      <c r="E858" s="2644">
        <f>50+Bono_Fue</f>
        <v>50</v>
      </c>
      <c r="F858" s="2644"/>
      <c r="G858" s="2644">
        <v>20</v>
      </c>
      <c r="H858" s="2644">
        <v>10</v>
      </c>
      <c r="I858" s="2644"/>
      <c r="J858" s="2644"/>
      <c r="K858" s="2644"/>
      <c r="L858" s="5915" t="s">
        <v>1729</v>
      </c>
      <c r="M858" s="5915"/>
      <c r="N858" s="5915"/>
      <c r="O858" s="5915"/>
      <c r="P858" s="5915"/>
      <c r="Q858" s="5915"/>
      <c r="R858" s="5915"/>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720"/>
      <c r="C859" s="750"/>
      <c r="D859" s="282" t="s">
        <v>1194</v>
      </c>
      <c r="E859" s="2644">
        <f>10+Bono_Fue</f>
        <v>10</v>
      </c>
      <c r="F859" s="2644"/>
      <c r="G859" s="2644">
        <v>0</v>
      </c>
      <c r="H859" s="2644"/>
      <c r="I859" s="2644"/>
      <c r="J859" s="2644"/>
      <c r="K859" s="2644"/>
      <c r="L859" s="5915" t="s">
        <v>1195</v>
      </c>
      <c r="M859" s="5915"/>
      <c r="N859" s="5915"/>
      <c r="O859" s="5915"/>
      <c r="P859" s="5915"/>
      <c r="Q859" s="5915"/>
      <c r="R859" s="5915"/>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720"/>
      <c r="C860" s="750"/>
      <c r="D860" s="282" t="s">
        <v>1196</v>
      </c>
      <c r="E860" s="2644">
        <f>20+Bono_Fue</f>
        <v>20</v>
      </c>
      <c r="F860" s="2644"/>
      <c r="G860" s="2644">
        <v>10</v>
      </c>
      <c r="H860" s="2644"/>
      <c r="I860" s="2644">
        <v>10</v>
      </c>
      <c r="J860" s="2644">
        <v>10</v>
      </c>
      <c r="K860" s="2644"/>
      <c r="L860" s="5915" t="s">
        <v>1197</v>
      </c>
      <c r="M860" s="5915"/>
      <c r="N860" s="5915"/>
      <c r="O860" s="5915"/>
      <c r="P860" s="5915"/>
      <c r="Q860" s="5915"/>
      <c r="R860" s="5915"/>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720"/>
      <c r="C861" s="750"/>
      <c r="D861" s="282" t="s">
        <v>1198</v>
      </c>
      <c r="E861" s="2644">
        <f>30+Bono_Fue</f>
        <v>30</v>
      </c>
      <c r="F861" s="2644"/>
      <c r="G861" s="2644">
        <v>20</v>
      </c>
      <c r="H861" s="2644"/>
      <c r="I861" s="2644">
        <v>10</v>
      </c>
      <c r="J861" s="2644">
        <v>10</v>
      </c>
      <c r="K861" s="2644"/>
      <c r="L861" s="5915" t="s">
        <v>9625</v>
      </c>
      <c r="M861" s="5915"/>
      <c r="N861" s="5915"/>
      <c r="O861" s="5915"/>
      <c r="P861" s="5915"/>
      <c r="Q861" s="5915"/>
      <c r="R861" s="5915"/>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720"/>
      <c r="C862" s="750"/>
      <c r="D862" s="282" t="s">
        <v>1199</v>
      </c>
      <c r="E862" s="2644">
        <f>10+Bono_Fue</f>
        <v>10</v>
      </c>
      <c r="F862" s="2644"/>
      <c r="G862" s="2644">
        <v>0</v>
      </c>
      <c r="H862" s="2644"/>
      <c r="I862" s="2644"/>
      <c r="J862" s="2644"/>
      <c r="K862" s="2644"/>
      <c r="L862" s="5915" t="s">
        <v>1200</v>
      </c>
      <c r="M862" s="5915"/>
      <c r="N862" s="5915"/>
      <c r="O862" s="5915"/>
      <c r="P862" s="5915"/>
      <c r="Q862" s="5915"/>
      <c r="R862" s="5915"/>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720"/>
      <c r="C863" s="750"/>
      <c r="D863" s="282" t="s">
        <v>1201</v>
      </c>
      <c r="E863" s="2644">
        <f>20+Bono_Fue</f>
        <v>20</v>
      </c>
      <c r="F863" s="2644"/>
      <c r="G863" s="2644">
        <v>10</v>
      </c>
      <c r="H863" s="2644"/>
      <c r="I863" s="2644"/>
      <c r="J863" s="2644"/>
      <c r="K863" s="2644"/>
      <c r="L863" s="5915" t="s">
        <v>1202</v>
      </c>
      <c r="M863" s="5915"/>
      <c r="N863" s="5915"/>
      <c r="O863" s="5915"/>
      <c r="P863" s="5915"/>
      <c r="Q863" s="5915"/>
      <c r="R863" s="5915"/>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720"/>
      <c r="C864" s="750"/>
      <c r="D864" s="282" t="s">
        <v>1203</v>
      </c>
      <c r="E864" s="2644">
        <f>20+Bono_Fue</f>
        <v>20</v>
      </c>
      <c r="F864" s="2644"/>
      <c r="G864" s="2644">
        <v>20</v>
      </c>
      <c r="H864" s="2644"/>
      <c r="I864" s="2644"/>
      <c r="J864" s="2644"/>
      <c r="K864" s="2644"/>
      <c r="L864" s="5915" t="s">
        <v>1204</v>
      </c>
      <c r="M864" s="5915"/>
      <c r="N864" s="5915"/>
      <c r="O864" s="5915"/>
      <c r="P864" s="5915"/>
      <c r="Q864" s="5915"/>
      <c r="R864" s="5915"/>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720"/>
      <c r="C865" s="750"/>
      <c r="D865" s="282" t="s">
        <v>1205</v>
      </c>
      <c r="E865" s="2644">
        <f>20+Bono_Pod</f>
        <v>20</v>
      </c>
      <c r="F865" s="2644"/>
      <c r="G865" s="2644">
        <v>10</v>
      </c>
      <c r="H865" s="2644"/>
      <c r="I865" s="2644"/>
      <c r="J865" s="2644"/>
      <c r="K865" s="2644"/>
      <c r="L865" s="5915" t="s">
        <v>1729</v>
      </c>
      <c r="M865" s="5915"/>
      <c r="N865" s="5915"/>
      <c r="O865" s="5915"/>
      <c r="P865" s="5915"/>
      <c r="Q865" s="5915"/>
      <c r="R865" s="5915"/>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720"/>
      <c r="C866" s="750"/>
      <c r="D866" s="282" t="s">
        <v>1206</v>
      </c>
      <c r="E866" s="2644">
        <f>20+2*Bono_Pod</f>
        <v>20</v>
      </c>
      <c r="F866" s="2644"/>
      <c r="G866" s="2644">
        <v>30</v>
      </c>
      <c r="H866" s="2644"/>
      <c r="I866" s="2644"/>
      <c r="J866" s="2644"/>
      <c r="K866" s="2644"/>
      <c r="L866" s="5915" t="s">
        <v>1729</v>
      </c>
      <c r="M866" s="5915"/>
      <c r="N866" s="5915"/>
      <c r="O866" s="5915"/>
      <c r="P866" s="5915"/>
      <c r="Q866" s="5915"/>
      <c r="R866" s="5915"/>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720"/>
      <c r="C867" s="750"/>
      <c r="D867" s="282" t="s">
        <v>1207</v>
      </c>
      <c r="E867" s="2644">
        <f>20+2*Bono_Pod</f>
        <v>20</v>
      </c>
      <c r="F867" s="2644">
        <f>Bono_Pod</f>
        <v>0</v>
      </c>
      <c r="G867" s="2644">
        <v>60</v>
      </c>
      <c r="H867" s="2644"/>
      <c r="I867" s="2644"/>
      <c r="J867" s="2644"/>
      <c r="K867" s="2644"/>
      <c r="L867" s="5915" t="s">
        <v>1729</v>
      </c>
      <c r="M867" s="5915"/>
      <c r="N867" s="5915"/>
      <c r="O867" s="5915"/>
      <c r="P867" s="5915"/>
      <c r="Q867" s="5915"/>
      <c r="R867" s="5915"/>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720"/>
      <c r="C868" s="750"/>
      <c r="D868" s="282" t="s">
        <v>1208</v>
      </c>
      <c r="E868" s="2644">
        <f>10+Bono_Fue</f>
        <v>10</v>
      </c>
      <c r="F868" s="2644"/>
      <c r="G868" s="2644">
        <v>0</v>
      </c>
      <c r="H868" s="2644"/>
      <c r="I868" s="2644"/>
      <c r="J868" s="2644"/>
      <c r="K868" s="2644"/>
      <c r="L868" s="5915" t="s">
        <v>1209</v>
      </c>
      <c r="M868" s="5915"/>
      <c r="N868" s="5915"/>
      <c r="O868" s="5915"/>
      <c r="P868" s="5915"/>
      <c r="Q868" s="5915"/>
      <c r="R868" s="5915"/>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720"/>
      <c r="C869" s="750"/>
      <c r="D869" s="282" t="s">
        <v>1210</v>
      </c>
      <c r="E869" s="2644">
        <f>20+Bono_Fue</f>
        <v>20</v>
      </c>
      <c r="F869" s="2644"/>
      <c r="G869" s="2644">
        <v>10</v>
      </c>
      <c r="H869" s="2644"/>
      <c r="I869" s="2644"/>
      <c r="J869" s="2644"/>
      <c r="K869" s="2644"/>
      <c r="L869" s="5915" t="s">
        <v>1211</v>
      </c>
      <c r="M869" s="5915"/>
      <c r="N869" s="5915"/>
      <c r="O869" s="5915"/>
      <c r="P869" s="5915"/>
      <c r="Q869" s="5915"/>
      <c r="R869" s="5915"/>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720"/>
      <c r="C870" s="750"/>
      <c r="D870" s="282" t="s">
        <v>1212</v>
      </c>
      <c r="E870" s="2644">
        <f>30+Bono_Fue</f>
        <v>30</v>
      </c>
      <c r="F870" s="2644"/>
      <c r="G870" s="2644">
        <v>20</v>
      </c>
      <c r="H870" s="2644"/>
      <c r="I870" s="2644"/>
      <c r="J870" s="2644"/>
      <c r="K870" s="2644"/>
      <c r="L870" s="5915" t="s">
        <v>1213</v>
      </c>
      <c r="M870" s="5915"/>
      <c r="N870" s="5915"/>
      <c r="O870" s="5915"/>
      <c r="P870" s="5915"/>
      <c r="Q870" s="5915"/>
      <c r="R870" s="5915"/>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720"/>
      <c r="C871" s="750"/>
      <c r="D871" s="111" t="s">
        <v>1214</v>
      </c>
      <c r="E871" s="2644"/>
      <c r="F871" s="2644"/>
      <c r="G871" s="2644"/>
      <c r="H871" s="2644"/>
      <c r="I871" s="2644"/>
      <c r="J871" s="2644"/>
      <c r="K871" s="2644"/>
      <c r="L871" s="5915" t="s">
        <v>1729</v>
      </c>
      <c r="M871" s="5915"/>
      <c r="N871" s="5915"/>
      <c r="O871" s="5915"/>
      <c r="P871" s="5915"/>
      <c r="Q871" s="5915"/>
      <c r="R871" s="5915"/>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720"/>
      <c r="C872" s="750"/>
      <c r="D872" s="282" t="s">
        <v>1215</v>
      </c>
      <c r="E872" s="2644">
        <v>0</v>
      </c>
      <c r="F872" s="2644">
        <v>10</v>
      </c>
      <c r="G872" s="2644">
        <v>10</v>
      </c>
      <c r="H872" s="2644">
        <v>10</v>
      </c>
      <c r="I872" s="2644">
        <v>10</v>
      </c>
      <c r="J872" s="2644">
        <v>10</v>
      </c>
      <c r="K872" s="2644">
        <v>10</v>
      </c>
      <c r="L872" s="5915" t="s">
        <v>1729</v>
      </c>
      <c r="M872" s="5915"/>
      <c r="N872" s="5915"/>
      <c r="O872" s="5915"/>
      <c r="P872" s="5915"/>
      <c r="Q872" s="5915"/>
      <c r="R872" s="5915"/>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720"/>
      <c r="C873" s="750"/>
      <c r="D873" s="282" t="s">
        <v>1216</v>
      </c>
      <c r="E873" s="2644">
        <v>0</v>
      </c>
      <c r="F873" s="2644"/>
      <c r="G873" s="2644">
        <v>20</v>
      </c>
      <c r="H873" s="2644"/>
      <c r="I873" s="2644"/>
      <c r="J873" s="2644"/>
      <c r="K873" s="2644"/>
      <c r="L873" s="5915" t="s">
        <v>1217</v>
      </c>
      <c r="M873" s="5915"/>
      <c r="N873" s="5915"/>
      <c r="O873" s="5915"/>
      <c r="P873" s="5915"/>
      <c r="Q873" s="5915"/>
      <c r="R873" s="5915"/>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720"/>
      <c r="C874" s="750"/>
      <c r="D874" s="282" t="s">
        <v>1218</v>
      </c>
      <c r="E874" s="2644">
        <v>0</v>
      </c>
      <c r="F874" s="2644">
        <v>10</v>
      </c>
      <c r="G874" s="2644">
        <v>10</v>
      </c>
      <c r="H874" s="2644">
        <v>20</v>
      </c>
      <c r="I874" s="2644"/>
      <c r="J874" s="2644"/>
      <c r="K874" s="2644"/>
      <c r="L874" s="5915" t="s">
        <v>1219</v>
      </c>
      <c r="M874" s="5915"/>
      <c r="N874" s="5915"/>
      <c r="O874" s="5915"/>
      <c r="P874" s="5915"/>
      <c r="Q874" s="5915"/>
      <c r="R874" s="5915"/>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720"/>
      <c r="C875" s="750"/>
      <c r="D875" s="282" t="s">
        <v>1220</v>
      </c>
      <c r="E875" s="2644">
        <v>0</v>
      </c>
      <c r="F875" s="2644">
        <v>10</v>
      </c>
      <c r="G875" s="2644">
        <v>20</v>
      </c>
      <c r="H875" s="2644"/>
      <c r="I875" s="2644"/>
      <c r="J875" s="2644"/>
      <c r="K875" s="2644"/>
      <c r="L875" s="5915" t="s">
        <v>1221</v>
      </c>
      <c r="M875" s="5915"/>
      <c r="N875" s="5915"/>
      <c r="O875" s="5915"/>
      <c r="P875" s="5915"/>
      <c r="Q875" s="5915"/>
      <c r="R875" s="5915"/>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720"/>
      <c r="C876" s="750"/>
      <c r="D876" s="282" t="s">
        <v>1222</v>
      </c>
      <c r="E876" s="2644">
        <v>0</v>
      </c>
      <c r="F876" s="2644"/>
      <c r="G876" s="2644">
        <v>10</v>
      </c>
      <c r="H876" s="2644">
        <v>20</v>
      </c>
      <c r="I876" s="2644"/>
      <c r="J876" s="2644"/>
      <c r="K876" s="2644">
        <v>10</v>
      </c>
      <c r="L876" s="5915" t="str">
        <f>IF($Y$846=0,"Desarmar sin penalizador y con +3 a los controles enfrentados","Desarmar sin penalizador y con +4 a los controles enfrentados")</f>
        <v>Desarmar sin penalizador y con +3 a los controles enfrentados</v>
      </c>
      <c r="M876" s="5915"/>
      <c r="N876" s="5915"/>
      <c r="O876" s="5915"/>
      <c r="P876" s="5915"/>
      <c r="Q876" s="5915"/>
      <c r="R876" s="5915"/>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720"/>
      <c r="C877" s="750"/>
      <c r="D877" s="282" t="s">
        <v>1223</v>
      </c>
      <c r="E877" s="2644">
        <v>0</v>
      </c>
      <c r="F877" s="2644"/>
      <c r="G877" s="2644">
        <v>20</v>
      </c>
      <c r="H877" s="2644"/>
      <c r="I877" s="2644"/>
      <c r="J877" s="2644"/>
      <c r="K877" s="2644">
        <v>10</v>
      </c>
      <c r="L877" s="5915" t="str">
        <f>IF($Y$846=0,"Desarmar bono +3 y sin penalizador","Desarmar bono +4 y sin penalizador")&amp;". Chequeo de Desarmar en cada Parada con éxito"</f>
        <v>Desarmar bono +3 y sin penalizador. Chequeo de Desarmar en cada Parada con éxito</v>
      </c>
      <c r="M877" s="5915"/>
      <c r="N877" s="5915"/>
      <c r="O877" s="5915"/>
      <c r="P877" s="5915"/>
      <c r="Q877" s="5915"/>
      <c r="R877" s="5915"/>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720"/>
      <c r="C878" s="750"/>
      <c r="D878" s="282" t="s">
        <v>1224</v>
      </c>
      <c r="E878" s="2644">
        <v>0</v>
      </c>
      <c r="F878" s="2644"/>
      <c r="G878" s="2644">
        <v>10</v>
      </c>
      <c r="H878" s="2644"/>
      <c r="I878" s="2644">
        <v>20</v>
      </c>
      <c r="J878" s="2644">
        <v>20</v>
      </c>
      <c r="K878" s="2644"/>
      <c r="L878" s="5915" t="s">
        <v>1225</v>
      </c>
      <c r="M878" s="5915"/>
      <c r="N878" s="5915"/>
      <c r="O878" s="5915"/>
      <c r="P878" s="5915"/>
      <c r="Q878" s="5915"/>
      <c r="R878" s="5915"/>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720"/>
      <c r="C879" s="750"/>
      <c r="D879" s="282" t="s">
        <v>1226</v>
      </c>
      <c r="E879" s="2644">
        <v>0</v>
      </c>
      <c r="F879" s="2644"/>
      <c r="G879" s="2644">
        <v>20</v>
      </c>
      <c r="H879" s="2644"/>
      <c r="I879" s="2644"/>
      <c r="J879" s="2644"/>
      <c r="K879" s="2644"/>
      <c r="L879" s="5915" t="s">
        <v>9626</v>
      </c>
      <c r="M879" s="5915"/>
      <c r="N879" s="5915"/>
      <c r="O879" s="5915"/>
      <c r="P879" s="5915"/>
      <c r="Q879" s="5915"/>
      <c r="R879" s="5915"/>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720"/>
      <c r="C880" s="750"/>
      <c r="D880" s="282" t="s">
        <v>1227</v>
      </c>
      <c r="E880" s="2644">
        <f>2*Presencia_final+Bono_Pod-Combate!$L$24</f>
        <v>40</v>
      </c>
      <c r="F880" s="2644"/>
      <c r="G880" s="2644">
        <v>15</v>
      </c>
      <c r="H880" s="2644">
        <v>10</v>
      </c>
      <c r="I880" s="2644"/>
      <c r="J880" s="2644"/>
      <c r="K880" s="2644"/>
      <c r="L880" s="5915" t="s">
        <v>1228</v>
      </c>
      <c r="M880" s="5915"/>
      <c r="N880" s="5915"/>
      <c r="O880" s="5915"/>
      <c r="P880" s="5915"/>
      <c r="Q880" s="5915"/>
      <c r="R880" s="5915"/>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720"/>
      <c r="C881" s="750"/>
      <c r="D881" s="282" t="s">
        <v>1229</v>
      </c>
      <c r="E881" s="2644">
        <f>2*Presencia_final+Bono_Pod-Combate!$L$24</f>
        <v>40</v>
      </c>
      <c r="F881" s="2644"/>
      <c r="G881" s="2644">
        <v>35</v>
      </c>
      <c r="H881" s="2644"/>
      <c r="I881" s="2644"/>
      <c r="J881" s="2644"/>
      <c r="K881" s="2644"/>
      <c r="L881" s="5915" t="s">
        <v>1228</v>
      </c>
      <c r="M881" s="5915"/>
      <c r="N881" s="5915"/>
      <c r="O881" s="5915"/>
      <c r="P881" s="5915"/>
      <c r="Q881" s="5915"/>
      <c r="R881" s="5915"/>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720"/>
      <c r="C882" s="750"/>
      <c r="D882" s="282" t="s">
        <v>1230</v>
      </c>
      <c r="E882" s="2644">
        <v>0</v>
      </c>
      <c r="F882" s="2644"/>
      <c r="G882" s="2644">
        <v>10</v>
      </c>
      <c r="H882" s="2644">
        <v>10</v>
      </c>
      <c r="I882" s="2644"/>
      <c r="J882" s="2644"/>
      <c r="K882" s="2644"/>
      <c r="L882" s="5915" t="s">
        <v>1231</v>
      </c>
      <c r="M882" s="5915"/>
      <c r="N882" s="5915"/>
      <c r="O882" s="5915"/>
      <c r="P882" s="5915"/>
      <c r="Q882" s="5915"/>
      <c r="R882" s="5915"/>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720"/>
      <c r="C883" s="750"/>
      <c r="D883" s="282" t="s">
        <v>1232</v>
      </c>
      <c r="E883" s="2644">
        <v>0</v>
      </c>
      <c r="F883" s="2644"/>
      <c r="G883" s="2644">
        <v>20</v>
      </c>
      <c r="H883" s="2644"/>
      <c r="I883" s="2644"/>
      <c r="J883" s="2644"/>
      <c r="K883" s="2644"/>
      <c r="L883" s="5915" t="s">
        <v>9627</v>
      </c>
      <c r="M883" s="5915"/>
      <c r="N883" s="5915"/>
      <c r="O883" s="5915"/>
      <c r="P883" s="5915"/>
      <c r="Q883" s="5915"/>
      <c r="R883" s="5915"/>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720"/>
      <c r="C884" s="750"/>
      <c r="D884" s="282" t="s">
        <v>1233</v>
      </c>
      <c r="E884" s="2644">
        <v>0</v>
      </c>
      <c r="F884" s="2644">
        <v>20</v>
      </c>
      <c r="G884" s="2644">
        <v>10</v>
      </c>
      <c r="H884" s="2644">
        <v>10</v>
      </c>
      <c r="I884" s="2644"/>
      <c r="J884" s="2644"/>
      <c r="K884" s="2644">
        <v>20</v>
      </c>
      <c r="L884" s="5915" t="s">
        <v>1234</v>
      </c>
      <c r="M884" s="5915"/>
      <c r="N884" s="5915"/>
      <c r="O884" s="5915"/>
      <c r="P884" s="5915"/>
      <c r="Q884" s="5915"/>
      <c r="R884" s="5915"/>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720"/>
      <c r="C885" s="750"/>
      <c r="D885" s="282" t="s">
        <v>1235</v>
      </c>
      <c r="E885" s="2644">
        <v>0</v>
      </c>
      <c r="F885" s="2644">
        <v>10</v>
      </c>
      <c r="G885" s="2644">
        <v>20</v>
      </c>
      <c r="H885" s="2644"/>
      <c r="I885" s="2644"/>
      <c r="J885" s="2644"/>
      <c r="K885" s="2644">
        <v>20</v>
      </c>
      <c r="L885" s="5915" t="s">
        <v>1236</v>
      </c>
      <c r="M885" s="5915"/>
      <c r="N885" s="5915"/>
      <c r="O885" s="5915"/>
      <c r="P885" s="5915"/>
      <c r="Q885" s="5915"/>
      <c r="R885" s="5915"/>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720"/>
      <c r="C886" s="750"/>
      <c r="D886" s="282" t="s">
        <v>1237</v>
      </c>
      <c r="E886" s="2644">
        <v>0</v>
      </c>
      <c r="F886" s="2644"/>
      <c r="G886" s="2644">
        <v>10</v>
      </c>
      <c r="H886" s="2644"/>
      <c r="I886" s="2644">
        <v>10</v>
      </c>
      <c r="J886" s="2644">
        <v>10</v>
      </c>
      <c r="K886" s="2644"/>
      <c r="L886" s="5915" t="s">
        <v>9628</v>
      </c>
      <c r="M886" s="5915"/>
      <c r="N886" s="5915"/>
      <c r="O886" s="5915"/>
      <c r="P886" s="5915"/>
      <c r="Q886" s="5915"/>
      <c r="R886" s="5915"/>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720"/>
      <c r="C887" s="750"/>
      <c r="D887" s="282" t="s">
        <v>1238</v>
      </c>
      <c r="E887" s="2644">
        <v>0</v>
      </c>
      <c r="F887" s="2644"/>
      <c r="G887" s="2644">
        <v>20</v>
      </c>
      <c r="H887" s="2644"/>
      <c r="I887" s="2644"/>
      <c r="J887" s="2644"/>
      <c r="K887" s="2644"/>
      <c r="L887" s="5915" t="s">
        <v>9629</v>
      </c>
      <c r="M887" s="5915"/>
      <c r="N887" s="5915"/>
      <c r="O887" s="5915"/>
      <c r="P887" s="5915"/>
      <c r="Q887" s="5915"/>
      <c r="R887" s="5915"/>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720"/>
      <c r="C888" s="750"/>
      <c r="D888" s="282" t="s">
        <v>1239</v>
      </c>
      <c r="E888" s="2644">
        <v>0</v>
      </c>
      <c r="F888" s="2644"/>
      <c r="G888" s="2644">
        <v>10</v>
      </c>
      <c r="H888" s="2644"/>
      <c r="I888" s="2644">
        <v>20</v>
      </c>
      <c r="J888" s="2644">
        <v>20</v>
      </c>
      <c r="K888" s="2644"/>
      <c r="L888" s="5915" t="s">
        <v>1240</v>
      </c>
      <c r="M888" s="5915"/>
      <c r="N888" s="5915"/>
      <c r="O888" s="5915"/>
      <c r="P888" s="5915"/>
      <c r="Q888" s="5915"/>
      <c r="R888" s="5915"/>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720"/>
      <c r="C889" s="750"/>
      <c r="D889" s="282" t="s">
        <v>1241</v>
      </c>
      <c r="E889" s="2644">
        <v>0</v>
      </c>
      <c r="F889" s="2644"/>
      <c r="G889" s="2644">
        <v>20</v>
      </c>
      <c r="H889" s="2644"/>
      <c r="I889" s="2644"/>
      <c r="J889" s="2644"/>
      <c r="K889" s="2644"/>
      <c r="L889" s="5915" t="s">
        <v>1242</v>
      </c>
      <c r="M889" s="5915"/>
      <c r="N889" s="5915"/>
      <c r="O889" s="5915"/>
      <c r="P889" s="5915"/>
      <c r="Q889" s="5915"/>
      <c r="R889" s="5915"/>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720"/>
      <c r="C890" s="750"/>
      <c r="D890" s="282" t="s">
        <v>1243</v>
      </c>
      <c r="E890" s="2644">
        <v>0</v>
      </c>
      <c r="F890" s="2644"/>
      <c r="G890" s="2644">
        <v>10</v>
      </c>
      <c r="H890" s="2644">
        <v>10</v>
      </c>
      <c r="I890" s="2644"/>
      <c r="J890" s="2644"/>
      <c r="K890" s="2644"/>
      <c r="L890" s="5915" t="s">
        <v>1244</v>
      </c>
      <c r="M890" s="5915"/>
      <c r="N890" s="5915"/>
      <c r="O890" s="5915"/>
      <c r="P890" s="5915"/>
      <c r="Q890" s="5915"/>
      <c r="R890" s="5915"/>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720"/>
      <c r="C891" s="750"/>
      <c r="D891" s="282" t="s">
        <v>1245</v>
      </c>
      <c r="E891" s="2644">
        <v>0</v>
      </c>
      <c r="F891" s="2644"/>
      <c r="G891" s="2644">
        <v>20</v>
      </c>
      <c r="H891" s="2644"/>
      <c r="I891" s="2644"/>
      <c r="J891" s="2644"/>
      <c r="K891" s="2644"/>
      <c r="L891" s="5915" t="s">
        <v>9630</v>
      </c>
      <c r="M891" s="5915"/>
      <c r="N891" s="5915"/>
      <c r="O891" s="5915"/>
      <c r="P891" s="5915"/>
      <c r="Q891" s="5915"/>
      <c r="R891" s="5915"/>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720"/>
      <c r="C892" s="750"/>
      <c r="D892" s="282" t="s">
        <v>1246</v>
      </c>
      <c r="E892" s="2644">
        <v>0</v>
      </c>
      <c r="F892" s="2644"/>
      <c r="G892" s="2644">
        <v>15</v>
      </c>
      <c r="H892" s="2644">
        <v>10</v>
      </c>
      <c r="I892" s="2644"/>
      <c r="J892" s="2644"/>
      <c r="K892" s="2644"/>
      <c r="L892" s="5915" t="s">
        <v>9631</v>
      </c>
      <c r="M892" s="5915"/>
      <c r="N892" s="5915"/>
      <c r="O892" s="5915"/>
      <c r="P892" s="5915"/>
      <c r="Q892" s="5915"/>
      <c r="R892" s="5915"/>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720"/>
      <c r="C893" s="750"/>
      <c r="D893" s="282" t="s">
        <v>1247</v>
      </c>
      <c r="E893" s="2644">
        <v>0</v>
      </c>
      <c r="F893" s="2644"/>
      <c r="G893" s="2644">
        <v>30</v>
      </c>
      <c r="H893" s="2644"/>
      <c r="I893" s="2644"/>
      <c r="J893" s="2644"/>
      <c r="K893" s="2644"/>
      <c r="L893" s="5915" t="s">
        <v>9632</v>
      </c>
      <c r="M893" s="5915"/>
      <c r="N893" s="5915"/>
      <c r="O893" s="5915"/>
      <c r="P893" s="5915"/>
      <c r="Q893" s="5915"/>
      <c r="R893" s="5915"/>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720"/>
      <c r="C894" s="750"/>
      <c r="D894" s="282" t="s">
        <v>1248</v>
      </c>
      <c r="E894" s="2644">
        <v>0</v>
      </c>
      <c r="F894" s="2644"/>
      <c r="G894" s="2644">
        <v>10</v>
      </c>
      <c r="H894" s="2644"/>
      <c r="I894" s="2644">
        <v>10</v>
      </c>
      <c r="J894" s="2644">
        <v>10</v>
      </c>
      <c r="K894" s="2644"/>
      <c r="L894" s="5915" t="s">
        <v>1249</v>
      </c>
      <c r="M894" s="5915"/>
      <c r="N894" s="5915"/>
      <c r="O894" s="5915"/>
      <c r="P894" s="5915"/>
      <c r="Q894" s="5915"/>
      <c r="R894" s="5915"/>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720"/>
      <c r="C895" s="750"/>
      <c r="D895" s="282" t="s">
        <v>1250</v>
      </c>
      <c r="E895" s="2644">
        <v>0</v>
      </c>
      <c r="F895" s="2644"/>
      <c r="G895" s="2644">
        <v>30</v>
      </c>
      <c r="H895" s="2644"/>
      <c r="I895" s="2644"/>
      <c r="J895" s="2644"/>
      <c r="K895" s="2644"/>
      <c r="L895" s="5915" t="s">
        <v>1251</v>
      </c>
      <c r="M895" s="5915"/>
      <c r="N895" s="5915"/>
      <c r="O895" s="5915"/>
      <c r="P895" s="5915"/>
      <c r="Q895" s="5915"/>
      <c r="R895" s="5915"/>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720"/>
      <c r="C896" s="750"/>
      <c r="D896" s="282" t="s">
        <v>1252</v>
      </c>
      <c r="E896" s="2644">
        <v>0</v>
      </c>
      <c r="F896" s="2644"/>
      <c r="G896" s="2644">
        <v>10</v>
      </c>
      <c r="H896" s="2644"/>
      <c r="I896" s="2644">
        <v>20</v>
      </c>
      <c r="J896" s="2644">
        <v>20</v>
      </c>
      <c r="K896" s="2644"/>
      <c r="L896" s="5915" t="s">
        <v>9633</v>
      </c>
      <c r="M896" s="5915"/>
      <c r="N896" s="5915"/>
      <c r="O896" s="5915"/>
      <c r="P896" s="5915"/>
      <c r="Q896" s="5915"/>
      <c r="R896" s="5915"/>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720"/>
      <c r="C897" s="750"/>
      <c r="D897" s="282" t="s">
        <v>1253</v>
      </c>
      <c r="E897" s="2644">
        <v>0</v>
      </c>
      <c r="F897" s="2644"/>
      <c r="G897" s="2644">
        <v>20</v>
      </c>
      <c r="H897" s="2644"/>
      <c r="I897" s="2644"/>
      <c r="J897" s="2644"/>
      <c r="K897" s="2644"/>
      <c r="L897" s="5915" t="s">
        <v>9634</v>
      </c>
      <c r="M897" s="5915"/>
      <c r="N897" s="5915"/>
      <c r="O897" s="5915"/>
      <c r="P897" s="5915"/>
      <c r="Q897" s="5915"/>
      <c r="R897" s="5915"/>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720"/>
      <c r="C898" s="750"/>
      <c r="D898" s="282" t="s">
        <v>1254</v>
      </c>
      <c r="E898" s="2644">
        <v>0</v>
      </c>
      <c r="F898" s="2644">
        <v>10</v>
      </c>
      <c r="G898" s="2644">
        <v>10</v>
      </c>
      <c r="H898" s="2644">
        <v>20</v>
      </c>
      <c r="I898" s="2644"/>
      <c r="J898" s="2644"/>
      <c r="K898" s="2644"/>
      <c r="L898" s="5915" t="s">
        <v>9635</v>
      </c>
      <c r="M898" s="5915"/>
      <c r="N898" s="5915"/>
      <c r="O898" s="5915"/>
      <c r="P898" s="5915"/>
      <c r="Q898" s="5915"/>
      <c r="R898" s="5915"/>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720"/>
      <c r="C899" s="750"/>
      <c r="D899" s="282" t="s">
        <v>1255</v>
      </c>
      <c r="E899" s="2644">
        <v>0</v>
      </c>
      <c r="F899" s="2644"/>
      <c r="G899" s="2644">
        <v>20</v>
      </c>
      <c r="H899" s="2644"/>
      <c r="I899" s="2644"/>
      <c r="J899" s="2644"/>
      <c r="K899" s="2644"/>
      <c r="L899" s="5915" t="s">
        <v>1256</v>
      </c>
      <c r="M899" s="5915"/>
      <c r="N899" s="5915"/>
      <c r="O899" s="5915"/>
      <c r="P899" s="5915"/>
      <c r="Q899" s="5915"/>
      <c r="R899" s="5915"/>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720"/>
      <c r="C900" s="750"/>
      <c r="D900" s="282" t="s">
        <v>1257</v>
      </c>
      <c r="E900" s="2644">
        <v>0</v>
      </c>
      <c r="F900" s="2644"/>
      <c r="G900" s="2644">
        <v>10</v>
      </c>
      <c r="H900" s="2644"/>
      <c r="I900" s="2644">
        <v>20</v>
      </c>
      <c r="J900" s="2644">
        <v>20</v>
      </c>
      <c r="K900" s="2644"/>
      <c r="L900" s="5915" t="s">
        <v>1258</v>
      </c>
      <c r="M900" s="5915"/>
      <c r="N900" s="5915"/>
      <c r="O900" s="5915"/>
      <c r="P900" s="5915"/>
      <c r="Q900" s="5915"/>
      <c r="R900" s="5915"/>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720"/>
      <c r="C901" s="750"/>
      <c r="D901" s="282" t="s">
        <v>1259</v>
      </c>
      <c r="E901" s="2644">
        <v>0</v>
      </c>
      <c r="F901" s="2644"/>
      <c r="G901" s="2644">
        <v>20</v>
      </c>
      <c r="H901" s="2644"/>
      <c r="I901" s="2644"/>
      <c r="J901" s="2644"/>
      <c r="K901" s="2644"/>
      <c r="L901" s="5915" t="s">
        <v>1260</v>
      </c>
      <c r="M901" s="5915"/>
      <c r="N901" s="5915"/>
      <c r="O901" s="5915"/>
      <c r="P901" s="5915"/>
      <c r="Q901" s="5915"/>
      <c r="R901" s="5915"/>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720"/>
      <c r="C902" s="750"/>
      <c r="D902" s="282" t="s">
        <v>1261</v>
      </c>
      <c r="E902" s="2644">
        <v>0</v>
      </c>
      <c r="F902" s="2644"/>
      <c r="G902" s="2644">
        <v>15</v>
      </c>
      <c r="H902" s="2644">
        <v>10</v>
      </c>
      <c r="I902" s="2644"/>
      <c r="J902" s="2644"/>
      <c r="K902" s="2644"/>
      <c r="L902" s="5915" t="s">
        <v>1262</v>
      </c>
      <c r="M902" s="5915"/>
      <c r="N902" s="5915"/>
      <c r="O902" s="5915"/>
      <c r="P902" s="5915"/>
      <c r="Q902" s="5915"/>
      <c r="R902" s="5915"/>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720"/>
      <c r="C903" s="750"/>
      <c r="D903" s="282" t="s">
        <v>1263</v>
      </c>
      <c r="E903" s="2644">
        <v>0</v>
      </c>
      <c r="F903" s="2644">
        <f>Bono_Pod</f>
        <v>0</v>
      </c>
      <c r="G903" s="2644">
        <v>35</v>
      </c>
      <c r="H903" s="2644"/>
      <c r="I903" s="2644"/>
      <c r="J903" s="2644"/>
      <c r="K903" s="2644"/>
      <c r="L903" s="5915" t="s">
        <v>1264</v>
      </c>
      <c r="M903" s="5915"/>
      <c r="N903" s="5915"/>
      <c r="O903" s="5915"/>
      <c r="P903" s="5915"/>
      <c r="Q903" s="5915"/>
      <c r="R903" s="5915"/>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720"/>
      <c r="C904" s="750"/>
      <c r="D904" s="282" t="s">
        <v>1265</v>
      </c>
      <c r="E904" s="2644">
        <v>0</v>
      </c>
      <c r="F904" s="2644"/>
      <c r="G904" s="2644">
        <v>20</v>
      </c>
      <c r="H904" s="2644"/>
      <c r="I904" s="2644">
        <v>20</v>
      </c>
      <c r="J904" s="2644">
        <v>20</v>
      </c>
      <c r="K904" s="2644"/>
      <c r="L904" s="5915" t="s">
        <v>1729</v>
      </c>
      <c r="M904" s="5915"/>
      <c r="N904" s="5915"/>
      <c r="O904" s="5915"/>
      <c r="P904" s="5915"/>
      <c r="Q904" s="5915"/>
      <c r="R904" s="5915"/>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720"/>
      <c r="C905" s="751"/>
      <c r="D905" s="1328" t="s">
        <v>1266</v>
      </c>
      <c r="E905" s="2645">
        <v>0</v>
      </c>
      <c r="F905" s="2645"/>
      <c r="G905" s="2645">
        <v>40</v>
      </c>
      <c r="H905" s="2645"/>
      <c r="I905" s="1418"/>
      <c r="J905" s="2645"/>
      <c r="K905" s="2645"/>
      <c r="L905" s="6030" t="s">
        <v>1267</v>
      </c>
      <c r="M905" s="6030"/>
      <c r="N905" s="6030"/>
      <c r="O905" s="6030"/>
      <c r="P905" s="6030"/>
      <c r="Q905" s="6030"/>
      <c r="R905" s="6030"/>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720"/>
      <c r="F906" s="5902">
        <f>SUMPRODUCT($F$817:$F$905,$Y$817:$Y$905)</f>
        <v>0</v>
      </c>
      <c r="G906" s="5910" t="s">
        <v>1268</v>
      </c>
      <c r="H906" s="581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1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1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900">
        <f>Tablas!$K$872*Tablas!$Y$872+Tablas!K821*Tablas!$Y$821+Tablas!K820*Tablas!$Y$820+Tablas!K822*Tablas!$Y$822+Tablas!K877*Tablas!$Y$877+Tablas!K876*Tablas!$Y$876+Tablas!K885*Tablas!$Y$885+Tablas!K884*Tablas!$Y$884</f>
        <v>0</v>
      </c>
      <c r="L906" s="5904" t="s">
        <v>1269</v>
      </c>
      <c r="M906" s="5906">
        <f>+MAX(Tablas!V873*Tablas!Y873,Tablas!V875*Tablas!Y875,Tablas!V877*Tablas!Y877,Tablas!V879*Tablas!Y879,Tablas!V881*Tablas!Y881,Tablas!V883*Tablas!Y883,Tablas!V885*Tablas!Y885,Tablas!V887*Tablas!Y887,Tablas!V891*Tablas!Y891,Tablas!V893*Tablas!Y893,Tablas!V899*Tablas!Y899,Tablas!V903*Tablas!Y903)</f>
        <v>0</v>
      </c>
      <c r="N906" s="5908">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720"/>
      <c r="F907" s="5903"/>
      <c r="G907" s="5911"/>
      <c r="H907" s="5818"/>
      <c r="I907" s="5818"/>
      <c r="J907" s="5818"/>
      <c r="K907" s="5901"/>
      <c r="L907" s="5905"/>
      <c r="M907" s="5907"/>
      <c r="N907" s="5909"/>
      <c r="O907" s="1187">
        <f>MAX(Tablas!$X$816:$X$905)</f>
        <v>0</v>
      </c>
    </row>
    <row r="908" spans="1:29" ht="12.75" customHeight="1" x14ac:dyDescent="0.2">
      <c r="A908" s="302">
        <v>908</v>
      </c>
      <c r="B908" s="5720"/>
      <c r="H908" s="222"/>
      <c r="I908" s="726"/>
      <c r="N908" s="222"/>
      <c r="O908" s="983"/>
    </row>
    <row r="909" spans="1:29" ht="12.75" customHeight="1" thickBot="1" x14ac:dyDescent="0.25">
      <c r="A909" s="302">
        <v>909</v>
      </c>
      <c r="B909" s="5720"/>
      <c r="H909" s="222"/>
      <c r="I909" s="726"/>
      <c r="N909" s="222"/>
      <c r="O909" s="983"/>
    </row>
    <row r="910" spans="1:29" ht="12.75" customHeight="1" x14ac:dyDescent="0.2">
      <c r="A910" s="302">
        <v>910</v>
      </c>
      <c r="B910" s="5720"/>
      <c r="C910" s="5735" t="s">
        <v>8017</v>
      </c>
      <c r="D910" s="5736"/>
      <c r="E910" s="5736"/>
      <c r="F910" s="5736"/>
      <c r="G910" s="5736"/>
      <c r="H910" s="5736"/>
      <c r="I910" s="5736"/>
      <c r="J910" s="5736"/>
      <c r="K910" s="5736"/>
      <c r="L910" s="5736"/>
      <c r="M910" s="5736"/>
      <c r="N910" s="5737"/>
      <c r="P910" s="5735" t="s">
        <v>2909</v>
      </c>
      <c r="Q910" s="5736"/>
      <c r="R910" s="5736"/>
      <c r="S910" s="5736"/>
      <c r="T910" s="5736"/>
      <c r="U910" s="5736"/>
      <c r="V910" s="5736"/>
      <c r="W910" s="5736"/>
      <c r="X910" s="5736"/>
      <c r="Y910" s="5736"/>
      <c r="Z910" s="5736"/>
      <c r="AA910" s="5736"/>
      <c r="AB910" s="5737"/>
    </row>
    <row r="911" spans="1:29" ht="12.75" customHeight="1" x14ac:dyDescent="0.2">
      <c r="A911" s="302">
        <v>911</v>
      </c>
      <c r="B911" s="5720"/>
      <c r="C911" s="1270"/>
      <c r="D911" s="1215"/>
      <c r="E911" s="1215">
        <v>1</v>
      </c>
      <c r="F911" s="1215">
        <v>2</v>
      </c>
      <c r="G911" s="1215">
        <v>3</v>
      </c>
      <c r="H911" s="1215">
        <v>4</v>
      </c>
      <c r="I911" s="1215">
        <v>5</v>
      </c>
      <c r="J911" s="1215">
        <v>6</v>
      </c>
      <c r="K911" s="1215">
        <v>7</v>
      </c>
      <c r="L911" s="1215">
        <v>8</v>
      </c>
      <c r="M911" s="1215">
        <v>9</v>
      </c>
      <c r="N911" s="1271">
        <v>10</v>
      </c>
      <c r="P911" s="5738"/>
      <c r="Q911" s="5739"/>
      <c r="R911" s="5739"/>
      <c r="S911" s="5739"/>
      <c r="T911" s="5739"/>
      <c r="U911" s="5739"/>
      <c r="V911" s="5739"/>
      <c r="W911" s="5739"/>
      <c r="X911" s="5739"/>
      <c r="Y911" s="5739"/>
      <c r="Z911" s="5739"/>
      <c r="AA911" s="5739"/>
      <c r="AB911" s="5740"/>
    </row>
    <row r="912" spans="1:29" ht="12.75" customHeight="1" thickBot="1" x14ac:dyDescent="0.25">
      <c r="A912" s="302">
        <v>912</v>
      </c>
      <c r="B912" s="5720"/>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720"/>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720"/>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720"/>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720"/>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720"/>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720"/>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20"/>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720"/>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720"/>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20"/>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20"/>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20"/>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20"/>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720"/>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20"/>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20"/>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720"/>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20"/>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20"/>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20"/>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20"/>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20"/>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20"/>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720"/>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720"/>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720"/>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720"/>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720"/>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720"/>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720"/>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720"/>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720"/>
      <c r="H944" s="222"/>
      <c r="N944" s="222"/>
    </row>
    <row r="945" spans="1:18" ht="12.75" customHeight="1" x14ac:dyDescent="0.2">
      <c r="A945" s="302">
        <v>945</v>
      </c>
      <c r="B945" s="5720"/>
      <c r="H945" s="222"/>
      <c r="N945" s="222"/>
    </row>
    <row r="946" spans="1:18" ht="12.75" customHeight="1" x14ac:dyDescent="0.2">
      <c r="A946" s="302">
        <v>946</v>
      </c>
      <c r="B946" s="5720"/>
      <c r="H946" s="222"/>
      <c r="N946" s="222"/>
    </row>
    <row r="947" spans="1:18" ht="12.75" customHeight="1" thickBot="1" x14ac:dyDescent="0.25">
      <c r="A947" s="302">
        <v>947</v>
      </c>
      <c r="B947" s="5720"/>
      <c r="H947" s="222"/>
      <c r="N947" s="222"/>
    </row>
    <row r="948" spans="1:18" ht="12.75" customHeight="1" thickBot="1" x14ac:dyDescent="0.25">
      <c r="A948" s="302">
        <v>948</v>
      </c>
      <c r="B948" s="5720"/>
      <c r="C948" s="5884" t="s">
        <v>1299</v>
      </c>
      <c r="D948" s="5884"/>
      <c r="E948" s="5884"/>
      <c r="F948" s="5884"/>
      <c r="G948" s="5884"/>
      <c r="H948" s="5884"/>
      <c r="I948" s="5884"/>
      <c r="J948" s="5884"/>
      <c r="K948" s="5884"/>
      <c r="L948" s="5884"/>
      <c r="M948" s="5884"/>
      <c r="N948" s="5884"/>
      <c r="O948" s="5884"/>
      <c r="P948" s="5884"/>
      <c r="Q948" s="5884"/>
      <c r="R948" s="5884"/>
    </row>
    <row r="949" spans="1:18" ht="12.75" customHeight="1" x14ac:dyDescent="0.2">
      <c r="A949" s="302">
        <v>949</v>
      </c>
      <c r="B949" s="5720"/>
      <c r="C949" s="5884"/>
      <c r="D949" s="5884"/>
      <c r="E949" s="5884"/>
      <c r="F949" s="5884"/>
      <c r="G949" s="5884"/>
      <c r="H949" s="5884"/>
      <c r="I949" s="5884"/>
      <c r="J949" s="5884"/>
      <c r="K949" s="5884"/>
      <c r="L949" s="5884"/>
      <c r="M949" s="5884"/>
      <c r="N949" s="5884"/>
      <c r="O949" s="5884"/>
      <c r="P949" s="5884"/>
      <c r="Q949" s="5884"/>
      <c r="R949" s="5884"/>
    </row>
    <row r="950" spans="1:18" ht="12.75" customHeight="1" thickBot="1" x14ac:dyDescent="0.25">
      <c r="A950" s="302">
        <v>950</v>
      </c>
      <c r="B950" s="5720"/>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720"/>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20"/>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20"/>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20"/>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20"/>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20"/>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20"/>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20"/>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20"/>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20"/>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20"/>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20"/>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20"/>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20"/>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20"/>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20"/>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20"/>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20"/>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20"/>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20"/>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20"/>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20"/>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20"/>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20"/>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20"/>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20"/>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20"/>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20"/>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20"/>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20"/>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20"/>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20"/>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20"/>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20"/>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20"/>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20"/>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20"/>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20"/>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20"/>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20"/>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20"/>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20"/>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20"/>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20"/>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20"/>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20"/>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20"/>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20"/>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20"/>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20"/>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20"/>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20"/>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20"/>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20"/>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20"/>
      <c r="H1005" s="222"/>
      <c r="N1005" s="222"/>
    </row>
    <row r="1006" spans="1:18" ht="12.75" customHeight="1" thickBot="1" x14ac:dyDescent="0.25">
      <c r="A1006" s="302">
        <v>1006</v>
      </c>
      <c r="B1006" s="5720"/>
      <c r="C1006" s="5897" t="s">
        <v>1404</v>
      </c>
      <c r="D1006" s="5897"/>
      <c r="E1006" s="5897"/>
      <c r="F1006" s="5897"/>
      <c r="G1006" s="5897"/>
      <c r="H1006" s="5897"/>
      <c r="I1006" s="5897"/>
      <c r="J1006" s="5897"/>
      <c r="K1006" s="5897"/>
      <c r="L1006" s="5897"/>
      <c r="N1006" s="222"/>
    </row>
    <row r="1007" spans="1:18" ht="12.75" customHeight="1" x14ac:dyDescent="0.2">
      <c r="A1007" s="302">
        <v>1007</v>
      </c>
      <c r="B1007" s="5720"/>
      <c r="C1007" s="5897"/>
      <c r="D1007" s="5897"/>
      <c r="E1007" s="5897"/>
      <c r="F1007" s="5897"/>
      <c r="G1007" s="5897"/>
      <c r="H1007" s="5897"/>
      <c r="I1007" s="5897"/>
      <c r="J1007" s="5897"/>
      <c r="K1007" s="5897"/>
      <c r="L1007" s="5897"/>
      <c r="N1007" s="222"/>
    </row>
    <row r="1008" spans="1:18" ht="12.75" customHeight="1" thickBot="1" x14ac:dyDescent="0.25">
      <c r="A1008" s="302">
        <v>1008</v>
      </c>
      <c r="B1008" s="5720"/>
      <c r="C1008" s="5898" t="s">
        <v>2876</v>
      </c>
      <c r="D1008" s="5898"/>
      <c r="E1008" s="5898"/>
      <c r="F1008" s="226" t="s">
        <v>1764</v>
      </c>
      <c r="G1008" s="5899" t="s">
        <v>1824</v>
      </c>
      <c r="H1008" s="5899"/>
      <c r="I1008" s="5899"/>
      <c r="J1008" s="5899"/>
      <c r="K1008" s="5899"/>
      <c r="L1008" s="5899"/>
      <c r="N1008" s="222"/>
    </row>
    <row r="1009" spans="1:30" ht="12.75" customHeight="1" x14ac:dyDescent="0.2">
      <c r="A1009" s="302">
        <v>1009</v>
      </c>
      <c r="B1009" s="5720"/>
      <c r="C1009" s="113"/>
      <c r="D1009" s="68"/>
      <c r="E1009" s="315" t="s">
        <v>1405</v>
      </c>
      <c r="F1009" s="244">
        <v>75</v>
      </c>
      <c r="G1009" s="316" t="s">
        <v>1406</v>
      </c>
      <c r="H1009" s="68"/>
      <c r="I1009" s="792"/>
      <c r="J1009" s="68"/>
      <c r="K1009" s="68"/>
      <c r="L1009" s="114"/>
      <c r="N1009" s="222"/>
    </row>
    <row r="1010" spans="1:30" ht="12.75" customHeight="1" x14ac:dyDescent="0.2">
      <c r="A1010" s="302">
        <v>1010</v>
      </c>
      <c r="B1010" s="5720"/>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20"/>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20"/>
      <c r="H1012" s="222"/>
      <c r="I1012" s="726"/>
      <c r="N1012" s="222"/>
      <c r="O1012" s="983"/>
    </row>
    <row r="1013" spans="1:30" ht="12.75" customHeight="1" x14ac:dyDescent="0.2">
      <c r="A1013" s="302">
        <v>1013</v>
      </c>
      <c r="B1013" s="5720"/>
      <c r="H1013" s="222"/>
      <c r="I1013" s="726"/>
      <c r="N1013" s="222"/>
      <c r="O1013" s="983"/>
    </row>
    <row r="1014" spans="1:30" ht="12.75" customHeight="1" x14ac:dyDescent="0.2">
      <c r="A1014" s="302">
        <v>1014</v>
      </c>
      <c r="B1014" s="5720"/>
      <c r="H1014" s="222"/>
      <c r="I1014" s="726"/>
      <c r="N1014" s="222"/>
      <c r="O1014" s="983"/>
      <c r="AC1014" s="920"/>
    </row>
    <row r="1015" spans="1:30" ht="12.75" customHeight="1" x14ac:dyDescent="0.2">
      <c r="A1015" s="302">
        <v>1015</v>
      </c>
      <c r="B1015" s="5720"/>
      <c r="H1015" s="222"/>
      <c r="I1015" s="726"/>
      <c r="N1015" s="222"/>
      <c r="O1015" s="983"/>
      <c r="AC1015" s="920"/>
    </row>
    <row r="1016" spans="1:30" ht="12.75" customHeight="1" x14ac:dyDescent="0.2">
      <c r="A1016" s="302">
        <v>1016</v>
      </c>
      <c r="B1016" s="5766"/>
      <c r="C1016" s="5719" t="s">
        <v>8106</v>
      </c>
      <c r="D1016" s="5719"/>
      <c r="E1016" s="5719"/>
      <c r="F1016" s="5719"/>
      <c r="G1016" s="5719"/>
      <c r="H1016" s="5719"/>
      <c r="I1016" s="5719"/>
      <c r="J1016" s="5719"/>
      <c r="K1016" s="5719"/>
      <c r="L1016" s="5719"/>
      <c r="M1016" s="5719"/>
      <c r="N1016" s="5719"/>
      <c r="O1016" s="5719"/>
      <c r="P1016" s="5719"/>
      <c r="Q1016" s="5719"/>
      <c r="R1016" s="5719"/>
      <c r="S1016" s="5719"/>
      <c r="T1016" s="5719"/>
      <c r="U1016" s="5719"/>
      <c r="V1016" s="5719"/>
      <c r="W1016" s="5719"/>
      <c r="X1016" s="5719"/>
      <c r="Y1016" s="5719"/>
      <c r="Z1016" s="5719"/>
      <c r="AA1016" s="5719"/>
      <c r="AB1016" s="5719"/>
      <c r="AC1016" s="5719"/>
    </row>
    <row r="1017" spans="1:30" ht="12.75" customHeight="1" x14ac:dyDescent="0.2">
      <c r="A1017" s="302">
        <v>1017</v>
      </c>
      <c r="B1017" s="5766"/>
      <c r="C1017" s="5719"/>
      <c r="D1017" s="5719"/>
      <c r="E1017" s="5719"/>
      <c r="F1017" s="5719"/>
      <c r="G1017" s="5719"/>
      <c r="H1017" s="5719"/>
      <c r="I1017" s="5719"/>
      <c r="J1017" s="5719"/>
      <c r="K1017" s="5719"/>
      <c r="L1017" s="5719"/>
      <c r="M1017" s="5719"/>
      <c r="N1017" s="5719"/>
      <c r="O1017" s="5719"/>
      <c r="P1017" s="5719"/>
      <c r="Q1017" s="5719"/>
      <c r="R1017" s="5719"/>
      <c r="S1017" s="5719"/>
      <c r="T1017" s="5719"/>
      <c r="U1017" s="5719"/>
      <c r="V1017" s="5719"/>
      <c r="W1017" s="5719"/>
      <c r="X1017" s="5719"/>
      <c r="Y1017" s="5719"/>
      <c r="Z1017" s="5719"/>
      <c r="AA1017" s="5719"/>
      <c r="AB1017" s="5719"/>
      <c r="AC1017" s="5719"/>
    </row>
    <row r="1018" spans="1:30" ht="12.75" customHeight="1" x14ac:dyDescent="0.2">
      <c r="A1018" s="302">
        <v>1018</v>
      </c>
      <c r="B1018" s="5766"/>
      <c r="C1018" s="5719"/>
      <c r="D1018" s="5719"/>
      <c r="E1018" s="5719"/>
      <c r="F1018" s="5719"/>
      <c r="G1018" s="5719"/>
      <c r="H1018" s="5719"/>
      <c r="I1018" s="5719"/>
      <c r="J1018" s="5719"/>
      <c r="K1018" s="5719"/>
      <c r="L1018" s="5719"/>
      <c r="M1018" s="5719"/>
      <c r="N1018" s="5719"/>
      <c r="O1018" s="5719"/>
      <c r="P1018" s="5719"/>
      <c r="Q1018" s="5719"/>
      <c r="R1018" s="5719"/>
      <c r="S1018" s="5719"/>
      <c r="T1018" s="5719"/>
      <c r="U1018" s="5719"/>
      <c r="V1018" s="5719"/>
      <c r="W1018" s="5719"/>
      <c r="X1018" s="5719"/>
      <c r="Y1018" s="5719"/>
      <c r="Z1018" s="5719"/>
      <c r="AA1018" s="5719"/>
      <c r="AB1018" s="5719"/>
      <c r="AC1018" s="5719"/>
    </row>
    <row r="1019" spans="1:30" ht="12.75" customHeight="1" thickBot="1" x14ac:dyDescent="0.25">
      <c r="A1019" s="302">
        <v>1019</v>
      </c>
      <c r="B1019" s="5766"/>
      <c r="H1019" s="222"/>
      <c r="I1019" s="726"/>
      <c r="N1019" s="222"/>
      <c r="O1019" s="983"/>
      <c r="S1019" s="1332"/>
      <c r="AC1019" s="920"/>
    </row>
    <row r="1020" spans="1:30" ht="12.75" customHeight="1" thickBot="1" x14ac:dyDescent="0.25">
      <c r="A1020" s="302">
        <v>1020</v>
      </c>
      <c r="B1020" s="5766"/>
      <c r="C1020" s="5752" t="s">
        <v>1484</v>
      </c>
      <c r="D1020" s="5752"/>
      <c r="E1020" s="5752"/>
      <c r="F1020" s="5752"/>
      <c r="G1020" s="5752"/>
      <c r="H1020" s="5752"/>
      <c r="I1020" s="5752"/>
      <c r="J1020" s="5752"/>
      <c r="K1020" s="5752"/>
      <c r="L1020" s="5752"/>
      <c r="M1020" s="5752"/>
      <c r="N1020" s="222"/>
      <c r="O1020" s="983"/>
      <c r="P1020" s="4420" t="s">
        <v>1411</v>
      </c>
      <c r="Q1020" s="4420"/>
      <c r="S1020" s="4420" t="s">
        <v>94</v>
      </c>
      <c r="T1020" s="4420"/>
      <c r="U1020" s="4420"/>
      <c r="W1020" s="5753" t="s">
        <v>1514</v>
      </c>
      <c r="X1020" s="5753"/>
      <c r="Z1020" s="6003" t="s">
        <v>914</v>
      </c>
      <c r="AA1020" s="6004"/>
      <c r="AB1020" s="6004"/>
      <c r="AC1020" s="6004"/>
      <c r="AD1020" s="6005"/>
    </row>
    <row r="1021" spans="1:30" ht="12.75" customHeight="1" thickBot="1" x14ac:dyDescent="0.25">
      <c r="A1021" s="302">
        <v>1021</v>
      </c>
      <c r="B1021" s="5766"/>
      <c r="C1021" s="5752"/>
      <c r="D1021" s="5752"/>
      <c r="E1021" s="5752"/>
      <c r="F1021" s="5752"/>
      <c r="G1021" s="5752"/>
      <c r="H1021" s="5752"/>
      <c r="I1021" s="5752"/>
      <c r="J1021" s="5752"/>
      <c r="K1021" s="5752"/>
      <c r="L1021" s="5752"/>
      <c r="M1021" s="5752"/>
      <c r="N1021" s="222"/>
      <c r="O1021" s="983"/>
      <c r="P1021" s="4420"/>
      <c r="Q1021" s="4420"/>
      <c r="S1021" s="4420"/>
      <c r="T1021" s="4420"/>
      <c r="U1021" s="4420"/>
      <c r="W1021" s="225" t="s">
        <v>1665</v>
      </c>
      <c r="X1021" s="227" t="s">
        <v>1515</v>
      </c>
      <c r="Z1021" s="6006"/>
      <c r="AA1021" s="5725"/>
      <c r="AB1021" s="5725"/>
      <c r="AC1021" s="5725"/>
      <c r="AD1021" s="6007"/>
    </row>
    <row r="1022" spans="1:30" ht="12.75" customHeight="1" thickBot="1" x14ac:dyDescent="0.25">
      <c r="A1022" s="302">
        <v>1022</v>
      </c>
      <c r="B1022" s="5766"/>
      <c r="C1022" s="5760" t="s">
        <v>1913</v>
      </c>
      <c r="D1022" s="5760"/>
      <c r="E1022" s="257" t="s">
        <v>1764</v>
      </c>
      <c r="F1022" s="5811" t="s">
        <v>1824</v>
      </c>
      <c r="G1022" s="5811"/>
      <c r="H1022" s="5811"/>
      <c r="I1022" s="5811"/>
      <c r="J1022" s="5811"/>
      <c r="K1022" s="5811"/>
      <c r="L1022" s="5811"/>
      <c r="M1022" s="5811"/>
      <c r="N1022" s="222"/>
      <c r="O1022" s="983"/>
      <c r="P1022" s="225" t="s">
        <v>1659</v>
      </c>
      <c r="Q1022" s="227" t="s">
        <v>1412</v>
      </c>
      <c r="S1022" s="357" t="s">
        <v>95</v>
      </c>
      <c r="T1022" s="226" t="s">
        <v>96</v>
      </c>
      <c r="U1022" s="227" t="s">
        <v>97</v>
      </c>
      <c r="W1022" s="246">
        <v>1</v>
      </c>
      <c r="X1022" s="126">
        <v>0</v>
      </c>
      <c r="Z1022" s="6002" t="s">
        <v>1714</v>
      </c>
      <c r="AA1022" s="5875"/>
      <c r="AB1022" s="5875"/>
      <c r="AC1022" s="779" t="s">
        <v>1629</v>
      </c>
      <c r="AD1022" s="1725" t="s">
        <v>1783</v>
      </c>
    </row>
    <row r="1023" spans="1:30" ht="12.75" customHeight="1" x14ac:dyDescent="0.2">
      <c r="A1023" s="302">
        <v>1023</v>
      </c>
      <c r="B1023" s="5766"/>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66"/>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66"/>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66"/>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66"/>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66"/>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66"/>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66"/>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66"/>
      <c r="C1031" s="5825" t="s">
        <v>1499</v>
      </c>
      <c r="E1031" s="5939" t="s">
        <v>7613</v>
      </c>
      <c r="G1031" s="5721" t="s">
        <v>7617</v>
      </c>
      <c r="H1031" s="5722"/>
      <c r="I1031" s="5826" t="s">
        <v>6953</v>
      </c>
      <c r="K1031" s="3391" t="s">
        <v>1503</v>
      </c>
      <c r="L1031" s="328"/>
      <c r="M1031" s="5847" t="s">
        <v>1418</v>
      </c>
      <c r="N1031" s="5847"/>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66"/>
      <c r="C1032" s="5825"/>
      <c r="E1032" s="5940"/>
      <c r="G1032" s="5809"/>
      <c r="H1032" s="5810"/>
      <c r="I1032" s="5827" t="s">
        <v>6953</v>
      </c>
      <c r="K1032" s="3391"/>
      <c r="M1032" s="5847"/>
      <c r="N1032" s="5847"/>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66"/>
      <c r="C1033" s="338" t="s">
        <v>1975</v>
      </c>
      <c r="E1033" s="931" t="s">
        <v>7619</v>
      </c>
      <c r="G1033" s="5721" t="s">
        <v>7651</v>
      </c>
      <c r="H1033" s="5722"/>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66"/>
      <c r="C1034" s="338" t="s">
        <v>1976</v>
      </c>
      <c r="E1034" s="931" t="s">
        <v>7614</v>
      </c>
      <c r="G1034" s="5724"/>
      <c r="H1034" s="5725"/>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66"/>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66"/>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66"/>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66"/>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66"/>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66"/>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66"/>
      <c r="C1041" s="5939"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66"/>
      <c r="C1042" s="5940"/>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66"/>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66"/>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66"/>
      <c r="C1045" s="1108" t="s">
        <v>1885</v>
      </c>
      <c r="E1045" s="5993" t="s">
        <v>1501</v>
      </c>
      <c r="F1045" s="1118"/>
      <c r="G1045" s="1274"/>
      <c r="H1045" s="1118"/>
      <c r="I1045" s="1118"/>
      <c r="J1045" s="1118"/>
      <c r="K1045" s="1118"/>
      <c r="L1045" s="1118"/>
      <c r="O1045" s="983"/>
      <c r="U1045" s="5721" t="s">
        <v>9189</v>
      </c>
      <c r="V1045" s="5722"/>
      <c r="W1045" s="5723"/>
      <c r="Z1045" s="731" t="str">
        <f t="shared" si="223"/>
        <v>El Sumo Sacerdote invertido</v>
      </c>
      <c r="AA1045" s="1157">
        <f t="shared" si="224"/>
        <v>18</v>
      </c>
      <c r="AB1045" s="1731" t="s">
        <v>937</v>
      </c>
      <c r="AC1045" s="146">
        <v>460</v>
      </c>
      <c r="AD1045" s="182">
        <v>1000</v>
      </c>
    </row>
    <row r="1046" spans="1:30" ht="12.75" customHeight="1" x14ac:dyDescent="0.2">
      <c r="A1046" s="302">
        <v>1046</v>
      </c>
      <c r="B1046" s="5766"/>
      <c r="C1046" s="1108" t="s">
        <v>1881</v>
      </c>
      <c r="E1046" s="5994"/>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724"/>
      <c r="V1046" s="5725"/>
      <c r="W1046" s="5726"/>
      <c r="Z1046" s="731" t="str">
        <f t="shared" si="223"/>
        <v>La Emperatriz</v>
      </c>
      <c r="AA1046" s="1157">
        <f t="shared" si="224"/>
        <v>17</v>
      </c>
      <c r="AB1046" s="1729" t="s">
        <v>938</v>
      </c>
      <c r="AC1046" s="146">
        <v>120</v>
      </c>
      <c r="AD1046" s="182">
        <v>100</v>
      </c>
    </row>
    <row r="1047" spans="1:30" ht="12.75" customHeight="1" x14ac:dyDescent="0.2">
      <c r="A1047" s="302">
        <v>1047</v>
      </c>
      <c r="B1047" s="5766"/>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766"/>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66"/>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66"/>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66"/>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66"/>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66"/>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66"/>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66"/>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66"/>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66"/>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66"/>
      <c r="C1058" s="1111" t="s">
        <v>84</v>
      </c>
      <c r="E1058" s="1337" t="s">
        <v>1502</v>
      </c>
      <c r="F1058" s="1118"/>
      <c r="G1058" s="1820" t="s">
        <v>9372</v>
      </c>
      <c r="H1058" s="6008">
        <f>IF(AND(P1058="",Q1058=""),Místicos!L13,P1058&amp;Q1058&amp;", "&amp;IF(AND(I1070=0,I1073=0),Místicos!L13,Místicos!L13-20)&amp;" Otros")</f>
        <v>0</v>
      </c>
      <c r="I1058" s="6008"/>
      <c r="J1058" s="6008"/>
      <c r="K1058" s="6008"/>
      <c r="L1058" s="6008"/>
      <c r="M1058" s="6008"/>
      <c r="N1058" s="6008"/>
      <c r="O1058" s="6008"/>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66"/>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66"/>
      <c r="C1060" s="1111" t="s">
        <v>86</v>
      </c>
      <c r="E1060" s="5753" t="s">
        <v>1509</v>
      </c>
      <c r="F1060" s="5753"/>
      <c r="H1060" s="5822" t="s">
        <v>1511</v>
      </c>
      <c r="I1060" s="5823"/>
      <c r="J1060" s="5824"/>
      <c r="L1060" s="6009" t="s">
        <v>1516</v>
      </c>
      <c r="M1060" s="6010"/>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66"/>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66"/>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66"/>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66"/>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66"/>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66"/>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66"/>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66"/>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66"/>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66"/>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66"/>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66"/>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66"/>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66"/>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66"/>
      <c r="C1075" s="5791" t="s">
        <v>80</v>
      </c>
      <c r="D1075" s="5792"/>
      <c r="E1075" s="5792"/>
      <c r="F1075" s="5792"/>
      <c r="G1075" s="5792"/>
      <c r="H1075" s="5792"/>
      <c r="I1075" s="5792"/>
      <c r="J1075" s="5793"/>
      <c r="K1075" s="5812" t="s">
        <v>7725</v>
      </c>
      <c r="M1075" s="3114" t="s">
        <v>7726</v>
      </c>
      <c r="N1075" s="3115"/>
      <c r="O1075" s="3115"/>
      <c r="P1075" s="3115"/>
      <c r="Q1075" s="3115"/>
      <c r="R1075" s="3115"/>
      <c r="S1075" s="3115"/>
      <c r="T1075" s="3115"/>
      <c r="U1075" s="3115"/>
      <c r="V1075" s="3115"/>
      <c r="W1075" s="3116"/>
      <c r="Z1075" s="731" t="str">
        <f t="shared" si="231"/>
        <v>Byakko: Protección</v>
      </c>
      <c r="AA1075" s="1157">
        <f t="shared" si="232"/>
        <v>35</v>
      </c>
      <c r="AB1075" s="1731" t="s">
        <v>967</v>
      </c>
      <c r="AC1075" s="146">
        <v>140</v>
      </c>
      <c r="AD1075" s="182">
        <v>120</v>
      </c>
    </row>
    <row r="1076" spans="1:30" ht="12.75" customHeight="1" thickBot="1" x14ac:dyDescent="0.25">
      <c r="A1076" s="302">
        <v>1076</v>
      </c>
      <c r="B1076" s="5766"/>
      <c r="C1076" s="5781" t="s">
        <v>7727</v>
      </c>
      <c r="D1076" s="5782"/>
      <c r="E1076" s="5782"/>
      <c r="F1076" s="5782"/>
      <c r="G1076" s="5782"/>
      <c r="H1076" s="5782"/>
      <c r="I1076" s="5782"/>
      <c r="J1076" s="5783"/>
      <c r="K1076" s="5812"/>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66"/>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766"/>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66"/>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66"/>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66"/>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66"/>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66"/>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66"/>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766"/>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66"/>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66"/>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66"/>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66"/>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66"/>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66"/>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66"/>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66"/>
      <c r="Z1093" s="731" t="str">
        <f t="shared" si="231"/>
        <v>Garuda, Alas de Fuego</v>
      </c>
      <c r="AA1093" s="1157">
        <f t="shared" si="232"/>
        <v>10</v>
      </c>
      <c r="AB1093" s="1731" t="s">
        <v>985</v>
      </c>
      <c r="AC1093" s="146">
        <v>340</v>
      </c>
      <c r="AD1093" s="182">
        <v>700</v>
      </c>
    </row>
    <row r="1094" spans="1:30" ht="12.75" customHeight="1" x14ac:dyDescent="0.2">
      <c r="A1094" s="302">
        <v>1094</v>
      </c>
      <c r="B1094" s="5766"/>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66"/>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66"/>
      <c r="Z1096" s="731" t="str">
        <f t="shared" si="231"/>
        <v>Genbu: Clarividencia</v>
      </c>
      <c r="AA1096" s="1157">
        <f t="shared" si="232"/>
        <v>41</v>
      </c>
      <c r="AB1096" s="1731" t="s">
        <v>988</v>
      </c>
      <c r="AC1096" s="146">
        <v>360</v>
      </c>
      <c r="AD1096" s="182">
        <v>650</v>
      </c>
    </row>
    <row r="1097" spans="1:30" ht="12.75" customHeight="1" x14ac:dyDescent="0.2">
      <c r="A1097" s="302">
        <v>1097</v>
      </c>
      <c r="B1097" s="5766"/>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66"/>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66"/>
      <c r="C1099" s="5752" t="s">
        <v>30</v>
      </c>
      <c r="D1099" s="5752"/>
      <c r="E1099" s="5752"/>
      <c r="F1099" s="5752"/>
      <c r="G1099" s="5752"/>
      <c r="H1099" s="5752"/>
      <c r="I1099" s="5752"/>
      <c r="J1099" s="5752"/>
      <c r="K1099" s="5752"/>
      <c r="L1099" s="5752"/>
      <c r="M1099" s="5752"/>
      <c r="N1099" s="5752"/>
      <c r="O1099" s="5752"/>
      <c r="P1099" s="5752"/>
      <c r="Q1099" s="5752"/>
      <c r="R1099" s="5752"/>
      <c r="S1099" s="5752"/>
      <c r="T1099" s="5752"/>
      <c r="U1099" s="5752"/>
      <c r="V1099" s="5752"/>
      <c r="W1099" s="5752"/>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66"/>
      <c r="C1100" s="5752"/>
      <c r="D1100" s="5752"/>
      <c r="E1100" s="5752"/>
      <c r="F1100" s="5752"/>
      <c r="G1100" s="5752"/>
      <c r="H1100" s="5752"/>
      <c r="I1100" s="5752"/>
      <c r="J1100" s="5752"/>
      <c r="K1100" s="5752"/>
      <c r="L1100" s="5752"/>
      <c r="M1100" s="5752"/>
      <c r="N1100" s="5752"/>
      <c r="O1100" s="5752"/>
      <c r="P1100" s="5752"/>
      <c r="Q1100" s="5752"/>
      <c r="R1100" s="5752"/>
      <c r="S1100" s="5752"/>
      <c r="T1100" s="5752"/>
      <c r="U1100" s="5752"/>
      <c r="V1100" s="5752"/>
      <c r="W1100" s="5752"/>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66"/>
      <c r="C1101" s="5760" t="s">
        <v>31</v>
      </c>
      <c r="D1101" s="5760"/>
      <c r="E1101" s="257" t="s">
        <v>1764</v>
      </c>
      <c r="F1101" s="257" t="s">
        <v>2127</v>
      </c>
      <c r="G1101" s="347" t="s">
        <v>1824</v>
      </c>
      <c r="H1101" s="348"/>
      <c r="I1101" s="767"/>
      <c r="J1101" s="5828" t="s">
        <v>1479</v>
      </c>
      <c r="K1101" s="5828"/>
      <c r="L1101" s="5828"/>
      <c r="M1101" s="5828"/>
      <c r="N1101" s="5828"/>
      <c r="O1101" s="5828"/>
      <c r="P1101" s="5828"/>
      <c r="Q1101" s="5828"/>
      <c r="R1101" s="5811" t="s">
        <v>1268</v>
      </c>
      <c r="S1101" s="5811"/>
      <c r="T1101" s="5811"/>
      <c r="U1101" s="5811"/>
      <c r="V1101" s="5811"/>
      <c r="W1101" s="5811"/>
      <c r="Z1101" s="731" t="str">
        <f t="shared" si="234"/>
        <v>Huginn y Muninn: Ojo del mundo</v>
      </c>
      <c r="AA1101" s="1157">
        <f t="shared" si="235"/>
        <v>12</v>
      </c>
      <c r="AB1101" s="1731" t="s">
        <v>993</v>
      </c>
      <c r="AC1101" s="146">
        <v>280</v>
      </c>
      <c r="AD1101" s="182">
        <v>400</v>
      </c>
    </row>
    <row r="1102" spans="1:30" ht="12.75" customHeight="1" x14ac:dyDescent="0.2">
      <c r="A1102" s="302">
        <v>1102</v>
      </c>
      <c r="B1102" s="5766"/>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66"/>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66"/>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66"/>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66"/>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66"/>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66"/>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66"/>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66"/>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66"/>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66"/>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66"/>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66"/>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66"/>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66"/>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66"/>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66"/>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66"/>
      <c r="C1119" s="3188" t="s">
        <v>2070</v>
      </c>
      <c r="D1119" s="3189"/>
      <c r="E1119" s="3189"/>
      <c r="F1119" s="3189"/>
      <c r="G1119" s="3189"/>
      <c r="H1119" s="3189"/>
      <c r="I1119" s="3189"/>
      <c r="J1119" s="3189"/>
      <c r="K1119" s="3189"/>
      <c r="L1119" s="3189"/>
      <c r="M1119" s="3189"/>
      <c r="N1119" s="3563"/>
      <c r="P1119" s="3391" t="s">
        <v>98</v>
      </c>
      <c r="Q1119" s="3391"/>
      <c r="R1119" s="3391"/>
      <c r="S1119" s="3391"/>
      <c r="T1119" s="3391"/>
      <c r="U1119" s="3391"/>
      <c r="V1119" s="3391"/>
      <c r="W1119" s="3391"/>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66"/>
      <c r="C1120" s="5945"/>
      <c r="D1120" s="5946"/>
      <c r="E1120" s="5946"/>
      <c r="F1120" s="5946"/>
      <c r="G1120" s="5946"/>
      <c r="H1120" s="5946"/>
      <c r="I1120" s="5946"/>
      <c r="J1120" s="5946"/>
      <c r="K1120" s="5946"/>
      <c r="L1120" s="5946"/>
      <c r="M1120" s="5946"/>
      <c r="N1120" s="5947"/>
      <c r="P1120" s="3391"/>
      <c r="Q1120" s="3391"/>
      <c r="R1120" s="3391"/>
      <c r="S1120" s="3391"/>
      <c r="T1120" s="3391"/>
      <c r="U1120" s="3391"/>
      <c r="V1120" s="3391"/>
      <c r="W1120" s="3391"/>
      <c r="Z1120" s="731" t="str">
        <f t="shared" si="234"/>
        <v>Seiryu, el Dragón Celeste</v>
      </c>
      <c r="AA1120" s="1157">
        <f t="shared" si="235"/>
        <v>31</v>
      </c>
      <c r="AB1120" s="1731" t="s">
        <v>1012</v>
      </c>
      <c r="AC1120" s="146">
        <v>340</v>
      </c>
      <c r="AD1120" s="182">
        <v>660</v>
      </c>
    </row>
    <row r="1121" spans="1:30" ht="12.75" customHeight="1" x14ac:dyDescent="0.2">
      <c r="A1121" s="302">
        <v>1121</v>
      </c>
      <c r="B1121" s="5766"/>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66"/>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66"/>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766"/>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66"/>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66"/>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66"/>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66"/>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66"/>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66"/>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66"/>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66"/>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66"/>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66"/>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66"/>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66"/>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66"/>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66"/>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66"/>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66"/>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66"/>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66"/>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66"/>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66"/>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66"/>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66"/>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66"/>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66"/>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66"/>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66"/>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66"/>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66"/>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66"/>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66"/>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66"/>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66"/>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66"/>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66"/>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66"/>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66"/>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66"/>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66"/>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66"/>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66"/>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66"/>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66"/>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66"/>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66"/>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66"/>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66"/>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66"/>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66"/>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66"/>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66"/>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66"/>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66"/>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66"/>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66"/>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66"/>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66"/>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66"/>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66"/>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66"/>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66"/>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66"/>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66"/>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766"/>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766"/>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766"/>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766"/>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766"/>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766"/>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766"/>
      <c r="C1193" s="1570"/>
      <c r="D1193" s="1570"/>
      <c r="E1193" s="1570"/>
      <c r="F1193" s="1570"/>
      <c r="G1193" s="1570"/>
      <c r="H1193" s="222"/>
      <c r="I1193" s="279"/>
      <c r="J1193" s="279"/>
      <c r="K1193" s="279"/>
      <c r="L1193" s="365"/>
      <c r="M1193" s="363"/>
      <c r="N1193" s="222"/>
    </row>
    <row r="1194" spans="1:80" ht="12.75" customHeight="1" x14ac:dyDescent="0.2">
      <c r="A1194" s="302">
        <v>1194</v>
      </c>
      <c r="B1194" s="5720"/>
      <c r="C1194" s="5719" t="s">
        <v>8107</v>
      </c>
      <c r="D1194" s="5719"/>
      <c r="E1194" s="5719"/>
      <c r="F1194" s="5719"/>
      <c r="G1194" s="5719"/>
      <c r="H1194" s="5719"/>
      <c r="I1194" s="5719"/>
      <c r="J1194" s="5719"/>
      <c r="K1194" s="5719"/>
      <c r="L1194" s="5719"/>
      <c r="M1194" s="5719"/>
      <c r="N1194" s="5719"/>
      <c r="O1194" s="5719"/>
      <c r="P1194" s="5719"/>
      <c r="Q1194" s="5719"/>
      <c r="R1194" s="5719"/>
      <c r="S1194" s="5719"/>
      <c r="T1194" s="5719"/>
      <c r="U1194" s="5719"/>
      <c r="V1194" s="5719"/>
      <c r="W1194" s="5719"/>
      <c r="X1194" s="5719"/>
      <c r="Y1194" s="5719"/>
      <c r="Z1194" s="5719"/>
      <c r="AA1194" s="5719"/>
      <c r="AB1194" s="5719"/>
      <c r="AC1194" s="5719"/>
      <c r="AD1194" s="5719"/>
      <c r="AE1194" s="5719"/>
      <c r="AF1194" s="5719"/>
      <c r="AG1194" s="5719"/>
      <c r="AH1194" s="5719"/>
      <c r="AI1194" s="5719"/>
      <c r="AJ1194" s="5719"/>
      <c r="AK1194" s="5719"/>
      <c r="AL1194" s="5719"/>
      <c r="AM1194" s="5719"/>
      <c r="AN1194" s="5719"/>
      <c r="AO1194" s="5719"/>
      <c r="AP1194" s="5719"/>
      <c r="AQ1194" s="5719"/>
      <c r="AR1194" s="5719"/>
      <c r="AS1194" s="5719"/>
      <c r="AT1194" s="5719"/>
      <c r="AU1194" s="5719"/>
      <c r="AV1194" s="5719"/>
      <c r="AW1194" s="5719"/>
      <c r="AX1194" s="5719"/>
      <c r="AY1194" s="5719"/>
      <c r="AZ1194" s="5719"/>
      <c r="BA1194" s="5719"/>
      <c r="BB1194" s="5719"/>
      <c r="BC1194" s="5719"/>
      <c r="BD1194" s="5719"/>
      <c r="BE1194" s="5719"/>
      <c r="BF1194" s="5719"/>
      <c r="BG1194" s="5719"/>
      <c r="BH1194" s="5719"/>
      <c r="BI1194" s="5719"/>
      <c r="BJ1194" s="5719"/>
      <c r="BK1194" s="5719"/>
      <c r="BL1194" s="5719"/>
      <c r="BM1194" s="5719"/>
      <c r="BN1194" s="5719"/>
      <c r="BO1194" s="5719"/>
      <c r="BP1194" s="5719"/>
      <c r="BQ1194" s="5719"/>
      <c r="BR1194" s="5719"/>
      <c r="BS1194" s="5719"/>
      <c r="BT1194" s="5719"/>
      <c r="BU1194" s="5719"/>
      <c r="BV1194" s="5719"/>
      <c r="BW1194" s="5719"/>
      <c r="BX1194" s="5719"/>
      <c r="BY1194" s="5719"/>
      <c r="BZ1194" s="5719"/>
      <c r="CA1194" s="5719"/>
    </row>
    <row r="1195" spans="1:80" ht="12.75" customHeight="1" x14ac:dyDescent="0.2">
      <c r="A1195" s="302">
        <v>1195</v>
      </c>
      <c r="B1195" s="5720"/>
      <c r="C1195" s="5719"/>
      <c r="D1195" s="5719"/>
      <c r="E1195" s="5719"/>
      <c r="F1195" s="5719"/>
      <c r="G1195" s="5719"/>
      <c r="H1195" s="5719"/>
      <c r="I1195" s="5719"/>
      <c r="J1195" s="5719"/>
      <c r="K1195" s="5719"/>
      <c r="L1195" s="5719"/>
      <c r="M1195" s="5719"/>
      <c r="N1195" s="5719"/>
      <c r="O1195" s="5719"/>
      <c r="P1195" s="5719"/>
      <c r="Q1195" s="5719"/>
      <c r="R1195" s="5719"/>
      <c r="S1195" s="5719"/>
      <c r="T1195" s="5719"/>
      <c r="U1195" s="5719"/>
      <c r="V1195" s="5719"/>
      <c r="W1195" s="5719"/>
      <c r="X1195" s="5719"/>
      <c r="Y1195" s="5719"/>
      <c r="Z1195" s="5719"/>
      <c r="AA1195" s="5719"/>
      <c r="AB1195" s="5719"/>
      <c r="AC1195" s="5719"/>
      <c r="AD1195" s="5719"/>
      <c r="AE1195" s="5719"/>
      <c r="AF1195" s="5719"/>
      <c r="AG1195" s="5719"/>
      <c r="AH1195" s="5719"/>
      <c r="AI1195" s="5719"/>
      <c r="AJ1195" s="5719"/>
      <c r="AK1195" s="5719"/>
      <c r="AL1195" s="5719"/>
      <c r="AM1195" s="5719"/>
      <c r="AN1195" s="5719"/>
      <c r="AO1195" s="5719"/>
      <c r="AP1195" s="5719"/>
      <c r="AQ1195" s="5719"/>
      <c r="AR1195" s="5719"/>
      <c r="AS1195" s="5719"/>
      <c r="AT1195" s="5719"/>
      <c r="AU1195" s="5719"/>
      <c r="AV1195" s="5719"/>
      <c r="AW1195" s="5719"/>
      <c r="AX1195" s="5719"/>
      <c r="AY1195" s="5719"/>
      <c r="AZ1195" s="5719"/>
      <c r="BA1195" s="5719"/>
      <c r="BB1195" s="5719"/>
      <c r="BC1195" s="5719"/>
      <c r="BD1195" s="5719"/>
      <c r="BE1195" s="5719"/>
      <c r="BF1195" s="5719"/>
      <c r="BG1195" s="5719"/>
      <c r="BH1195" s="5719"/>
      <c r="BI1195" s="5719"/>
      <c r="BJ1195" s="5719"/>
      <c r="BK1195" s="5719"/>
      <c r="BL1195" s="5719"/>
      <c r="BM1195" s="5719"/>
      <c r="BN1195" s="5719"/>
      <c r="BO1195" s="5719"/>
      <c r="BP1195" s="5719"/>
      <c r="BQ1195" s="5719"/>
      <c r="BR1195" s="5719"/>
      <c r="BS1195" s="5719"/>
      <c r="BT1195" s="5719"/>
      <c r="BU1195" s="5719"/>
      <c r="BV1195" s="5719"/>
      <c r="BW1195" s="5719"/>
      <c r="BX1195" s="5719"/>
      <c r="BY1195" s="5719"/>
      <c r="BZ1195" s="5719"/>
      <c r="CA1195" s="5719"/>
    </row>
    <row r="1196" spans="1:80" ht="12.75" customHeight="1" x14ac:dyDescent="0.2">
      <c r="A1196" s="302">
        <v>1196</v>
      </c>
      <c r="B1196" s="5720"/>
      <c r="C1196" s="5719"/>
      <c r="D1196" s="5719"/>
      <c r="E1196" s="5719"/>
      <c r="F1196" s="5719"/>
      <c r="G1196" s="5719"/>
      <c r="H1196" s="5719"/>
      <c r="I1196" s="5719"/>
      <c r="J1196" s="5719"/>
      <c r="K1196" s="5719"/>
      <c r="L1196" s="5719"/>
      <c r="M1196" s="5719"/>
      <c r="N1196" s="5719"/>
      <c r="O1196" s="5719"/>
      <c r="P1196" s="5719"/>
      <c r="Q1196" s="5719"/>
      <c r="R1196" s="5719"/>
      <c r="S1196" s="5719"/>
      <c r="T1196" s="5719"/>
      <c r="U1196" s="5719"/>
      <c r="V1196" s="5719"/>
      <c r="W1196" s="5719"/>
      <c r="X1196" s="5719"/>
      <c r="Y1196" s="5719"/>
      <c r="Z1196" s="5719"/>
      <c r="AA1196" s="5719"/>
      <c r="AB1196" s="5719"/>
      <c r="AC1196" s="5719"/>
      <c r="AD1196" s="5719"/>
      <c r="AE1196" s="5719"/>
      <c r="AF1196" s="5719"/>
      <c r="AG1196" s="5719"/>
      <c r="AH1196" s="5719"/>
      <c r="AI1196" s="5719"/>
      <c r="AJ1196" s="5719"/>
      <c r="AK1196" s="5719"/>
      <c r="AL1196" s="5719"/>
      <c r="AM1196" s="5719"/>
      <c r="AN1196" s="5719"/>
      <c r="AO1196" s="5719"/>
      <c r="AP1196" s="5719"/>
      <c r="AQ1196" s="5719"/>
      <c r="AR1196" s="5719"/>
      <c r="AS1196" s="5719"/>
      <c r="AT1196" s="5719"/>
      <c r="AU1196" s="5719"/>
      <c r="AV1196" s="5719"/>
      <c r="AW1196" s="5719"/>
      <c r="AX1196" s="5719"/>
      <c r="AY1196" s="5719"/>
      <c r="AZ1196" s="5719"/>
      <c r="BA1196" s="5719"/>
      <c r="BB1196" s="5719"/>
      <c r="BC1196" s="5719"/>
      <c r="BD1196" s="5719"/>
      <c r="BE1196" s="5719"/>
      <c r="BF1196" s="5719"/>
      <c r="BG1196" s="5719"/>
      <c r="BH1196" s="5719"/>
      <c r="BI1196" s="5719"/>
      <c r="BJ1196" s="5719"/>
      <c r="BK1196" s="5719"/>
      <c r="BL1196" s="5719"/>
      <c r="BM1196" s="5719"/>
      <c r="BN1196" s="5719"/>
      <c r="BO1196" s="5719"/>
      <c r="BP1196" s="5719"/>
      <c r="BQ1196" s="5719"/>
      <c r="BR1196" s="5719"/>
      <c r="BS1196" s="5719"/>
      <c r="BT1196" s="5719"/>
      <c r="BU1196" s="5719"/>
      <c r="BV1196" s="5719"/>
      <c r="BW1196" s="5719"/>
      <c r="BX1196" s="5719"/>
      <c r="BY1196" s="5719"/>
      <c r="BZ1196" s="5719"/>
      <c r="CA1196" s="5719"/>
    </row>
    <row r="1197" spans="1:80" ht="12.75" customHeight="1" thickBot="1" x14ac:dyDescent="0.25">
      <c r="A1197" s="302">
        <v>1197</v>
      </c>
      <c r="B1197" s="5720"/>
      <c r="H1197" s="222"/>
      <c r="I1197" s="726"/>
      <c r="N1197" s="222"/>
      <c r="O1197" s="983"/>
    </row>
    <row r="1198" spans="1:80" ht="12.75" customHeight="1" x14ac:dyDescent="0.2">
      <c r="A1198" s="302">
        <v>1198</v>
      </c>
      <c r="B1198" s="5720"/>
      <c r="C1198" s="5727" t="s">
        <v>1519</v>
      </c>
      <c r="D1198" s="5728"/>
      <c r="E1198" s="5728"/>
      <c r="F1198" s="5728"/>
      <c r="G1198" s="5728"/>
      <c r="H1198" s="5728"/>
      <c r="I1198" s="5728"/>
      <c r="J1198" s="5728"/>
      <c r="K1198" s="5729"/>
      <c r="M1198" s="5721" t="s">
        <v>1712</v>
      </c>
      <c r="N1198" s="5722"/>
      <c r="O1198" s="5722"/>
      <c r="P1198" s="5722"/>
      <c r="Q1198" s="5722"/>
      <c r="R1198" s="5722"/>
      <c r="S1198" s="5722"/>
      <c r="T1198" s="5723"/>
      <c r="W1198" s="5999" t="s">
        <v>1714</v>
      </c>
      <c r="X1198" s="6000"/>
      <c r="Y1198" s="5733" t="s">
        <v>8118</v>
      </c>
      <c r="Z1198" s="5996" t="s">
        <v>8123</v>
      </c>
      <c r="AA1198" s="5733"/>
      <c r="AB1198" s="5733"/>
      <c r="AC1198" s="5733"/>
      <c r="AD1198" s="5733"/>
      <c r="AE1198" s="5733"/>
      <c r="AF1198" s="5733"/>
      <c r="AG1198" s="5733"/>
      <c r="AH1198" s="5733"/>
      <c r="AI1198" s="5733"/>
      <c r="AJ1198" s="5733"/>
      <c r="AK1198" s="5733"/>
      <c r="AL1198" s="5733"/>
      <c r="AM1198" s="5733"/>
      <c r="AN1198" s="5733"/>
      <c r="AO1198" s="5733"/>
      <c r="AP1198" s="5733"/>
      <c r="AQ1198" s="5733"/>
      <c r="AR1198" s="5733"/>
      <c r="AS1198" s="5733"/>
      <c r="AT1198" s="5733"/>
      <c r="AU1198" s="5733"/>
      <c r="AV1198" s="5733"/>
      <c r="AW1198" s="5733"/>
      <c r="AX1198" s="5733"/>
      <c r="AY1198" s="5733"/>
      <c r="AZ1198" s="5733"/>
      <c r="BA1198" s="5733"/>
      <c r="BB1198" s="5733"/>
      <c r="BC1198" s="5733"/>
      <c r="BD1198" s="5733"/>
      <c r="BE1198" s="5733"/>
      <c r="BF1198" s="5733"/>
      <c r="BG1198" s="5733"/>
      <c r="BH1198" s="5733"/>
      <c r="BI1198" s="5733"/>
      <c r="BJ1198" s="5733"/>
      <c r="BK1198" s="5733"/>
      <c r="BL1198" s="5733"/>
      <c r="BM1198" s="5733"/>
      <c r="BN1198" s="5733"/>
      <c r="BO1198" s="5733"/>
      <c r="BP1198" s="5733"/>
      <c r="BQ1198" s="5733"/>
      <c r="BR1198" s="5733"/>
      <c r="BS1198" s="5733"/>
      <c r="BT1198" s="5733"/>
      <c r="BU1198" s="5733"/>
      <c r="BV1198" s="5733"/>
      <c r="BW1198" s="5733"/>
      <c r="BX1198" s="5733"/>
      <c r="BY1198" s="5733"/>
      <c r="BZ1198" s="5733"/>
      <c r="CA1198" s="5733"/>
      <c r="CB1198" s="5997"/>
    </row>
    <row r="1199" spans="1:80" ht="12.75" customHeight="1" x14ac:dyDescent="0.2">
      <c r="A1199" s="302">
        <v>1199</v>
      </c>
      <c r="B1199" s="5720"/>
      <c r="C1199" s="5730"/>
      <c r="D1199" s="5731"/>
      <c r="E1199" s="5731"/>
      <c r="F1199" s="5731"/>
      <c r="G1199" s="5731"/>
      <c r="H1199" s="5731"/>
      <c r="I1199" s="5731"/>
      <c r="J1199" s="5731"/>
      <c r="K1199" s="5732"/>
      <c r="M1199" s="5724"/>
      <c r="N1199" s="5725"/>
      <c r="O1199" s="5725"/>
      <c r="P1199" s="5725"/>
      <c r="Q1199" s="5725"/>
      <c r="R1199" s="5725"/>
      <c r="S1199" s="5725"/>
      <c r="T1199" s="5726"/>
      <c r="W1199" s="6001"/>
      <c r="X1199" s="4301"/>
      <c r="Y1199" s="5734"/>
      <c r="Z1199" s="5998"/>
      <c r="AA1199" s="5734"/>
      <c r="AB1199" s="5734"/>
      <c r="AC1199" s="5734"/>
      <c r="AD1199" s="5734"/>
      <c r="AE1199" s="5734"/>
      <c r="AF1199" s="5734"/>
      <c r="AG1199" s="5734"/>
      <c r="AH1199" s="5734"/>
      <c r="AI1199" s="5734"/>
      <c r="AJ1199" s="5734"/>
      <c r="AK1199" s="5734"/>
      <c r="AL1199" s="5734"/>
      <c r="AM1199" s="5734"/>
      <c r="AN1199" s="5734"/>
      <c r="AO1199" s="5734"/>
      <c r="AP1199" s="5734"/>
      <c r="AQ1199" s="5734"/>
      <c r="AR1199" s="5734"/>
      <c r="AS1199" s="5734"/>
      <c r="AT1199" s="5734"/>
      <c r="AU1199" s="5734"/>
      <c r="AV1199" s="5734"/>
      <c r="AW1199" s="5734"/>
      <c r="AX1199" s="5734"/>
      <c r="AY1199" s="5734"/>
      <c r="AZ1199" s="5734"/>
      <c r="BA1199" s="5734"/>
      <c r="BB1199" s="5734"/>
      <c r="BC1199" s="5734"/>
      <c r="BD1199" s="5734"/>
      <c r="BE1199" s="5734"/>
      <c r="BF1199" s="5734"/>
      <c r="BG1199" s="5734"/>
      <c r="BH1199" s="5734"/>
      <c r="BI1199" s="5734"/>
      <c r="BJ1199" s="5734"/>
      <c r="BK1199" s="5734"/>
      <c r="BL1199" s="5734"/>
      <c r="BM1199" s="5734"/>
      <c r="BN1199" s="5734"/>
      <c r="BO1199" s="5734"/>
      <c r="BP1199" s="5734"/>
      <c r="BQ1199" s="5734"/>
      <c r="BR1199" s="5734"/>
      <c r="BS1199" s="5734"/>
      <c r="BT1199" s="5734"/>
      <c r="BU1199" s="5734"/>
      <c r="BV1199" s="5734"/>
      <c r="BW1199" s="5734"/>
      <c r="BX1199" s="5734"/>
      <c r="BY1199" s="5734"/>
      <c r="BZ1199" s="5734"/>
      <c r="CA1199" s="5734"/>
      <c r="CB1199" s="5995"/>
    </row>
    <row r="1200" spans="1:80" ht="12.75" customHeight="1" x14ac:dyDescent="0.2">
      <c r="A1200" s="302">
        <v>1200</v>
      </c>
      <c r="B1200" s="5720"/>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20"/>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20"/>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20"/>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20"/>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20"/>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20"/>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20"/>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20"/>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20"/>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20"/>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20"/>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20"/>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20"/>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20"/>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20"/>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20"/>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20"/>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20"/>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20"/>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20"/>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20"/>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20"/>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20"/>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20"/>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20"/>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20"/>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20"/>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20"/>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20"/>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20"/>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20"/>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20"/>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20"/>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20"/>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20"/>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20"/>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20"/>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20"/>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20"/>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20"/>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20"/>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20"/>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20"/>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20"/>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20"/>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20"/>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20"/>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20"/>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20"/>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20"/>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20"/>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20"/>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20"/>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20"/>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20"/>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20"/>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20"/>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20"/>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20"/>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20"/>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20"/>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20"/>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20"/>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20"/>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20"/>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20"/>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20"/>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20"/>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20"/>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20"/>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20"/>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20"/>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20"/>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20"/>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20"/>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20"/>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20"/>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20"/>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20"/>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20"/>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20"/>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20"/>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20"/>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20"/>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20"/>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20"/>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20"/>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20"/>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20"/>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20"/>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34"/>
      <c r="BL1290" s="5734"/>
      <c r="BM1290" s="5734"/>
      <c r="BN1290" s="5734"/>
      <c r="BO1290" s="5734"/>
      <c r="BP1290" s="5734"/>
      <c r="BQ1290" s="5734"/>
      <c r="BR1290" s="5734"/>
      <c r="BS1290" s="5734"/>
      <c r="BT1290" s="5734"/>
      <c r="BU1290" s="5734"/>
      <c r="BV1290" s="5734"/>
      <c r="BW1290" s="5734"/>
      <c r="BX1290" s="5734"/>
      <c r="BY1290" s="5734"/>
      <c r="BZ1290" s="5734"/>
      <c r="CA1290" s="5734"/>
      <c r="CB1290" s="5995"/>
    </row>
    <row r="1291" spans="1:80" ht="12.75" customHeight="1" x14ac:dyDescent="0.2">
      <c r="A1291" s="302">
        <v>1291</v>
      </c>
      <c r="B1291" s="5720"/>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20"/>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20"/>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20"/>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20"/>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20"/>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20"/>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20"/>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20"/>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20"/>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20"/>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20"/>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20"/>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20"/>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20"/>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20"/>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20"/>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20"/>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20"/>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20"/>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20"/>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20"/>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20"/>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20"/>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20"/>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20"/>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20"/>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20"/>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20"/>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20"/>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20"/>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20"/>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20"/>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720"/>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20"/>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20"/>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20"/>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20"/>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20"/>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20"/>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20"/>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20"/>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20"/>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20"/>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20"/>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20"/>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20"/>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20"/>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20"/>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20"/>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20"/>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20"/>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20"/>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20"/>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20"/>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20"/>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20"/>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20"/>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20"/>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20"/>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20"/>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20"/>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20"/>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20"/>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20"/>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20"/>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20"/>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20"/>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20"/>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20"/>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20"/>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20"/>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20"/>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20"/>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20"/>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20"/>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20"/>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20"/>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20"/>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20"/>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20"/>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20"/>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20"/>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20"/>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20"/>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20"/>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20"/>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20"/>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20"/>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20"/>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20"/>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720"/>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720"/>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720"/>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720"/>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720"/>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720"/>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720"/>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720"/>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20"/>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720"/>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720"/>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720"/>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720"/>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720"/>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720"/>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720"/>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720"/>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720"/>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20"/>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720"/>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720"/>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720"/>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720"/>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720"/>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720"/>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720"/>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720"/>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720"/>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720"/>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720"/>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720"/>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720"/>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720"/>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720"/>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720"/>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720"/>
      <c r="C1417" s="983"/>
      <c r="H1417" s="222"/>
      <c r="M1417" s="871"/>
      <c r="N1417" s="57"/>
      <c r="O1417" s="269" t="s">
        <v>1592</v>
      </c>
      <c r="P1417" s="1345"/>
      <c r="Q1417" s="345"/>
      <c r="R1417" s="1352"/>
      <c r="S1417" s="228"/>
      <c r="T1417" s="1343"/>
      <c r="U1417" s="346"/>
    </row>
    <row r="1418" spans="1:21" ht="12.75" customHeight="1" x14ac:dyDescent="0.2">
      <c r="A1418" s="302">
        <v>1418</v>
      </c>
      <c r="B1418" s="5720"/>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720"/>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720"/>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720"/>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720"/>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720"/>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720"/>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720"/>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720"/>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720"/>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720"/>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720"/>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720"/>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720"/>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720"/>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720"/>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720"/>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720"/>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720"/>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720"/>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720"/>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720"/>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720"/>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720"/>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720"/>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720"/>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720"/>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720"/>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720"/>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720"/>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720"/>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720"/>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720"/>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720"/>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720"/>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720"/>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20"/>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20"/>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20"/>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20"/>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20"/>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20"/>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20"/>
      <c r="C1460" s="983"/>
      <c r="H1460" s="222"/>
      <c r="M1460" s="871"/>
      <c r="N1460" s="57"/>
      <c r="O1460" s="269" t="s">
        <v>1593</v>
      </c>
      <c r="P1460" s="1345"/>
      <c r="Q1460" s="345"/>
      <c r="R1460" s="1352"/>
      <c r="S1460" s="228"/>
      <c r="T1460" s="1343"/>
    </row>
    <row r="1461" spans="1:21" ht="12.75" customHeight="1" x14ac:dyDescent="0.2">
      <c r="A1461" s="302">
        <v>1461</v>
      </c>
      <c r="B1461" s="5720"/>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20"/>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20"/>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20"/>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20"/>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20"/>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20"/>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20"/>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720"/>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720"/>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720"/>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720"/>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720"/>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720"/>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720"/>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720"/>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720"/>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720"/>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720"/>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720"/>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720"/>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720"/>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720"/>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720"/>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720"/>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720"/>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720"/>
      <c r="C1487" s="983"/>
      <c r="H1487" s="222"/>
      <c r="M1487" s="871"/>
      <c r="N1487" s="57"/>
      <c r="O1487" s="269" t="s">
        <v>1594</v>
      </c>
      <c r="P1487" s="1345"/>
      <c r="Q1487" s="345"/>
      <c r="R1487" s="1352"/>
      <c r="S1487" s="228"/>
      <c r="T1487" s="1343"/>
      <c r="U1487" s="346"/>
    </row>
    <row r="1488" spans="1:21" ht="12.75" customHeight="1" x14ac:dyDescent="0.2">
      <c r="A1488" s="302">
        <v>1488</v>
      </c>
      <c r="B1488" s="5720"/>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720"/>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720"/>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720"/>
      <c r="C1491" s="983"/>
      <c r="H1491" s="222"/>
      <c r="M1491" s="871"/>
      <c r="N1491" s="57"/>
      <c r="O1491" s="269" t="s">
        <v>0</v>
      </c>
      <c r="P1491" s="1345"/>
      <c r="Q1491" s="345"/>
      <c r="R1491" s="1352"/>
      <c r="S1491" s="228"/>
      <c r="T1491" s="1343"/>
      <c r="U1491" s="346"/>
    </row>
    <row r="1492" spans="1:21" ht="12.75" customHeight="1" x14ac:dyDescent="0.2">
      <c r="A1492" s="302">
        <v>1492</v>
      </c>
      <c r="B1492" s="5720"/>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720"/>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720"/>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20"/>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720"/>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720"/>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720"/>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20"/>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20"/>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720"/>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720"/>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720"/>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720"/>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720"/>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720"/>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720"/>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20"/>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20"/>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720"/>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720"/>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720"/>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720"/>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720"/>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720"/>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720"/>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720"/>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720"/>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720"/>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720"/>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720"/>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720"/>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720"/>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720"/>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720"/>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720"/>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720"/>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720"/>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720"/>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720"/>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720"/>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720"/>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720"/>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720"/>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720"/>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20"/>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20"/>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20"/>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20"/>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20"/>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20"/>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20"/>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20"/>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20"/>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20"/>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20"/>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20"/>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20"/>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20"/>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20"/>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20"/>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20"/>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20"/>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20"/>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20"/>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20"/>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20"/>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20"/>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20"/>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20"/>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20"/>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20"/>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20"/>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720"/>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20"/>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720"/>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720"/>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720"/>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720"/>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720"/>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720"/>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720"/>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720"/>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720"/>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720"/>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720"/>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720"/>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720"/>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720"/>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20"/>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20"/>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720"/>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720"/>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720"/>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20"/>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20"/>
      <c r="C1586" s="1227"/>
      <c r="H1586" s="222"/>
      <c r="M1586" s="871"/>
      <c r="N1586" s="57"/>
      <c r="O1586" s="269" t="s">
        <v>11</v>
      </c>
      <c r="P1586" s="1361"/>
      <c r="Q1586" s="1273"/>
      <c r="R1586" s="1352"/>
      <c r="S1586" s="228"/>
      <c r="T1586" s="1343"/>
      <c r="U1586" s="346"/>
    </row>
    <row r="1587" spans="1:21" ht="12.75" customHeight="1" x14ac:dyDescent="0.2">
      <c r="A1587" s="302">
        <v>1587</v>
      </c>
      <c r="B1587" s="5720"/>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20"/>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720"/>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720"/>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720"/>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720"/>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720"/>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720"/>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720"/>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720"/>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720"/>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720"/>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720"/>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720"/>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720"/>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720"/>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720"/>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720"/>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720"/>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720"/>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720"/>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20"/>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20"/>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20"/>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20"/>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20"/>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20"/>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20"/>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20"/>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720"/>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720"/>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720"/>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720"/>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20"/>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20"/>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20"/>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20"/>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20"/>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20"/>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720"/>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720"/>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720"/>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720"/>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720"/>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20"/>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720"/>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720"/>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720"/>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720"/>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20"/>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20"/>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20"/>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720"/>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720"/>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20"/>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20"/>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20"/>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20"/>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20"/>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20"/>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720"/>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720"/>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720"/>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720"/>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720"/>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720"/>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20"/>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720"/>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720"/>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720"/>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720"/>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720"/>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720"/>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720"/>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720"/>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720"/>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720"/>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720"/>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720"/>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720"/>
      <c r="C1666" s="983"/>
      <c r="H1666" s="222"/>
      <c r="M1666" s="871"/>
      <c r="N1666" s="57"/>
      <c r="O1666" s="1" t="s">
        <v>18</v>
      </c>
      <c r="P1666" s="1345"/>
      <c r="Q1666" s="345"/>
      <c r="R1666" s="1352"/>
      <c r="S1666" s="228"/>
      <c r="T1666" s="1343"/>
    </row>
    <row r="1667" spans="1:20" ht="12.75" customHeight="1" x14ac:dyDescent="0.2">
      <c r="A1667" s="302">
        <v>1667</v>
      </c>
      <c r="B1667" s="5720"/>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720"/>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720"/>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720"/>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20"/>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720"/>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720"/>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720"/>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720"/>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720"/>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720"/>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720"/>
      <c r="C1678" s="983"/>
      <c r="H1678" s="222"/>
      <c r="M1678" s="871"/>
      <c r="N1678" s="57"/>
      <c r="O1678" s="1" t="s">
        <v>23</v>
      </c>
      <c r="P1678" s="1345"/>
      <c r="Q1678" s="345"/>
      <c r="R1678" s="1352"/>
      <c r="S1678" s="228"/>
      <c r="T1678" s="1343"/>
    </row>
    <row r="1679" spans="1:20" ht="12.75" customHeight="1" x14ac:dyDescent="0.2">
      <c r="A1679" s="302">
        <v>1679</v>
      </c>
      <c r="B1679" s="5720"/>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720"/>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720"/>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720"/>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720"/>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720"/>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720"/>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720"/>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720"/>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20"/>
      <c r="C1688" s="983"/>
      <c r="H1688" s="222"/>
      <c r="M1688" s="871"/>
      <c r="N1688" s="57"/>
      <c r="O1688" s="269" t="s">
        <v>25</v>
      </c>
      <c r="P1688" s="1345"/>
      <c r="Q1688" s="345"/>
      <c r="R1688" s="1352"/>
      <c r="S1688" s="228"/>
      <c r="T1688" s="1343"/>
    </row>
    <row r="1689" spans="1:20" ht="12.75" customHeight="1" x14ac:dyDescent="0.2">
      <c r="A1689" s="302">
        <v>1689</v>
      </c>
      <c r="B1689" s="5720"/>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20"/>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720"/>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720"/>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720"/>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720"/>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720"/>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20"/>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20"/>
      <c r="H1697" s="222"/>
      <c r="M1697" s="871"/>
      <c r="N1697" s="57"/>
      <c r="O1697" s="1" t="s">
        <v>29</v>
      </c>
      <c r="P1697" s="1345"/>
      <c r="Q1697" s="345"/>
      <c r="R1697" s="1352"/>
      <c r="S1697" s="228"/>
      <c r="T1697" s="1343"/>
    </row>
    <row r="1698" spans="1:41" ht="12.75" customHeight="1" x14ac:dyDescent="0.2">
      <c r="A1698" s="302">
        <v>1698</v>
      </c>
      <c r="B1698" s="5720"/>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20"/>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20"/>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20"/>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20"/>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20"/>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20"/>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20"/>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20"/>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20"/>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20"/>
      <c r="H1708" s="222"/>
      <c r="I1708" s="726"/>
      <c r="N1708" s="222"/>
      <c r="O1708" s="983"/>
    </row>
    <row r="1709" spans="1:41" ht="12.75" customHeight="1" x14ac:dyDescent="0.2">
      <c r="A1709" s="302">
        <v>1704</v>
      </c>
      <c r="B1709" s="5720"/>
      <c r="C1709" s="5719" t="s">
        <v>8108</v>
      </c>
      <c r="D1709" s="5719"/>
      <c r="E1709" s="5719"/>
      <c r="F1709" s="5719"/>
      <c r="G1709" s="5719"/>
      <c r="H1709" s="5719"/>
      <c r="I1709" s="5719"/>
      <c r="J1709" s="5719"/>
      <c r="K1709" s="5719"/>
      <c r="L1709" s="5719"/>
      <c r="M1709" s="5719"/>
      <c r="N1709" s="5719"/>
      <c r="O1709" s="5719"/>
      <c r="P1709" s="5719"/>
      <c r="Q1709" s="5719"/>
      <c r="R1709" s="5719"/>
      <c r="S1709" s="5719"/>
      <c r="T1709" s="5719"/>
      <c r="U1709" s="5719"/>
      <c r="V1709" s="5719"/>
      <c r="W1709" s="5719"/>
      <c r="X1709" s="5719"/>
      <c r="Y1709" s="5719"/>
    </row>
    <row r="1710" spans="1:41" ht="12.75" customHeight="1" x14ac:dyDescent="0.2">
      <c r="A1710" s="302">
        <v>1705</v>
      </c>
      <c r="B1710" s="5720"/>
      <c r="C1710" s="5719"/>
      <c r="D1710" s="5719"/>
      <c r="E1710" s="5719"/>
      <c r="F1710" s="5719"/>
      <c r="G1710" s="5719"/>
      <c r="H1710" s="5719"/>
      <c r="I1710" s="5719"/>
      <c r="J1710" s="5719"/>
      <c r="K1710" s="5719"/>
      <c r="L1710" s="5719"/>
      <c r="M1710" s="5719"/>
      <c r="N1710" s="5719"/>
      <c r="O1710" s="5719"/>
      <c r="P1710" s="5719"/>
      <c r="Q1710" s="5719"/>
      <c r="R1710" s="5719"/>
      <c r="S1710" s="5719"/>
      <c r="T1710" s="5719"/>
      <c r="U1710" s="5719"/>
      <c r="V1710" s="5719"/>
      <c r="W1710" s="5719"/>
      <c r="X1710" s="5719"/>
      <c r="Y1710" s="5719"/>
    </row>
    <row r="1711" spans="1:41" ht="12.75" customHeight="1" x14ac:dyDescent="0.2">
      <c r="A1711" s="302">
        <v>1706</v>
      </c>
      <c r="B1711" s="5720"/>
      <c r="C1711" s="5719"/>
      <c r="D1711" s="5719"/>
      <c r="E1711" s="5719"/>
      <c r="F1711" s="5719"/>
      <c r="G1711" s="5719"/>
      <c r="H1711" s="5719"/>
      <c r="I1711" s="5719"/>
      <c r="J1711" s="5719"/>
      <c r="K1711" s="5719"/>
      <c r="L1711" s="5719"/>
      <c r="M1711" s="5719"/>
      <c r="N1711" s="5719"/>
      <c r="O1711" s="5719"/>
      <c r="P1711" s="5719"/>
      <c r="Q1711" s="5719"/>
      <c r="R1711" s="5719"/>
      <c r="S1711" s="5719"/>
      <c r="T1711" s="5719"/>
      <c r="U1711" s="5719"/>
      <c r="V1711" s="5719"/>
      <c r="W1711" s="5719"/>
      <c r="X1711" s="5719"/>
      <c r="Y1711" s="5719"/>
    </row>
    <row r="1712" spans="1:41" ht="12.75" customHeight="1" thickBot="1" x14ac:dyDescent="0.25">
      <c r="A1712" s="302">
        <v>1707</v>
      </c>
      <c r="B1712" s="5720"/>
      <c r="H1712" s="222"/>
      <c r="I1712" s="726"/>
      <c r="N1712" s="222"/>
      <c r="O1712" s="983"/>
    </row>
    <row r="1713" spans="1:25" ht="12.75" customHeight="1" x14ac:dyDescent="0.2">
      <c r="A1713" s="302">
        <v>1708</v>
      </c>
      <c r="B1713" s="5720"/>
      <c r="C1713" s="5787" t="s">
        <v>7076</v>
      </c>
      <c r="D1713" s="5788"/>
      <c r="E1713" s="5787" t="s">
        <v>2105</v>
      </c>
      <c r="F1713" s="5941"/>
      <c r="G1713" s="5941"/>
      <c r="H1713" s="5941"/>
      <c r="I1713" s="5941"/>
      <c r="J1713" s="5941"/>
      <c r="K1713" s="5941"/>
      <c r="L1713" s="5941"/>
      <c r="M1713" s="5941"/>
      <c r="N1713" s="5941"/>
      <c r="O1713" s="1285"/>
      <c r="P1713" s="1285"/>
      <c r="Q1713" s="1287"/>
      <c r="R1713" s="1286"/>
      <c r="T1713" s="5796" t="s">
        <v>8096</v>
      </c>
      <c r="U1713" s="5797"/>
      <c r="V1713" s="5797"/>
      <c r="W1713" s="5797"/>
      <c r="X1713" s="5797"/>
      <c r="Y1713" s="5798"/>
    </row>
    <row r="1714" spans="1:25" ht="12.75" customHeight="1" x14ac:dyDescent="0.2">
      <c r="A1714" s="302">
        <v>1709</v>
      </c>
      <c r="B1714" s="5720"/>
      <c r="C1714" s="5789"/>
      <c r="D1714" s="5790"/>
      <c r="E1714" s="5789"/>
      <c r="F1714" s="5942"/>
      <c r="G1714" s="5942"/>
      <c r="H1714" s="5942"/>
      <c r="I1714" s="5942"/>
      <c r="J1714" s="5942"/>
      <c r="K1714" s="5942"/>
      <c r="L1714" s="5942"/>
      <c r="M1714" s="5942"/>
      <c r="N1714" s="5942"/>
      <c r="O1714" s="5816" t="s">
        <v>8092</v>
      </c>
      <c r="P1714" s="5814">
        <f>COUNTIF(J1717:J1909,"&gt;0")</f>
        <v>0</v>
      </c>
      <c r="Q1714" s="1288"/>
      <c r="R1714" s="775"/>
      <c r="T1714" s="5799"/>
      <c r="U1714" s="5800"/>
      <c r="V1714" s="5800"/>
      <c r="W1714" s="5800"/>
      <c r="X1714" s="5800"/>
      <c r="Y1714" s="5801"/>
    </row>
    <row r="1715" spans="1:25" ht="12.75" customHeight="1" x14ac:dyDescent="0.2">
      <c r="A1715" s="302">
        <v>1710</v>
      </c>
      <c r="B1715" s="5720"/>
      <c r="C1715" s="803" t="s">
        <v>7077</v>
      </c>
      <c r="D1715" s="770"/>
      <c r="E1715" s="1289"/>
      <c r="F1715" s="1284" t="s">
        <v>8093</v>
      </c>
      <c r="G1715" s="774">
        <v>3</v>
      </c>
      <c r="H1715" s="774">
        <v>4</v>
      </c>
      <c r="I1715" s="774">
        <v>5</v>
      </c>
      <c r="J1715" s="774">
        <v>6</v>
      </c>
      <c r="K1715" s="774">
        <v>7</v>
      </c>
      <c r="L1715" s="774">
        <v>8</v>
      </c>
      <c r="M1715" s="774">
        <v>9</v>
      </c>
      <c r="N1715" s="774">
        <v>10</v>
      </c>
      <c r="O1715" s="5816"/>
      <c r="P1715" s="5814"/>
      <c r="Q1715" s="1288">
        <v>13</v>
      </c>
      <c r="R1715" s="775">
        <v>14</v>
      </c>
      <c r="T1715" s="5795" t="s">
        <v>8094</v>
      </c>
      <c r="U1715" s="5794"/>
      <c r="V1715" s="5794" t="s">
        <v>8095</v>
      </c>
      <c r="W1715" s="5794"/>
      <c r="X1715" s="5794" t="s">
        <v>1479</v>
      </c>
      <c r="Y1715" s="5802"/>
    </row>
    <row r="1716" spans="1:25" ht="12.75" customHeight="1" x14ac:dyDescent="0.2">
      <c r="A1716" s="302">
        <v>1711</v>
      </c>
      <c r="B1716" s="5720"/>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720"/>
      <c r="C1717" s="803" t="s">
        <v>7079</v>
      </c>
      <c r="D1717" s="770"/>
      <c r="E1717" s="1291" t="s">
        <v>7091</v>
      </c>
      <c r="F1717" s="772"/>
      <c r="G1717" s="772">
        <v>10</v>
      </c>
      <c r="H1717" s="773">
        <v>1</v>
      </c>
      <c r="I1717" s="773">
        <v>5</v>
      </c>
      <c r="J1717" s="773">
        <f>COUNTIF(Elan!$C$13:$F$25,Tablas!E1717)+COUNTIF(Elan!$U$13:$X$25,Tablas!E1717)</f>
        <v>0</v>
      </c>
      <c r="K1717" s="772"/>
      <c r="L1717" s="5785" t="s">
        <v>7282</v>
      </c>
      <c r="M1717" s="5785"/>
      <c r="N1717" s="5785"/>
      <c r="O1717" s="5785"/>
      <c r="P1717" s="5785"/>
      <c r="Q1717" s="5786"/>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720"/>
      <c r="C1718" s="803" t="s">
        <v>7080</v>
      </c>
      <c r="D1718" s="770"/>
      <c r="E1718" s="1291" t="s">
        <v>7092</v>
      </c>
      <c r="F1718" s="772"/>
      <c r="G1718" s="772">
        <v>20</v>
      </c>
      <c r="H1718" s="773">
        <v>1</v>
      </c>
      <c r="I1718" s="773">
        <v>10</v>
      </c>
      <c r="J1718" s="773">
        <f>COUNTIF(Elan!$C$13:$F$25,Tablas!E1718)+COUNTIF(Elan!$U$13:$X$25,Tablas!E1718)</f>
        <v>0</v>
      </c>
      <c r="K1718" s="772"/>
      <c r="L1718" s="5785" t="s">
        <v>7286</v>
      </c>
      <c r="M1718" s="5785"/>
      <c r="N1718" s="5785"/>
      <c r="O1718" s="5785"/>
      <c r="P1718" s="5785"/>
      <c r="Q1718" s="5786"/>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720"/>
      <c r="C1719" s="803" t="s">
        <v>6987</v>
      </c>
      <c r="D1719" s="770"/>
      <c r="E1719" s="1291" t="s">
        <v>7093</v>
      </c>
      <c r="F1719" s="772"/>
      <c r="G1719" s="772">
        <v>30</v>
      </c>
      <c r="H1719" s="773">
        <v>1</v>
      </c>
      <c r="I1719" s="773">
        <v>5</v>
      </c>
      <c r="J1719" s="773">
        <f>COUNTIF(Elan!$C$13:$F$25,Tablas!E1719)+COUNTIF(Elan!$U$13:$X$25,Tablas!E1719)</f>
        <v>0</v>
      </c>
      <c r="K1719" s="772"/>
      <c r="L1719" s="5785" t="s">
        <v>7290</v>
      </c>
      <c r="M1719" s="5785"/>
      <c r="N1719" s="5785"/>
      <c r="O1719" s="5785"/>
      <c r="P1719" s="5785"/>
      <c r="Q1719" s="5786"/>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720"/>
      <c r="C1720" s="803" t="s">
        <v>7081</v>
      </c>
      <c r="D1720" s="770"/>
      <c r="E1720" s="1291" t="s">
        <v>7094</v>
      </c>
      <c r="F1720" s="772"/>
      <c r="G1720" s="772">
        <v>40</v>
      </c>
      <c r="H1720" s="773">
        <v>1</v>
      </c>
      <c r="I1720" s="773">
        <v>20</v>
      </c>
      <c r="J1720" s="773">
        <f>COUNTIF(Elan!$C$13:$F$25,Tablas!E1720)+COUNTIF(Elan!$U$13:$X$25,Tablas!E1720)</f>
        <v>0</v>
      </c>
      <c r="K1720" s="772">
        <f>$F$1716/2*J1720</f>
        <v>0</v>
      </c>
      <c r="L1720" s="5785" t="s">
        <v>7294</v>
      </c>
      <c r="M1720" s="5785"/>
      <c r="N1720" s="5785"/>
      <c r="O1720" s="5785"/>
      <c r="P1720" s="5785"/>
      <c r="Q1720" s="5786"/>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720"/>
      <c r="C1721" s="803" t="s">
        <v>7082</v>
      </c>
      <c r="D1721" s="770"/>
      <c r="E1721" s="1291" t="s">
        <v>7095</v>
      </c>
      <c r="F1721" s="772"/>
      <c r="G1721" s="772">
        <v>50</v>
      </c>
      <c r="H1721" s="773">
        <v>1</v>
      </c>
      <c r="I1721" s="773">
        <v>15</v>
      </c>
      <c r="J1721" s="773">
        <f>COUNTIF(Elan!$C$13:$F$25,Tablas!E1721)+COUNTIF(Elan!$U$13:$X$25,Tablas!E1721)</f>
        <v>0</v>
      </c>
      <c r="K1721" s="772"/>
      <c r="L1721" s="5785" t="s">
        <v>7297</v>
      </c>
      <c r="M1721" s="5785"/>
      <c r="N1721" s="5785"/>
      <c r="O1721" s="5785"/>
      <c r="P1721" s="5785"/>
      <c r="Q1721" s="5786"/>
      <c r="R1721" s="1294">
        <f>IF(OR($J1721=0,$J1721="Aprendida"),0,SUM($J$1717:$J1721))</f>
        <v>0</v>
      </c>
      <c r="T1721" s="1455" t="s">
        <v>7298</v>
      </c>
      <c r="U1721" s="1456">
        <v>1</v>
      </c>
      <c r="V1721" s="1457"/>
      <c r="W1721" s="1456"/>
      <c r="X1721" s="1456"/>
      <c r="Y1721" s="1736"/>
    </row>
    <row r="1722" spans="1:25" ht="12.75" customHeight="1" x14ac:dyDescent="0.2">
      <c r="A1722" s="302">
        <v>1717</v>
      </c>
      <c r="B1722" s="5720"/>
      <c r="C1722" s="803" t="s">
        <v>7083</v>
      </c>
      <c r="D1722" s="770"/>
      <c r="E1722" s="1291" t="s">
        <v>3098</v>
      </c>
      <c r="F1722" s="772"/>
      <c r="G1722" s="772">
        <v>50</v>
      </c>
      <c r="H1722" s="773">
        <f>IF(J1720=1,1,0)</f>
        <v>0</v>
      </c>
      <c r="I1722" s="773">
        <v>10</v>
      </c>
      <c r="J1722" s="773">
        <f>COUNTIF(Elan!$C$13:$F$25,Tablas!E1722)+COUNTIF(Elan!$U$13:$X$25,Tablas!E1722)</f>
        <v>0</v>
      </c>
      <c r="K1722" s="772"/>
      <c r="L1722" s="5785" t="s">
        <v>7299</v>
      </c>
      <c r="M1722" s="5785"/>
      <c r="N1722" s="5785"/>
      <c r="O1722" s="5785"/>
      <c r="P1722" s="5785"/>
      <c r="Q1722" s="5786"/>
      <c r="R1722" s="1294">
        <f>IF(OR($J1722=0,$J1722="Aprendida"),0,SUM($J$1717:$J1722))</f>
        <v>0</v>
      </c>
      <c r="T1722" s="1455" t="s">
        <v>7288</v>
      </c>
      <c r="U1722" s="1456">
        <v>5</v>
      </c>
      <c r="V1722" s="1457"/>
      <c r="W1722" s="1456"/>
      <c r="X1722" s="1456"/>
      <c r="Y1722" s="1736"/>
    </row>
    <row r="1723" spans="1:25" ht="12.75" customHeight="1" x14ac:dyDescent="0.2">
      <c r="A1723" s="302">
        <v>1718</v>
      </c>
      <c r="B1723" s="5720"/>
      <c r="C1723" s="803" t="s">
        <v>7084</v>
      </c>
      <c r="D1723" s="770"/>
      <c r="E1723" s="1291" t="s">
        <v>7096</v>
      </c>
      <c r="F1723" s="772"/>
      <c r="G1723" s="772">
        <v>60</v>
      </c>
      <c r="H1723" s="773">
        <v>1</v>
      </c>
      <c r="I1723" s="773">
        <v>10</v>
      </c>
      <c r="J1723" s="773">
        <f>COUNTIF(Elan!$C$13:$F$25,Tablas!E1723)+COUNTIF(Elan!$U$13:$X$25,Tablas!E1723)</f>
        <v>0</v>
      </c>
      <c r="K1723" s="772"/>
      <c r="L1723" s="5785" t="s">
        <v>7300</v>
      </c>
      <c r="M1723" s="5785"/>
      <c r="N1723" s="5785"/>
      <c r="O1723" s="5785"/>
      <c r="P1723" s="5785"/>
      <c r="Q1723" s="5786"/>
      <c r="R1723" s="1294">
        <f>IF(OR($J1723=0,$J1723="Aprendida"),0,SUM($J$1717:$J1723))</f>
        <v>0</v>
      </c>
      <c r="T1723" s="1458"/>
      <c r="U1723" s="1459"/>
      <c r="V1723" s="1459"/>
      <c r="W1723" s="1459"/>
      <c r="X1723" s="1459"/>
      <c r="Y1723" s="1737"/>
    </row>
    <row r="1724" spans="1:25" ht="12.75" customHeight="1" x14ac:dyDescent="0.2">
      <c r="A1724" s="302">
        <v>1719</v>
      </c>
      <c r="B1724" s="5720"/>
      <c r="C1724" s="803" t="s">
        <v>7085</v>
      </c>
      <c r="D1724" s="770"/>
      <c r="E1724" s="1291" t="s">
        <v>7097</v>
      </c>
      <c r="F1724" s="772"/>
      <c r="G1724" s="772">
        <v>70</v>
      </c>
      <c r="H1724" s="773">
        <v>1</v>
      </c>
      <c r="I1724" s="773">
        <v>10</v>
      </c>
      <c r="J1724" s="773">
        <f>COUNTIF(Elan!$C$13:$F$25,Tablas!E1724)+COUNTIF(Elan!$U$13:$X$25,Tablas!E1724)</f>
        <v>0</v>
      </c>
      <c r="K1724" s="772"/>
      <c r="L1724" s="5785" t="s">
        <v>7301</v>
      </c>
      <c r="M1724" s="5785"/>
      <c r="N1724" s="5785"/>
      <c r="O1724" s="5785"/>
      <c r="P1724" s="5785"/>
      <c r="Q1724" s="5786"/>
      <c r="R1724" s="1294">
        <f>IF(OR($J1724=0,$J1724="Aprendida"),0,SUM($J$1717:$J1724))</f>
        <v>0</v>
      </c>
      <c r="T1724" s="1453" t="str">
        <f>E1729</f>
        <v>Zemial</v>
      </c>
      <c r="U1724" s="1454"/>
      <c r="V1724" s="1460"/>
      <c r="W1724" s="1454"/>
      <c r="X1724" s="1454"/>
      <c r="Y1724" s="1735"/>
    </row>
    <row r="1725" spans="1:25" ht="12.75" customHeight="1" x14ac:dyDescent="0.2">
      <c r="A1725" s="302">
        <v>1720</v>
      </c>
      <c r="B1725" s="5720"/>
      <c r="C1725" s="803" t="s">
        <v>7086</v>
      </c>
      <c r="D1725" s="770"/>
      <c r="E1725" s="1291" t="s">
        <v>7098</v>
      </c>
      <c r="F1725" s="772"/>
      <c r="G1725" s="772">
        <v>70</v>
      </c>
      <c r="H1725" s="773">
        <v>1</v>
      </c>
      <c r="I1725" s="773">
        <v>10</v>
      </c>
      <c r="J1725" s="773">
        <f>COUNTIF(Elan!$C$13:$F$25,Tablas!E1725)+COUNTIF(Elan!$U$13:$X$25,Tablas!E1725)</f>
        <v>0</v>
      </c>
      <c r="K1725" s="772"/>
      <c r="L1725" s="5785" t="s">
        <v>7302</v>
      </c>
      <c r="M1725" s="5785"/>
      <c r="N1725" s="5785"/>
      <c r="O1725" s="5785"/>
      <c r="P1725" s="5785"/>
      <c r="Q1725" s="5786"/>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720"/>
      <c r="C1726" s="803" t="s">
        <v>7087</v>
      </c>
      <c r="D1726" s="770"/>
      <c r="E1726" s="1291" t="s">
        <v>7099</v>
      </c>
      <c r="F1726" s="772"/>
      <c r="G1726" s="772">
        <v>80</v>
      </c>
      <c r="H1726" s="773">
        <v>1</v>
      </c>
      <c r="I1726" s="773">
        <v>15</v>
      </c>
      <c r="J1726" s="773">
        <f>COUNTIF(Elan!$C$13:$F$25,Tablas!E1726)+COUNTIF(Elan!$U$13:$X$25,Tablas!E1726)</f>
        <v>0</v>
      </c>
      <c r="K1726" s="772"/>
      <c r="L1726" s="5785" t="s">
        <v>7303</v>
      </c>
      <c r="M1726" s="5785"/>
      <c r="N1726" s="5785"/>
      <c r="O1726" s="5785"/>
      <c r="P1726" s="5785"/>
      <c r="Q1726" s="5786"/>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720"/>
      <c r="C1727" s="803" t="s">
        <v>7088</v>
      </c>
      <c r="D1727" s="770"/>
      <c r="E1727" s="1291" t="s">
        <v>7100</v>
      </c>
      <c r="F1727" s="772"/>
      <c r="G1727" s="772">
        <v>90</v>
      </c>
      <c r="H1727" s="773">
        <v>1</v>
      </c>
      <c r="I1727" s="773">
        <v>20</v>
      </c>
      <c r="J1727" s="773">
        <f>COUNTIF(Elan!$C$13:$F$25,Tablas!E1727)+COUNTIF(Elan!$U$13:$X$25,Tablas!E1727)</f>
        <v>0</v>
      </c>
      <c r="K1727" s="772"/>
      <c r="L1727" s="5785" t="s">
        <v>7304</v>
      </c>
      <c r="M1727" s="5785"/>
      <c r="N1727" s="5785"/>
      <c r="O1727" s="5785"/>
      <c r="P1727" s="5785"/>
      <c r="Q1727" s="5786"/>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720"/>
      <c r="C1728" s="804" t="s">
        <v>7089</v>
      </c>
      <c r="D1728" s="771"/>
      <c r="E1728" s="1291" t="s">
        <v>7101</v>
      </c>
      <c r="F1728" s="772"/>
      <c r="G1728" s="772">
        <v>100</v>
      </c>
      <c r="H1728" s="773">
        <v>1</v>
      </c>
      <c r="I1728" s="773">
        <v>10</v>
      </c>
      <c r="J1728" s="773">
        <f>COUNTIF(Elan!$C$13:$F$25,Tablas!E1728)+COUNTIF(Elan!$U$13:$X$25,Tablas!E1728)</f>
        <v>0</v>
      </c>
      <c r="K1728" s="772"/>
      <c r="L1728" s="5785" t="s">
        <v>7305</v>
      </c>
      <c r="M1728" s="5785"/>
      <c r="N1728" s="5785"/>
      <c r="O1728" s="5785"/>
      <c r="P1728" s="5785"/>
      <c r="Q1728" s="5786"/>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720"/>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720"/>
      <c r="E1730" s="1291" t="s">
        <v>7102</v>
      </c>
      <c r="F1730" s="772"/>
      <c r="G1730" s="772">
        <v>10</v>
      </c>
      <c r="H1730" s="773">
        <v>1</v>
      </c>
      <c r="I1730" s="773">
        <v>5</v>
      </c>
      <c r="J1730" s="773">
        <f>COUNTIF(Elan!$C$13:$F$25,Tablas!E1730)+COUNTIF(Elan!$U$13:$X$25,Tablas!E1730)</f>
        <v>0</v>
      </c>
      <c r="K1730" s="772"/>
      <c r="L1730" s="5785" t="s">
        <v>7306</v>
      </c>
      <c r="M1730" s="5785"/>
      <c r="N1730" s="5785"/>
      <c r="O1730" s="5785"/>
      <c r="P1730" s="5785"/>
      <c r="Q1730" s="5786"/>
      <c r="R1730" s="1294">
        <f>IF(OR($J1730=0,$J1730="Aprendida"),0,SUM($J$1717:$J1730))</f>
        <v>0</v>
      </c>
      <c r="T1730" s="1455" t="s">
        <v>7321</v>
      </c>
      <c r="U1730" s="1456">
        <v>2</v>
      </c>
      <c r="V1730" s="1457"/>
      <c r="W1730" s="1456"/>
      <c r="X1730" s="1456"/>
      <c r="Y1730" s="1736"/>
    </row>
    <row r="1731" spans="1:25" ht="12.75" customHeight="1" x14ac:dyDescent="0.2">
      <c r="A1731" s="302">
        <v>1726</v>
      </c>
      <c r="B1731" s="5720"/>
      <c r="E1731" s="1291" t="s">
        <v>7103</v>
      </c>
      <c r="F1731" s="772"/>
      <c r="G1731" s="772">
        <v>20</v>
      </c>
      <c r="H1731" s="773">
        <v>1</v>
      </c>
      <c r="I1731" s="773">
        <v>5</v>
      </c>
      <c r="J1731" s="773">
        <f>COUNTIF(Elan!$C$13:$F$25,Tablas!E1731)+COUNTIF(Elan!$U$13:$X$25,Tablas!E1731)</f>
        <v>0</v>
      </c>
      <c r="K1731" s="772"/>
      <c r="L1731" s="5785" t="s">
        <v>7310</v>
      </c>
      <c r="M1731" s="5785"/>
      <c r="N1731" s="5785"/>
      <c r="O1731" s="5785"/>
      <c r="P1731" s="5785"/>
      <c r="Q1731" s="5786"/>
      <c r="R1731" s="1294">
        <f>IF(OR($J1731=0,$J1731="Aprendida"),0,SUM($J$1717:$J1731))</f>
        <v>0</v>
      </c>
      <c r="T1731" s="1458"/>
      <c r="U1731" s="1459"/>
      <c r="V1731" s="1459"/>
      <c r="W1731" s="1459"/>
      <c r="X1731" s="1459"/>
      <c r="Y1731" s="1737"/>
    </row>
    <row r="1732" spans="1:25" ht="12.75" customHeight="1" x14ac:dyDescent="0.2">
      <c r="A1732" s="302">
        <v>1727</v>
      </c>
      <c r="B1732" s="5720"/>
      <c r="E1732" s="1291" t="s">
        <v>1912</v>
      </c>
      <c r="F1732" s="772"/>
      <c r="G1732" s="772">
        <v>30</v>
      </c>
      <c r="H1732" s="773">
        <v>1</v>
      </c>
      <c r="I1732" s="773">
        <v>10</v>
      </c>
      <c r="J1732" s="773">
        <f>COUNTIF(Elan!$C$13:$F$25,Tablas!E1732)+COUNTIF(Elan!$U$13:$X$25,Tablas!E1732)</f>
        <v>0</v>
      </c>
      <c r="K1732" s="772">
        <f>MROUND($F$1729/2,5)*J1732</f>
        <v>0</v>
      </c>
      <c r="L1732" s="5785" t="s">
        <v>7313</v>
      </c>
      <c r="M1732" s="5785"/>
      <c r="N1732" s="5785"/>
      <c r="O1732" s="5785"/>
      <c r="P1732" s="5785"/>
      <c r="Q1732" s="5786"/>
      <c r="R1732" s="1294">
        <f>IF(OR($J1732=0,$J1732="Aprendida"),0,SUM($J$1717:$J1732))</f>
        <v>0</v>
      </c>
      <c r="T1732" s="1453" t="str">
        <f>E1742</f>
        <v>Uriel</v>
      </c>
      <c r="U1732" s="1454"/>
      <c r="V1732" s="1460"/>
      <c r="W1732" s="1454"/>
      <c r="X1732" s="1454"/>
      <c r="Y1732" s="1735"/>
    </row>
    <row r="1733" spans="1:25" ht="12.75" customHeight="1" x14ac:dyDescent="0.2">
      <c r="A1733" s="302">
        <v>1728</v>
      </c>
      <c r="B1733" s="5720"/>
      <c r="E1733" s="1291" t="s">
        <v>7104</v>
      </c>
      <c r="F1733" s="772"/>
      <c r="G1733" s="772">
        <v>40</v>
      </c>
      <c r="H1733" s="773">
        <f>IF(J1730,1,0)</f>
        <v>0</v>
      </c>
      <c r="I1733" s="773">
        <v>10</v>
      </c>
      <c r="J1733" s="773">
        <f>COUNTIF(Elan!$C$13:$F$25,Tablas!E1733)+COUNTIF(Elan!$U$13:$X$25,Tablas!E1733)</f>
        <v>0</v>
      </c>
      <c r="K1733" s="772"/>
      <c r="L1733" s="5785" t="s">
        <v>7316</v>
      </c>
      <c r="M1733" s="5785"/>
      <c r="N1733" s="5785"/>
      <c r="O1733" s="5785"/>
      <c r="P1733" s="5785"/>
      <c r="Q1733" s="5786"/>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720"/>
      <c r="E1734" s="1291" t="s">
        <v>7105</v>
      </c>
      <c r="F1734" s="772"/>
      <c r="G1734" s="772">
        <v>50</v>
      </c>
      <c r="H1734" s="773">
        <v>1</v>
      </c>
      <c r="I1734" s="773">
        <v>15</v>
      </c>
      <c r="J1734" s="773">
        <f>COUNTIF(Elan!$C$13:$F$25,Tablas!E1734)+COUNTIF(Elan!$U$13:$X$25,Tablas!E1734)</f>
        <v>0</v>
      </c>
      <c r="K1734" s="772"/>
      <c r="L1734" s="5785" t="s">
        <v>7318</v>
      </c>
      <c r="M1734" s="5785"/>
      <c r="N1734" s="5785"/>
      <c r="O1734" s="5785"/>
      <c r="P1734" s="5785"/>
      <c r="Q1734" s="5786"/>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720"/>
      <c r="E1735" s="1291" t="s">
        <v>7106</v>
      </c>
      <c r="F1735" s="772"/>
      <c r="G1735" s="772">
        <v>50</v>
      </c>
      <c r="H1735" s="773">
        <v>1</v>
      </c>
      <c r="I1735" s="773">
        <v>10</v>
      </c>
      <c r="J1735" s="773">
        <f>COUNTIF(Elan!$C$13:$F$25,Tablas!E1735)+COUNTIF(Elan!$U$13:$X$25,Tablas!E1735)</f>
        <v>0</v>
      </c>
      <c r="K1735" s="772"/>
      <c r="L1735" s="5785" t="s">
        <v>7320</v>
      </c>
      <c r="M1735" s="5785"/>
      <c r="N1735" s="5785"/>
      <c r="O1735" s="5785"/>
      <c r="P1735" s="5785"/>
      <c r="Q1735" s="5786"/>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720"/>
      <c r="E1736" s="1291" t="s">
        <v>7107</v>
      </c>
      <c r="F1736" s="772"/>
      <c r="G1736" s="772">
        <v>60</v>
      </c>
      <c r="H1736" s="773">
        <v>1</v>
      </c>
      <c r="I1736" s="773">
        <v>10</v>
      </c>
      <c r="J1736" s="773">
        <f>COUNTIF(Elan!$C$13:$F$25,Tablas!E1736)+COUNTIF(Elan!$U$13:$X$25,Tablas!E1736)</f>
        <v>0</v>
      </c>
      <c r="K1736" s="772"/>
      <c r="L1736" s="5785" t="s">
        <v>7322</v>
      </c>
      <c r="M1736" s="5785"/>
      <c r="N1736" s="5785"/>
      <c r="O1736" s="5785"/>
      <c r="P1736" s="5785"/>
      <c r="Q1736" s="5786"/>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720"/>
      <c r="E1737" s="1291" t="s">
        <v>7108</v>
      </c>
      <c r="F1737" s="772"/>
      <c r="G1737" s="772">
        <v>60</v>
      </c>
      <c r="H1737" s="773">
        <f>IF(J1735,1,0)</f>
        <v>0</v>
      </c>
      <c r="I1737" s="773">
        <v>10</v>
      </c>
      <c r="J1737" s="773">
        <f>COUNTIF(Elan!$C$13:$F$25,Tablas!E1737)+COUNTIF(Elan!$U$13:$X$25,Tablas!E1737)</f>
        <v>0</v>
      </c>
      <c r="K1737" s="772"/>
      <c r="L1737" s="5785" t="s">
        <v>7323</v>
      </c>
      <c r="M1737" s="5785"/>
      <c r="N1737" s="5785"/>
      <c r="O1737" s="5785"/>
      <c r="P1737" s="5785"/>
      <c r="Q1737" s="5786"/>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720"/>
      <c r="E1738" s="1291" t="s">
        <v>7109</v>
      </c>
      <c r="F1738" s="772"/>
      <c r="G1738" s="772">
        <v>70</v>
      </c>
      <c r="H1738" s="773">
        <f>IF(J1737,1,0)</f>
        <v>0</v>
      </c>
      <c r="I1738" s="773">
        <v>10</v>
      </c>
      <c r="J1738" s="773">
        <f>COUNTIF(Elan!$C$13:$F$25,Tablas!E1738)+COUNTIF(Elan!$U$13:$X$25,Tablas!E1738)</f>
        <v>0</v>
      </c>
      <c r="K1738" s="772"/>
      <c r="L1738" s="5785" t="s">
        <v>7324</v>
      </c>
      <c r="M1738" s="5785"/>
      <c r="N1738" s="5785"/>
      <c r="O1738" s="5785"/>
      <c r="P1738" s="5785"/>
      <c r="Q1738" s="5786"/>
      <c r="R1738" s="1294">
        <f>IF(OR($J1738=0,$J1738="Aprendida"),0,SUM($J$1717:$J1738))</f>
        <v>0</v>
      </c>
      <c r="T1738" s="1455" t="s">
        <v>7346</v>
      </c>
      <c r="U1738" s="1456">
        <v>2</v>
      </c>
      <c r="V1738" s="1457"/>
      <c r="W1738" s="1456"/>
      <c r="X1738" s="1456"/>
      <c r="Y1738" s="1736"/>
    </row>
    <row r="1739" spans="1:25" ht="12.75" customHeight="1" x14ac:dyDescent="0.2">
      <c r="A1739" s="302">
        <v>1734</v>
      </c>
      <c r="B1739" s="5720"/>
      <c r="E1739" s="1291" t="s">
        <v>7110</v>
      </c>
      <c r="F1739" s="772"/>
      <c r="G1739" s="772">
        <v>80</v>
      </c>
      <c r="H1739" s="773">
        <v>1</v>
      </c>
      <c r="I1739" s="773">
        <v>15</v>
      </c>
      <c r="J1739" s="773">
        <f>COUNTIF(Elan!$C$13:$F$25,Tablas!E1739)+COUNTIF(Elan!$U$13:$X$25,Tablas!E1739)</f>
        <v>0</v>
      </c>
      <c r="K1739" s="772"/>
      <c r="L1739" s="5785" t="s">
        <v>7325</v>
      </c>
      <c r="M1739" s="5785"/>
      <c r="N1739" s="5785"/>
      <c r="O1739" s="5785"/>
      <c r="P1739" s="5785"/>
      <c r="Q1739" s="5786"/>
      <c r="R1739" s="1294">
        <f>IF(OR($J1739=0,$J1739="Aprendida"),0,SUM($J$1717:$J1739))</f>
        <v>0</v>
      </c>
      <c r="T1739" s="1458"/>
      <c r="U1739" s="1459"/>
      <c r="V1739" s="1459"/>
      <c r="W1739" s="1459"/>
      <c r="X1739" s="1459"/>
      <c r="Y1739" s="1737"/>
    </row>
    <row r="1740" spans="1:25" ht="12.75" customHeight="1" x14ac:dyDescent="0.2">
      <c r="A1740" s="302">
        <v>1735</v>
      </c>
      <c r="B1740" s="5720"/>
      <c r="E1740" s="1291" t="s">
        <v>7111</v>
      </c>
      <c r="F1740" s="772"/>
      <c r="G1740" s="772">
        <v>90</v>
      </c>
      <c r="H1740" s="773">
        <v>1</v>
      </c>
      <c r="I1740" s="773">
        <v>20</v>
      </c>
      <c r="J1740" s="773">
        <f>COUNTIF(Elan!$C$13:$F$25,Tablas!E1740)+COUNTIF(Elan!$U$13:$X$25,Tablas!E1740)</f>
        <v>0</v>
      </c>
      <c r="K1740" s="772"/>
      <c r="L1740" s="5785" t="s">
        <v>7326</v>
      </c>
      <c r="M1740" s="5785"/>
      <c r="N1740" s="5785"/>
      <c r="O1740" s="5785"/>
      <c r="P1740" s="5785"/>
      <c r="Q1740" s="5786"/>
      <c r="R1740" s="1294">
        <f>IF(OR($J1740=0,$J1740="Aprendida"),0,SUM($J$1717:$J1740))</f>
        <v>0</v>
      </c>
      <c r="T1740" s="1453" t="str">
        <f>E1756</f>
        <v>Jedah</v>
      </c>
      <c r="U1740" s="1454"/>
      <c r="V1740" s="1460"/>
      <c r="W1740" s="1454"/>
      <c r="X1740" s="1454"/>
      <c r="Y1740" s="1735"/>
    </row>
    <row r="1741" spans="1:25" ht="12.75" customHeight="1" x14ac:dyDescent="0.2">
      <c r="A1741" s="302">
        <v>1736</v>
      </c>
      <c r="B1741" s="5720"/>
      <c r="E1741" s="1291" t="s">
        <v>7112</v>
      </c>
      <c r="F1741" s="772"/>
      <c r="G1741" s="772">
        <v>100</v>
      </c>
      <c r="H1741" s="773">
        <v>1</v>
      </c>
      <c r="I1741" s="773">
        <v>10</v>
      </c>
      <c r="J1741" s="773">
        <f>COUNTIF(Elan!$C$13:$F$25,Tablas!E1741)+COUNTIF(Elan!$U$13:$X$25,Tablas!E1741)</f>
        <v>0</v>
      </c>
      <c r="K1741" s="772"/>
      <c r="L1741" s="5785" t="s">
        <v>7327</v>
      </c>
      <c r="M1741" s="5785"/>
      <c r="N1741" s="5785"/>
      <c r="O1741" s="5785"/>
      <c r="P1741" s="5785"/>
      <c r="Q1741" s="5786"/>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720"/>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720"/>
      <c r="E1743" s="1291" t="s">
        <v>7113</v>
      </c>
      <c r="F1743" s="772"/>
      <c r="G1743" s="772">
        <v>10</v>
      </c>
      <c r="H1743" s="773">
        <v>1</v>
      </c>
      <c r="I1743" s="773">
        <v>5</v>
      </c>
      <c r="J1743" s="773">
        <f>COUNTIF(Elan!$C$13:$F$25,Tablas!E1743)+COUNTIF(Elan!$U$13:$X$25,Tablas!E1743)</f>
        <v>0</v>
      </c>
      <c r="K1743" s="772"/>
      <c r="L1743" s="5785" t="s">
        <v>7328</v>
      </c>
      <c r="M1743" s="5785"/>
      <c r="N1743" s="5785"/>
      <c r="O1743" s="5785"/>
      <c r="P1743" s="5785"/>
      <c r="Q1743" s="5786"/>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720"/>
      <c r="E1744" s="1291" t="s">
        <v>7114</v>
      </c>
      <c r="F1744" s="772"/>
      <c r="G1744" s="772">
        <v>20</v>
      </c>
      <c r="H1744" s="773">
        <v>1</v>
      </c>
      <c r="I1744" s="773">
        <v>5</v>
      </c>
      <c r="J1744" s="773">
        <f>COUNTIF(Elan!$C$13:$F$25,Tablas!E1744)+COUNTIF(Elan!$U$13:$X$25,Tablas!E1744)</f>
        <v>0</v>
      </c>
      <c r="K1744" s="772"/>
      <c r="L1744" s="5785" t="s">
        <v>7332</v>
      </c>
      <c r="M1744" s="5785"/>
      <c r="N1744" s="5785"/>
      <c r="O1744" s="5785"/>
      <c r="P1744" s="5785"/>
      <c r="Q1744" s="5786"/>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720"/>
      <c r="E1745" s="1291" t="s">
        <v>7115</v>
      </c>
      <c r="F1745" s="772"/>
      <c r="G1745" s="772">
        <v>20</v>
      </c>
      <c r="H1745" s="773">
        <v>1</v>
      </c>
      <c r="I1745" s="773">
        <v>10</v>
      </c>
      <c r="J1745" s="773">
        <f>COUNTIF(Elan!$C$13:$F$25,Tablas!E1745)+COUNTIF(Elan!$U$13:$X$25,Tablas!E1745)</f>
        <v>0</v>
      </c>
      <c r="K1745" s="772"/>
      <c r="L1745" s="5785" t="s">
        <v>7336</v>
      </c>
      <c r="M1745" s="5785"/>
      <c r="N1745" s="5785"/>
      <c r="O1745" s="5785"/>
      <c r="P1745" s="5785"/>
      <c r="Q1745" s="5786"/>
      <c r="R1745" s="1294">
        <f>IF(OR($J1745=0,$J1745="Aprendida"),0,SUM($J$1717:$J1745))</f>
        <v>0</v>
      </c>
      <c r="T1745" s="1455" t="s">
        <v>7369</v>
      </c>
      <c r="U1745" s="1456">
        <v>3</v>
      </c>
      <c r="V1745" s="1457"/>
      <c r="W1745" s="1456"/>
      <c r="X1745" s="1456"/>
      <c r="Y1745" s="1736"/>
    </row>
    <row r="1746" spans="1:25" ht="12.75" customHeight="1" x14ac:dyDescent="0.2">
      <c r="A1746" s="302">
        <v>1741</v>
      </c>
      <c r="B1746" s="5720"/>
      <c r="E1746" s="1291" t="s">
        <v>7116</v>
      </c>
      <c r="F1746" s="772"/>
      <c r="G1746" s="772">
        <v>30</v>
      </c>
      <c r="H1746" s="773">
        <v>1</v>
      </c>
      <c r="I1746" s="773">
        <v>5</v>
      </c>
      <c r="J1746" s="773">
        <f>COUNTIF(Elan!$C$13:$F$25,Tablas!E1746)+COUNTIF(Elan!$U$13:$X$25,Tablas!E1746)</f>
        <v>0</v>
      </c>
      <c r="K1746" s="772"/>
      <c r="L1746" s="5785" t="s">
        <v>7340</v>
      </c>
      <c r="M1746" s="5785"/>
      <c r="N1746" s="5785"/>
      <c r="O1746" s="5785"/>
      <c r="P1746" s="5785"/>
      <c r="Q1746" s="5786"/>
      <c r="R1746" s="1294">
        <f>IF(OR($J1746=0,$J1746="Aprendida"),0,SUM($J$1717:$J1746))</f>
        <v>0</v>
      </c>
      <c r="T1746" s="1455" t="s">
        <v>7371</v>
      </c>
      <c r="U1746" s="1456">
        <v>2</v>
      </c>
      <c r="V1746" s="1457"/>
      <c r="W1746" s="1456"/>
      <c r="X1746" s="1456"/>
      <c r="Y1746" s="1736"/>
    </row>
    <row r="1747" spans="1:25" ht="12.75" customHeight="1" x14ac:dyDescent="0.2">
      <c r="A1747" s="302">
        <v>1742</v>
      </c>
      <c r="B1747" s="5720"/>
      <c r="E1747" s="1291" t="s">
        <v>7117</v>
      </c>
      <c r="F1747" s="772"/>
      <c r="G1747" s="772">
        <v>40</v>
      </c>
      <c r="H1747" s="773">
        <v>1</v>
      </c>
      <c r="I1747" s="773">
        <v>10</v>
      </c>
      <c r="J1747" s="773">
        <f>COUNTIF(Elan!$C$13:$F$25,Tablas!E1747)+COUNTIF(Elan!$U$13:$X$25,Tablas!E1747)</f>
        <v>0</v>
      </c>
      <c r="K1747" s="772"/>
      <c r="L1747" s="5785" t="s">
        <v>7343</v>
      </c>
      <c r="M1747" s="5785"/>
      <c r="N1747" s="5785"/>
      <c r="O1747" s="5785"/>
      <c r="P1747" s="5785"/>
      <c r="Q1747" s="5786"/>
      <c r="R1747" s="1294">
        <f>IF(OR($J1747=0,$J1747="Aprendida"),0,SUM($J$1717:$J1747))</f>
        <v>0</v>
      </c>
      <c r="T1747" s="1458"/>
      <c r="U1747" s="1459"/>
      <c r="V1747" s="1459"/>
      <c r="W1747" s="1459"/>
      <c r="X1747" s="1459"/>
      <c r="Y1747" s="1737"/>
    </row>
    <row r="1748" spans="1:25" ht="12.75" customHeight="1" x14ac:dyDescent="0.2">
      <c r="A1748" s="302">
        <v>1743</v>
      </c>
      <c r="B1748" s="5720"/>
      <c r="E1748" s="1291" t="s">
        <v>7118</v>
      </c>
      <c r="F1748" s="772"/>
      <c r="G1748" s="772">
        <v>40</v>
      </c>
      <c r="H1748" s="773">
        <v>1</v>
      </c>
      <c r="I1748" s="773">
        <v>5</v>
      </c>
      <c r="J1748" s="773">
        <f>COUNTIF(Elan!$C$13:$F$25,Tablas!E1748)+COUNTIF(Elan!$U$13:$X$25,Tablas!E1748)</f>
        <v>0</v>
      </c>
      <c r="K1748" s="772"/>
      <c r="L1748" s="5785" t="s">
        <v>9487</v>
      </c>
      <c r="M1748" s="5785"/>
      <c r="N1748" s="5785"/>
      <c r="O1748" s="5785"/>
      <c r="P1748" s="5785"/>
      <c r="Q1748" s="5786"/>
      <c r="R1748" s="1294">
        <f>IF(OR($J1748=0,$J1748="Aprendida"),0,SUM($J$1717:$J1748))</f>
        <v>0</v>
      </c>
      <c r="T1748" s="1458"/>
      <c r="U1748" s="1459"/>
      <c r="V1748" s="1459"/>
      <c r="W1748" s="1459"/>
      <c r="X1748" s="1459"/>
      <c r="Y1748" s="1737"/>
    </row>
    <row r="1749" spans="1:25" ht="12.75" customHeight="1" x14ac:dyDescent="0.2">
      <c r="A1749" s="302">
        <v>1744</v>
      </c>
      <c r="B1749" s="5720"/>
      <c r="E1749" s="1291" t="s">
        <v>7119</v>
      </c>
      <c r="F1749" s="772"/>
      <c r="G1749" s="772">
        <v>50</v>
      </c>
      <c r="H1749" s="773">
        <v>1</v>
      </c>
      <c r="I1749" s="773">
        <v>10</v>
      </c>
      <c r="J1749" s="773">
        <f>COUNTIF(Elan!$C$13:$F$25,Tablas!E1749)+COUNTIF(Elan!$U$13:$X$25,Tablas!E1749)</f>
        <v>0</v>
      </c>
      <c r="K1749" s="772"/>
      <c r="L1749" s="5785" t="s">
        <v>7347</v>
      </c>
      <c r="M1749" s="5785"/>
      <c r="N1749" s="5785"/>
      <c r="O1749" s="5785"/>
      <c r="P1749" s="5785"/>
      <c r="Q1749" s="5786"/>
      <c r="R1749" s="1294">
        <f>IF(OR($J1749=0,$J1749="Aprendida"),0,SUM($J$1717:$J1749))</f>
        <v>0</v>
      </c>
      <c r="T1749" s="1453" t="str">
        <f>E1770</f>
        <v>Gabriel</v>
      </c>
      <c r="U1749" s="1454"/>
      <c r="V1749" s="1460"/>
      <c r="W1749" s="1454"/>
      <c r="X1749" s="1454"/>
      <c r="Y1749" s="1735"/>
    </row>
    <row r="1750" spans="1:25" ht="12.75" customHeight="1" x14ac:dyDescent="0.2">
      <c r="A1750" s="302">
        <v>1745</v>
      </c>
      <c r="B1750" s="5720"/>
      <c r="E1750" s="1291" t="s">
        <v>7120</v>
      </c>
      <c r="F1750" s="772"/>
      <c r="G1750" s="772">
        <v>60</v>
      </c>
      <c r="H1750" s="773">
        <f>IF(J1747,1,0)</f>
        <v>0</v>
      </c>
      <c r="I1750" s="773">
        <v>20</v>
      </c>
      <c r="J1750" s="773">
        <f>COUNTIF(Elan!$C$13:$F$25,Tablas!E1750)+COUNTIF(Elan!$U$13:$X$25,Tablas!E1750)</f>
        <v>0</v>
      </c>
      <c r="K1750" s="772"/>
      <c r="L1750" s="5785" t="s">
        <v>7348</v>
      </c>
      <c r="M1750" s="5785"/>
      <c r="N1750" s="5785"/>
      <c r="O1750" s="5785"/>
      <c r="P1750" s="5785"/>
      <c r="Q1750" s="5786"/>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720"/>
      <c r="E1751" s="1291" t="s">
        <v>7121</v>
      </c>
      <c r="F1751" s="772"/>
      <c r="G1751" s="772">
        <v>60</v>
      </c>
      <c r="H1751" s="773">
        <v>1</v>
      </c>
      <c r="I1751" s="773">
        <v>15</v>
      </c>
      <c r="J1751" s="773">
        <f>COUNTIF(Elan!$C$13:$F$25,Tablas!E1751)+COUNTIF(Elan!$U$13:$X$25,Tablas!E1751)</f>
        <v>0</v>
      </c>
      <c r="K1751" s="772"/>
      <c r="L1751" s="5785" t="s">
        <v>7349</v>
      </c>
      <c r="M1751" s="5785"/>
      <c r="N1751" s="5785"/>
      <c r="O1751" s="5785"/>
      <c r="P1751" s="5785"/>
      <c r="Q1751" s="5786"/>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720"/>
      <c r="E1752" s="1291" t="s">
        <v>7122</v>
      </c>
      <c r="F1752" s="772"/>
      <c r="G1752" s="772">
        <v>70</v>
      </c>
      <c r="H1752" s="773">
        <v>1</v>
      </c>
      <c r="I1752" s="773">
        <v>10</v>
      </c>
      <c r="J1752" s="773">
        <f>COUNTIF(Elan!$C$13:$F$25,Tablas!E1752)+COUNTIF(Elan!$U$13:$X$25,Tablas!E1752)</f>
        <v>0</v>
      </c>
      <c r="K1752" s="772">
        <f>IF(J1752&gt;0,1,0)</f>
        <v>0</v>
      </c>
      <c r="L1752" s="5785" t="s">
        <v>7350</v>
      </c>
      <c r="M1752" s="5785"/>
      <c r="N1752" s="5785"/>
      <c r="O1752" s="5785"/>
      <c r="P1752" s="5785"/>
      <c r="Q1752" s="5786"/>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720"/>
      <c r="E1753" s="1291" t="s">
        <v>7123</v>
      </c>
      <c r="F1753" s="772"/>
      <c r="G1753" s="772">
        <v>80</v>
      </c>
      <c r="H1753" s="773">
        <v>1</v>
      </c>
      <c r="I1753" s="773">
        <v>10</v>
      </c>
      <c r="J1753" s="773">
        <f>COUNTIF(Elan!$C$13:$F$25,Tablas!E1753)+COUNTIF(Elan!$U$13:$X$25,Tablas!E1753)</f>
        <v>0</v>
      </c>
      <c r="K1753" s="772"/>
      <c r="L1753" s="5785" t="s">
        <v>7351</v>
      </c>
      <c r="M1753" s="5785"/>
      <c r="N1753" s="5785"/>
      <c r="O1753" s="5785"/>
      <c r="P1753" s="5785"/>
      <c r="Q1753" s="5786"/>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720"/>
      <c r="E1754" s="1291" t="s">
        <v>7124</v>
      </c>
      <c r="F1754" s="772"/>
      <c r="G1754" s="772">
        <v>90</v>
      </c>
      <c r="H1754" s="773">
        <v>1</v>
      </c>
      <c r="I1754" s="773">
        <v>20</v>
      </c>
      <c r="J1754" s="773">
        <f>COUNTIF(Elan!$C$13:$F$25,Tablas!E1754)+COUNTIF(Elan!$U$13:$X$25,Tablas!E1754)</f>
        <v>0</v>
      </c>
      <c r="K1754" s="772"/>
      <c r="L1754" s="5785" t="s">
        <v>7352</v>
      </c>
      <c r="M1754" s="5785"/>
      <c r="N1754" s="5785"/>
      <c r="O1754" s="5785"/>
      <c r="P1754" s="5785"/>
      <c r="Q1754" s="5786"/>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720"/>
      <c r="E1755" s="1291" t="s">
        <v>7125</v>
      </c>
      <c r="F1755" s="772"/>
      <c r="G1755" s="772">
        <v>100</v>
      </c>
      <c r="H1755" s="773">
        <v>1</v>
      </c>
      <c r="I1755" s="773">
        <v>10</v>
      </c>
      <c r="J1755" s="773">
        <f>COUNTIF(Elan!$C$13:$F$25,Tablas!E1755)+COUNTIF(Elan!$U$13:$X$25,Tablas!E1755)</f>
        <v>0</v>
      </c>
      <c r="K1755" s="772"/>
      <c r="L1755" s="5785" t="s">
        <v>7353</v>
      </c>
      <c r="M1755" s="5785"/>
      <c r="N1755" s="5785"/>
      <c r="O1755" s="5785"/>
      <c r="P1755" s="5785"/>
      <c r="Q1755" s="5786"/>
      <c r="R1755" s="1294">
        <f>IF(OR($J1755=0,$J1755="Aprendida"),0,SUM($J$1717:$J1755))</f>
        <v>0</v>
      </c>
      <c r="T1755" s="1458"/>
      <c r="U1755" s="1459"/>
      <c r="V1755" s="1459"/>
      <c r="W1755" s="1459"/>
      <c r="X1755" s="1459"/>
      <c r="Y1755" s="1737"/>
    </row>
    <row r="1756" spans="1:25" ht="12.75" customHeight="1" x14ac:dyDescent="0.2">
      <c r="A1756" s="302">
        <v>1751</v>
      </c>
      <c r="B1756" s="5720"/>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20"/>
      <c r="E1757" s="1291" t="s">
        <v>7126</v>
      </c>
      <c r="F1757" s="772"/>
      <c r="G1757" s="772">
        <v>10</v>
      </c>
      <c r="H1757" s="773">
        <v>1</v>
      </c>
      <c r="I1757" s="773">
        <v>5</v>
      </c>
      <c r="J1757" s="773">
        <f>COUNTIF(Elan!$C$13:$F$25,Tablas!E1757)+COUNTIF(Elan!$U$13:$X$25,Tablas!E1757)</f>
        <v>0</v>
      </c>
      <c r="K1757" s="772">
        <f>F$1756*J1757</f>
        <v>0</v>
      </c>
      <c r="L1757" s="5785" t="s">
        <v>7354</v>
      </c>
      <c r="M1757" s="5785"/>
      <c r="N1757" s="5785"/>
      <c r="O1757" s="5785"/>
      <c r="P1757" s="5785"/>
      <c r="Q1757" s="5786"/>
      <c r="R1757" s="1294">
        <f>IF(OR($J1757=0,$J1757="Aprendida"),0,SUM($J$1717:$J1757))</f>
        <v>0</v>
      </c>
      <c r="T1757" s="1453" t="str">
        <f>E1783</f>
        <v>Noah</v>
      </c>
      <c r="U1757" s="1454"/>
      <c r="V1757" s="1460"/>
      <c r="W1757" s="1454"/>
      <c r="X1757" s="1454"/>
      <c r="Y1757" s="1735"/>
    </row>
    <row r="1758" spans="1:25" ht="12.75" customHeight="1" x14ac:dyDescent="0.2">
      <c r="A1758" s="302">
        <v>1753</v>
      </c>
      <c r="B1758" s="5720"/>
      <c r="E1758" s="1291" t="s">
        <v>7127</v>
      </c>
      <c r="F1758" s="772"/>
      <c r="G1758" s="772">
        <v>20</v>
      </c>
      <c r="H1758" s="773">
        <v>1</v>
      </c>
      <c r="I1758" s="773">
        <v>10</v>
      </c>
      <c r="J1758" s="773">
        <f>COUNTIF(Elan!$C$13:$F$25,Tablas!E1758)+COUNTIF(Elan!$U$13:$X$25,Tablas!E1758)</f>
        <v>0</v>
      </c>
      <c r="K1758" s="772">
        <f>ROUNDDOWN(F$1756/2,0)*J1758</f>
        <v>0</v>
      </c>
      <c r="L1758" s="5785" t="s">
        <v>7357</v>
      </c>
      <c r="M1758" s="5785"/>
      <c r="N1758" s="5785"/>
      <c r="O1758" s="5785"/>
      <c r="P1758" s="5785"/>
      <c r="Q1758" s="5786"/>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720"/>
      <c r="E1759" s="1291" t="s">
        <v>2372</v>
      </c>
      <c r="F1759" s="772"/>
      <c r="G1759" s="772">
        <v>30</v>
      </c>
      <c r="H1759" s="773">
        <v>1</v>
      </c>
      <c r="I1759" s="773">
        <v>5</v>
      </c>
      <c r="J1759" s="773">
        <f>COUNTIF(Elan!$C$13:$F$25,Tablas!E1759)+COUNTIF(Elan!$U$13:$X$25,Tablas!E1759)</f>
        <v>0</v>
      </c>
      <c r="K1759" s="772"/>
      <c r="L1759" s="5785" t="s">
        <v>7361</v>
      </c>
      <c r="M1759" s="5785"/>
      <c r="N1759" s="5785"/>
      <c r="O1759" s="5785"/>
      <c r="P1759" s="5785"/>
      <c r="Q1759" s="5786"/>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720"/>
      <c r="E1760" s="1291" t="s">
        <v>7128</v>
      </c>
      <c r="F1760" s="772"/>
      <c r="G1760" s="772">
        <v>40</v>
      </c>
      <c r="H1760" s="773">
        <v>1</v>
      </c>
      <c r="I1760" s="773">
        <v>5</v>
      </c>
      <c r="J1760" s="773">
        <f>COUNTIF(Elan!$C$13:$F$25,Tablas!E1760)+COUNTIF(Elan!$U$13:$X$25,Tablas!E1760)</f>
        <v>0</v>
      </c>
      <c r="K1760" s="772"/>
      <c r="L1760" s="5785" t="s">
        <v>7365</v>
      </c>
      <c r="M1760" s="5785"/>
      <c r="N1760" s="5785"/>
      <c r="O1760" s="5785"/>
      <c r="P1760" s="5785"/>
      <c r="Q1760" s="5786"/>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720"/>
      <c r="E1761" s="1291" t="s">
        <v>7129</v>
      </c>
      <c r="F1761" s="772"/>
      <c r="G1761" s="772">
        <v>50</v>
      </c>
      <c r="H1761" s="773">
        <v>1</v>
      </c>
      <c r="I1761" s="773">
        <v>10</v>
      </c>
      <c r="J1761" s="773">
        <f>COUNTIF(Elan!$C$13:$F$25,Tablas!E1761)+COUNTIF(Elan!$U$13:$X$25,Tablas!E1761)</f>
        <v>0</v>
      </c>
      <c r="K1761" s="772">
        <f>ROUNDDOWN(F$1756/2,0)*J1761</f>
        <v>0</v>
      </c>
      <c r="L1761" s="5785" t="s">
        <v>7368</v>
      </c>
      <c r="M1761" s="5785"/>
      <c r="N1761" s="5785"/>
      <c r="O1761" s="5785"/>
      <c r="P1761" s="5785"/>
      <c r="Q1761" s="5786"/>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720"/>
      <c r="E1762" s="1291" t="s">
        <v>7130</v>
      </c>
      <c r="F1762" s="772"/>
      <c r="G1762" s="772">
        <v>50</v>
      </c>
      <c r="H1762" s="773">
        <v>1</v>
      </c>
      <c r="I1762" s="773">
        <v>10</v>
      </c>
      <c r="J1762" s="773">
        <f>COUNTIF(Elan!$C$13:$F$25,Tablas!E1762)+COUNTIF(Elan!$U$13:$X$25,Tablas!E1762)</f>
        <v>0</v>
      </c>
      <c r="K1762" s="772"/>
      <c r="L1762" s="5785" t="s">
        <v>7370</v>
      </c>
      <c r="M1762" s="5785"/>
      <c r="N1762" s="5785"/>
      <c r="O1762" s="5785"/>
      <c r="P1762" s="5785"/>
      <c r="Q1762" s="5786"/>
      <c r="R1762" s="1294">
        <f>IF(OR($J1762=0,$J1762="Aprendida"),0,SUM($J$1717:$J1762))</f>
        <v>0</v>
      </c>
      <c r="T1762" s="1455" t="s">
        <v>7419</v>
      </c>
      <c r="U1762" s="1456">
        <v>2</v>
      </c>
      <c r="V1762" s="1457"/>
      <c r="W1762" s="1456"/>
      <c r="X1762" s="1456"/>
      <c r="Y1762" s="1736"/>
    </row>
    <row r="1763" spans="1:25" ht="12.75" customHeight="1" x14ac:dyDescent="0.2">
      <c r="A1763" s="302">
        <v>1758</v>
      </c>
      <c r="B1763" s="5720"/>
      <c r="E1763" s="1291" t="s">
        <v>7131</v>
      </c>
      <c r="F1763" s="772"/>
      <c r="G1763" s="772">
        <v>60</v>
      </c>
      <c r="H1763" s="773">
        <v>1</v>
      </c>
      <c r="I1763" s="773">
        <v>10</v>
      </c>
      <c r="J1763" s="773">
        <f>COUNTIF(Elan!$C$13:$F$25,Tablas!E1763)+COUNTIF(Elan!$U$13:$X$25,Tablas!E1763)</f>
        <v>0</v>
      </c>
      <c r="K1763" s="772"/>
      <c r="L1763" s="5785" t="s">
        <v>7372</v>
      </c>
      <c r="M1763" s="5785"/>
      <c r="N1763" s="5785"/>
      <c r="O1763" s="5785"/>
      <c r="P1763" s="5785"/>
      <c r="Q1763" s="5786"/>
      <c r="R1763" s="1294">
        <f>IF(OR($J1763=0,$J1763="Aprendida"),0,SUM($J$1717:$J1763))</f>
        <v>0</v>
      </c>
      <c r="T1763" s="1458"/>
      <c r="U1763" s="1459"/>
      <c r="V1763" s="1459"/>
      <c r="W1763" s="1459"/>
      <c r="X1763" s="1459"/>
      <c r="Y1763" s="1737"/>
    </row>
    <row r="1764" spans="1:25" ht="12.75" customHeight="1" x14ac:dyDescent="0.2">
      <c r="A1764" s="302">
        <v>1759</v>
      </c>
      <c r="B1764" s="5720"/>
      <c r="E1764" s="1291" t="s">
        <v>7132</v>
      </c>
      <c r="F1764" s="772"/>
      <c r="G1764" s="772">
        <v>65</v>
      </c>
      <c r="H1764" s="773">
        <v>1</v>
      </c>
      <c r="I1764" s="773">
        <v>15</v>
      </c>
      <c r="J1764" s="773">
        <f>COUNTIF(Elan!$C$13:$F$25,Tablas!E1764)+COUNTIF(Elan!$U$13:$X$25,Tablas!E1764)</f>
        <v>0</v>
      </c>
      <c r="K1764" s="772"/>
      <c r="L1764" s="5785" t="s">
        <v>7373</v>
      </c>
      <c r="M1764" s="5785"/>
      <c r="N1764" s="5785"/>
      <c r="O1764" s="5785"/>
      <c r="P1764" s="5785"/>
      <c r="Q1764" s="5786"/>
      <c r="R1764" s="1294">
        <f>IF(OR($J1764=0,$J1764="Aprendida"),0,SUM($J$1717:$J1764))</f>
        <v>0</v>
      </c>
      <c r="T1764" s="1458"/>
      <c r="U1764" s="1459"/>
      <c r="V1764" s="1459"/>
      <c r="W1764" s="1459"/>
      <c r="X1764" s="1459"/>
      <c r="Y1764" s="1737"/>
    </row>
    <row r="1765" spans="1:25" ht="12.75" customHeight="1" x14ac:dyDescent="0.2">
      <c r="A1765" s="302">
        <v>1760</v>
      </c>
      <c r="B1765" s="5720"/>
      <c r="E1765" s="1291" t="s">
        <v>7133</v>
      </c>
      <c r="F1765" s="772"/>
      <c r="G1765" s="772">
        <v>70</v>
      </c>
      <c r="H1765" s="773">
        <v>1</v>
      </c>
      <c r="I1765" s="773">
        <v>15</v>
      </c>
      <c r="J1765" s="773">
        <f>COUNTIF(Elan!$C$13:$F$25,Tablas!E1765)+COUNTIF(Elan!$U$13:$X$25,Tablas!E1765)</f>
        <v>0</v>
      </c>
      <c r="K1765" s="772">
        <f>IF(J1765&gt;0,1,0)</f>
        <v>0</v>
      </c>
      <c r="L1765" s="5785" t="s">
        <v>7374</v>
      </c>
      <c r="M1765" s="5785"/>
      <c r="N1765" s="5785"/>
      <c r="O1765" s="5785"/>
      <c r="P1765" s="5785"/>
      <c r="Q1765" s="5786"/>
      <c r="R1765" s="1294">
        <f>IF(OR($J1765=0,$J1765="Aprendida"),0,SUM($J$1717:$J1765))</f>
        <v>0</v>
      </c>
      <c r="T1765" s="1453" t="str">
        <f>E1796</f>
        <v>Rafael</v>
      </c>
      <c r="U1765" s="1454"/>
      <c r="V1765" s="1460"/>
      <c r="W1765" s="1454"/>
      <c r="X1765" s="1454"/>
      <c r="Y1765" s="1735"/>
    </row>
    <row r="1766" spans="1:25" ht="12.75" customHeight="1" x14ac:dyDescent="0.2">
      <c r="A1766" s="302">
        <v>1761</v>
      </c>
      <c r="B1766" s="5720"/>
      <c r="E1766" s="1291" t="s">
        <v>7134</v>
      </c>
      <c r="F1766" s="772"/>
      <c r="G1766" s="772">
        <v>70</v>
      </c>
      <c r="H1766" s="773">
        <f>IF(J1762,1,0)</f>
        <v>0</v>
      </c>
      <c r="I1766" s="773">
        <v>10</v>
      </c>
      <c r="J1766" s="773">
        <f>COUNTIF(Elan!$C$13:$F$25,Tablas!E1766)+COUNTIF(Elan!$U$13:$X$25,Tablas!E1766)</f>
        <v>0</v>
      </c>
      <c r="K1766" s="772"/>
      <c r="L1766" s="5785" t="s">
        <v>7375</v>
      </c>
      <c r="M1766" s="5785"/>
      <c r="N1766" s="5785"/>
      <c r="O1766" s="5785"/>
      <c r="P1766" s="5785"/>
      <c r="Q1766" s="5786"/>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720"/>
      <c r="E1767" s="1291" t="s">
        <v>7123</v>
      </c>
      <c r="F1767" s="772"/>
      <c r="G1767" s="772">
        <v>80</v>
      </c>
      <c r="H1767" s="773">
        <v>1</v>
      </c>
      <c r="I1767" s="773">
        <v>15</v>
      </c>
      <c r="J1767" s="773">
        <f>COUNTIF(Elan!$C$13:$F$25,Tablas!E1767)+COUNTIF(Elan!$U$13:$X$25,Tablas!E1767)</f>
        <v>0</v>
      </c>
      <c r="K1767" s="772"/>
      <c r="L1767" s="5785" t="s">
        <v>7351</v>
      </c>
      <c r="M1767" s="5785"/>
      <c r="N1767" s="5785"/>
      <c r="O1767" s="5785"/>
      <c r="P1767" s="5785"/>
      <c r="Q1767" s="5786"/>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720"/>
      <c r="E1768" s="1291" t="s">
        <v>7135</v>
      </c>
      <c r="F1768" s="772"/>
      <c r="G1768" s="772">
        <v>90</v>
      </c>
      <c r="H1768" s="773">
        <f>IF(J1766,1,0)</f>
        <v>0</v>
      </c>
      <c r="I1768" s="773">
        <v>10</v>
      </c>
      <c r="J1768" s="773">
        <f>COUNTIF(Elan!$C$13:$F$25,Tablas!E1768)+COUNTIF(Elan!$U$13:$X$25,Tablas!E1768)</f>
        <v>0</v>
      </c>
      <c r="K1768" s="772"/>
      <c r="L1768" s="5785" t="s">
        <v>7376</v>
      </c>
      <c r="M1768" s="5785"/>
      <c r="N1768" s="5785"/>
      <c r="O1768" s="5785"/>
      <c r="P1768" s="5785"/>
      <c r="Q1768" s="5786"/>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720"/>
      <c r="E1769" s="1291" t="s">
        <v>7136</v>
      </c>
      <c r="F1769" s="772"/>
      <c r="G1769" s="772">
        <v>100</v>
      </c>
      <c r="H1769" s="773">
        <v>1</v>
      </c>
      <c r="I1769" s="773">
        <v>10</v>
      </c>
      <c r="J1769" s="773">
        <f>COUNTIF(Elan!$C$13:$F$25,Tablas!E1769)+COUNTIF(Elan!$U$13:$X$25,Tablas!E1769)</f>
        <v>0</v>
      </c>
      <c r="K1769" s="772"/>
      <c r="L1769" s="5785" t="s">
        <v>7377</v>
      </c>
      <c r="M1769" s="5785"/>
      <c r="N1769" s="5785"/>
      <c r="O1769" s="5785"/>
      <c r="P1769" s="5785"/>
      <c r="Q1769" s="5786"/>
      <c r="R1769" s="1294">
        <f>IF(OR($J1769=0,$J1769="Aprendida"),0,SUM($J$1717:$J1769))</f>
        <v>0</v>
      </c>
      <c r="T1769" s="1455" t="s">
        <v>7439</v>
      </c>
      <c r="U1769" s="1456">
        <v>1</v>
      </c>
      <c r="V1769" s="1457"/>
      <c r="W1769" s="1456"/>
      <c r="X1769" s="1456"/>
      <c r="Y1769" s="1736"/>
    </row>
    <row r="1770" spans="1:25" ht="12.75" customHeight="1" x14ac:dyDescent="0.2">
      <c r="A1770" s="302">
        <v>1765</v>
      </c>
      <c r="B1770" s="5720"/>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720"/>
      <c r="E1771" s="1291" t="s">
        <v>7137</v>
      </c>
      <c r="F1771" s="772"/>
      <c r="G1771" s="772">
        <v>10</v>
      </c>
      <c r="H1771" s="773">
        <v>1</v>
      </c>
      <c r="I1771" s="773">
        <v>5</v>
      </c>
      <c r="J1771" s="773">
        <f>COUNTIF(Elan!$C$13:$F$25,Tablas!E1771)+COUNTIF(Elan!$U$13:$X$25,Tablas!E1771)</f>
        <v>0</v>
      </c>
      <c r="K1771" s="772">
        <f>F$1770*J1771</f>
        <v>0</v>
      </c>
      <c r="L1771" s="5785" t="s">
        <v>7378</v>
      </c>
      <c r="M1771" s="5785"/>
      <c r="N1771" s="5785"/>
      <c r="O1771" s="5785"/>
      <c r="P1771" s="5785"/>
      <c r="Q1771" s="5786"/>
      <c r="R1771" s="1294">
        <f>IF(OR($J1771=0,$J1771="Aprendida"),0,SUM($J$1717:$J1771))</f>
        <v>0</v>
      </c>
      <c r="T1771" s="1458"/>
      <c r="U1771" s="1459"/>
      <c r="V1771" s="1459"/>
      <c r="W1771" s="1459"/>
      <c r="X1771" s="1459"/>
      <c r="Y1771" s="1737"/>
    </row>
    <row r="1772" spans="1:25" ht="12.75" customHeight="1" x14ac:dyDescent="0.2">
      <c r="A1772" s="302">
        <v>1767</v>
      </c>
      <c r="B1772" s="5720"/>
      <c r="E1772" s="1291" t="s">
        <v>7138</v>
      </c>
      <c r="F1772" s="772"/>
      <c r="G1772" s="772">
        <v>20</v>
      </c>
      <c r="H1772" s="773">
        <v>1</v>
      </c>
      <c r="I1772" s="773">
        <v>5</v>
      </c>
      <c r="J1772" s="773">
        <f>COUNTIF(Elan!$C$13:$F$25,Tablas!E1772)+COUNTIF(Elan!$U$13:$X$25,Tablas!E1772)</f>
        <v>0</v>
      </c>
      <c r="K1772" s="772"/>
      <c r="L1772" s="5785" t="s">
        <v>7382</v>
      </c>
      <c r="M1772" s="5785"/>
      <c r="N1772" s="5785"/>
      <c r="O1772" s="5785"/>
      <c r="P1772" s="5785"/>
      <c r="Q1772" s="5786"/>
      <c r="R1772" s="1294">
        <f>IF(OR($J1772=0,$J1772="Aprendida"),0,SUM($J$1717:$J1772))</f>
        <v>0</v>
      </c>
      <c r="T1772" s="1458"/>
      <c r="U1772" s="1459"/>
      <c r="V1772" s="1459"/>
      <c r="W1772" s="1459"/>
      <c r="X1772" s="1459"/>
      <c r="Y1772" s="1737"/>
    </row>
    <row r="1773" spans="1:25" ht="12.75" customHeight="1" x14ac:dyDescent="0.2">
      <c r="A1773" s="302">
        <v>1768</v>
      </c>
      <c r="B1773" s="5720"/>
      <c r="E1773" s="1291" t="s">
        <v>7139</v>
      </c>
      <c r="F1773" s="772"/>
      <c r="G1773" s="772">
        <v>30</v>
      </c>
      <c r="H1773" s="773">
        <v>1</v>
      </c>
      <c r="I1773" s="773">
        <v>10</v>
      </c>
      <c r="J1773" s="773">
        <f>COUNTIF(Elan!$C$13:$F$25,Tablas!E1773)+COUNTIF(Elan!$U$13:$X$25,Tablas!E1773)</f>
        <v>0</v>
      </c>
      <c r="K1773" s="772"/>
      <c r="L1773" s="5785" t="s">
        <v>7386</v>
      </c>
      <c r="M1773" s="5785"/>
      <c r="N1773" s="5785"/>
      <c r="O1773" s="5785"/>
      <c r="P1773" s="5785"/>
      <c r="Q1773" s="5786"/>
      <c r="R1773" s="1294">
        <f>IF(OR($J1773=0,$J1773="Aprendida"),0,SUM($J$1717:$J1773))</f>
        <v>0</v>
      </c>
      <c r="T1773" s="1453" t="str">
        <f>E1810</f>
        <v>Erebus</v>
      </c>
      <c r="U1773" s="1454"/>
      <c r="V1773" s="1460"/>
      <c r="W1773" s="1454"/>
      <c r="X1773" s="1454"/>
      <c r="Y1773" s="1735"/>
    </row>
    <row r="1774" spans="1:25" ht="12.75" customHeight="1" x14ac:dyDescent="0.2">
      <c r="A1774" s="302">
        <v>1769</v>
      </c>
      <c r="B1774" s="5720"/>
      <c r="E1774" s="1291" t="s">
        <v>7140</v>
      </c>
      <c r="F1774" s="772"/>
      <c r="G1774" s="772">
        <v>40</v>
      </c>
      <c r="H1774" s="773">
        <v>1</v>
      </c>
      <c r="I1774" s="773">
        <v>10</v>
      </c>
      <c r="J1774" s="773">
        <f>COUNTIF(Elan!$C$13:$F$25,Tablas!E1774)+COUNTIF(Elan!$U$13:$X$25,Tablas!E1774)</f>
        <v>0</v>
      </c>
      <c r="K1774" s="772"/>
      <c r="L1774" s="5785" t="s">
        <v>7389</v>
      </c>
      <c r="M1774" s="5785"/>
      <c r="N1774" s="5785"/>
      <c r="O1774" s="5785"/>
      <c r="P1774" s="5785"/>
      <c r="Q1774" s="5786"/>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720"/>
      <c r="E1775" s="1291" t="s">
        <v>1546</v>
      </c>
      <c r="F1775" s="772"/>
      <c r="G1775" s="772">
        <v>40</v>
      </c>
      <c r="H1775" s="773">
        <v>1</v>
      </c>
      <c r="I1775" s="773">
        <v>10</v>
      </c>
      <c r="J1775" s="773">
        <f>COUNTIF(Elan!$C$13:$F$25,Tablas!E1775)+COUNTIF(Elan!$U$13:$X$25,Tablas!E1775)</f>
        <v>0</v>
      </c>
      <c r="K1775" s="772"/>
      <c r="L1775" s="5785" t="s">
        <v>7393</v>
      </c>
      <c r="M1775" s="5785"/>
      <c r="N1775" s="5785"/>
      <c r="O1775" s="5785"/>
      <c r="P1775" s="5785"/>
      <c r="Q1775" s="5786"/>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720"/>
      <c r="E1776" s="1291" t="s">
        <v>7141</v>
      </c>
      <c r="F1776" s="772"/>
      <c r="G1776" s="772">
        <v>50</v>
      </c>
      <c r="H1776" s="773">
        <v>1</v>
      </c>
      <c r="I1776" s="773">
        <v>10</v>
      </c>
      <c r="J1776" s="773">
        <f>COUNTIF(Elan!$C$13:$F$25,Tablas!E1776)+COUNTIF(Elan!$U$13:$X$25,Tablas!E1776)</f>
        <v>0</v>
      </c>
      <c r="K1776" s="772"/>
      <c r="L1776" s="5785" t="s">
        <v>7396</v>
      </c>
      <c r="M1776" s="5785"/>
      <c r="N1776" s="5785"/>
      <c r="O1776" s="5785"/>
      <c r="P1776" s="5785"/>
      <c r="Q1776" s="5786"/>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720"/>
      <c r="E1777" s="1291" t="s">
        <v>7142</v>
      </c>
      <c r="F1777" s="772"/>
      <c r="G1777" s="772">
        <v>50</v>
      </c>
      <c r="H1777" s="773">
        <v>1</v>
      </c>
      <c r="I1777" s="773">
        <v>15</v>
      </c>
      <c r="J1777" s="773">
        <f>COUNTIF(Elan!$C$13:$F$25,Tablas!E1777)+COUNTIF(Elan!$U$13:$X$25,Tablas!E1777)</f>
        <v>0</v>
      </c>
      <c r="K1777" s="772"/>
      <c r="L1777" s="5785" t="s">
        <v>7397</v>
      </c>
      <c r="M1777" s="5785"/>
      <c r="N1777" s="5785"/>
      <c r="O1777" s="5785"/>
      <c r="P1777" s="5785"/>
      <c r="Q1777" s="5786"/>
      <c r="R1777" s="1294">
        <f>IF(OR($J1777=0,$J1777="Aprendida"),0,SUM($J$1717:$J1777))</f>
        <v>0</v>
      </c>
      <c r="T1777" s="1455" t="s">
        <v>7462</v>
      </c>
      <c r="U1777" s="1456">
        <v>3</v>
      </c>
      <c r="V1777" s="1457"/>
      <c r="W1777" s="1456"/>
      <c r="X1777" s="1456"/>
      <c r="Y1777" s="1736"/>
    </row>
    <row r="1778" spans="1:25" ht="12.75" customHeight="1" x14ac:dyDescent="0.2">
      <c r="A1778" s="302">
        <v>1773</v>
      </c>
      <c r="B1778" s="5720"/>
      <c r="E1778" s="1291" t="s">
        <v>2467</v>
      </c>
      <c r="F1778" s="772"/>
      <c r="G1778" s="772">
        <v>60</v>
      </c>
      <c r="H1778" s="773">
        <v>1</v>
      </c>
      <c r="I1778" s="773">
        <v>15</v>
      </c>
      <c r="J1778" s="773">
        <f>COUNTIF(Elan!$C$13:$F$25,Tablas!E1778)+COUNTIF(Elan!$U$13:$X$25,Tablas!E1778)</f>
        <v>0</v>
      </c>
      <c r="K1778" s="772"/>
      <c r="L1778" s="5785" t="s">
        <v>7398</v>
      </c>
      <c r="M1778" s="5785"/>
      <c r="N1778" s="5785"/>
      <c r="O1778" s="5785"/>
      <c r="P1778" s="5785"/>
      <c r="Q1778" s="5786"/>
      <c r="R1778" s="1294">
        <f>IF(OR($J1778=0,$J1778="Aprendida"),0,SUM($J$1717:$J1778))</f>
        <v>0</v>
      </c>
      <c r="T1778" s="1455" t="s">
        <v>7464</v>
      </c>
      <c r="U1778" s="1456">
        <v>2</v>
      </c>
      <c r="V1778" s="1457"/>
      <c r="W1778" s="1456"/>
      <c r="X1778" s="1456"/>
      <c r="Y1778" s="1736"/>
    </row>
    <row r="1779" spans="1:25" ht="12.75" customHeight="1" x14ac:dyDescent="0.2">
      <c r="A1779" s="302">
        <v>1774</v>
      </c>
      <c r="B1779" s="5720"/>
      <c r="E1779" s="1291" t="s">
        <v>7143</v>
      </c>
      <c r="F1779" s="772"/>
      <c r="G1779" s="772">
        <v>70</v>
      </c>
      <c r="H1779" s="773">
        <v>1</v>
      </c>
      <c r="I1779" s="773">
        <v>10</v>
      </c>
      <c r="J1779" s="773">
        <f>COUNTIF(Elan!$C$13:$F$25,Tablas!E1779)+COUNTIF(Elan!$U$13:$X$25,Tablas!E1779)</f>
        <v>0</v>
      </c>
      <c r="K1779" s="772"/>
      <c r="L1779" s="5785" t="s">
        <v>7399</v>
      </c>
      <c r="M1779" s="5785"/>
      <c r="N1779" s="5785"/>
      <c r="O1779" s="5785"/>
      <c r="P1779" s="5785"/>
      <c r="Q1779" s="5786"/>
      <c r="R1779" s="1294">
        <f>IF(OR($J1779=0,$J1779="Aprendida"),0,SUM($J$1717:$J1779))</f>
        <v>0</v>
      </c>
      <c r="T1779" s="1455" t="s">
        <v>7466</v>
      </c>
      <c r="U1779" s="1456">
        <v>2</v>
      </c>
      <c r="V1779" s="1457"/>
      <c r="W1779" s="1456"/>
      <c r="X1779" s="1456"/>
      <c r="Y1779" s="1736"/>
    </row>
    <row r="1780" spans="1:25" ht="12.75" customHeight="1" x14ac:dyDescent="0.2">
      <c r="A1780" s="302">
        <v>1775</v>
      </c>
      <c r="B1780" s="5720"/>
      <c r="E1780" s="1291" t="s">
        <v>7144</v>
      </c>
      <c r="F1780" s="772"/>
      <c r="G1780" s="772">
        <v>80</v>
      </c>
      <c r="H1780" s="773">
        <v>1</v>
      </c>
      <c r="I1780" s="773">
        <v>15</v>
      </c>
      <c r="J1780" s="773">
        <f>COUNTIF(Elan!$C$13:$F$25,Tablas!E1780)+COUNTIF(Elan!$U$13:$X$25,Tablas!E1780)</f>
        <v>0</v>
      </c>
      <c r="K1780" s="772"/>
      <c r="L1780" s="5785" t="s">
        <v>7400</v>
      </c>
      <c r="M1780" s="5785"/>
      <c r="N1780" s="5785"/>
      <c r="O1780" s="5785"/>
      <c r="P1780" s="5785"/>
      <c r="Q1780" s="5786"/>
      <c r="R1780" s="1294">
        <f>IF(OR($J1780=0,$J1780="Aprendida"),0,SUM($J$1717:$J1780))</f>
        <v>0</v>
      </c>
      <c r="T1780" s="1458"/>
      <c r="U1780" s="1459"/>
      <c r="V1780" s="1459"/>
      <c r="W1780" s="1459"/>
      <c r="X1780" s="1459"/>
      <c r="Y1780" s="1737"/>
    </row>
    <row r="1781" spans="1:25" ht="12.75" customHeight="1" x14ac:dyDescent="0.2">
      <c r="A1781" s="302">
        <v>1776</v>
      </c>
      <c r="B1781" s="5720"/>
      <c r="E1781" s="1291" t="s">
        <v>7145</v>
      </c>
      <c r="F1781" s="772"/>
      <c r="G1781" s="772">
        <v>90</v>
      </c>
      <c r="H1781" s="773">
        <v>1</v>
      </c>
      <c r="I1781" s="773">
        <v>20</v>
      </c>
      <c r="J1781" s="773">
        <f>COUNTIF(Elan!$C$13:$F$25,Tablas!E1781)+COUNTIF(Elan!$U$13:$X$25,Tablas!E1781)</f>
        <v>0</v>
      </c>
      <c r="K1781" s="772"/>
      <c r="L1781" s="5785" t="s">
        <v>7401</v>
      </c>
      <c r="M1781" s="5785"/>
      <c r="N1781" s="5785"/>
      <c r="O1781" s="5785"/>
      <c r="P1781" s="5785"/>
      <c r="Q1781" s="5786"/>
      <c r="R1781" s="1294">
        <f>IF(OR($J1781=0,$J1781="Aprendida"),0,SUM($J$1717:$J1781))</f>
        <v>0</v>
      </c>
      <c r="T1781" s="1453" t="str">
        <f>E1822</f>
        <v>Azrael</v>
      </c>
      <c r="U1781" s="1454"/>
      <c r="V1781" s="1460"/>
      <c r="W1781" s="1454"/>
      <c r="X1781" s="1454"/>
      <c r="Y1781" s="1735"/>
    </row>
    <row r="1782" spans="1:25" ht="12.75" customHeight="1" x14ac:dyDescent="0.2">
      <c r="A1782" s="302">
        <v>1777</v>
      </c>
      <c r="B1782" s="5720"/>
      <c r="E1782" s="1291" t="s">
        <v>7146</v>
      </c>
      <c r="F1782" s="772"/>
      <c r="G1782" s="772">
        <v>100</v>
      </c>
      <c r="H1782" s="773">
        <v>1</v>
      </c>
      <c r="I1782" s="773">
        <v>10</v>
      </c>
      <c r="J1782" s="773">
        <f>COUNTIF(Elan!$C$13:$F$25,Tablas!E1782)+COUNTIF(Elan!$U$13:$X$25,Tablas!E1782)</f>
        <v>0</v>
      </c>
      <c r="K1782" s="772"/>
      <c r="L1782" s="5785" t="s">
        <v>7402</v>
      </c>
      <c r="M1782" s="5785"/>
      <c r="N1782" s="5785"/>
      <c r="O1782" s="5785"/>
      <c r="P1782" s="5785"/>
      <c r="Q1782" s="5786"/>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720"/>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720"/>
      <c r="E1784" s="1291" t="s">
        <v>7147</v>
      </c>
      <c r="F1784" s="772"/>
      <c r="G1784" s="772">
        <v>10</v>
      </c>
      <c r="H1784" s="773">
        <v>1</v>
      </c>
      <c r="I1784" s="773">
        <v>5</v>
      </c>
      <c r="J1784" s="773">
        <f>COUNTIF(Elan!$C$13:$F$25,Tablas!E1784)+COUNTIF(Elan!$U$13:$X$25,Tablas!E1784)</f>
        <v>0</v>
      </c>
      <c r="K1784" s="772"/>
      <c r="L1784" s="5785" t="s">
        <v>7403</v>
      </c>
      <c r="M1784" s="5785"/>
      <c r="N1784" s="5785"/>
      <c r="O1784" s="5785"/>
      <c r="P1784" s="5785"/>
      <c r="Q1784" s="5786"/>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720"/>
      <c r="E1785" s="1291" t="s">
        <v>7148</v>
      </c>
      <c r="F1785" s="772"/>
      <c r="G1785" s="772">
        <v>20</v>
      </c>
      <c r="H1785" s="773">
        <v>1</v>
      </c>
      <c r="I1785" s="773">
        <v>10</v>
      </c>
      <c r="J1785" s="773">
        <f>COUNTIF(Elan!$C$13:$F$25,Tablas!E1785)+COUNTIF(Elan!$U$13:$X$25,Tablas!E1785)</f>
        <v>0</v>
      </c>
      <c r="K1785" s="772"/>
      <c r="L1785" s="5785" t="s">
        <v>7407</v>
      </c>
      <c r="M1785" s="5785"/>
      <c r="N1785" s="5785"/>
      <c r="O1785" s="5785"/>
      <c r="P1785" s="5785"/>
      <c r="Q1785" s="5786"/>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720"/>
      <c r="E1786" s="1291" t="s">
        <v>7149</v>
      </c>
      <c r="F1786" s="772"/>
      <c r="G1786" s="772">
        <v>20</v>
      </c>
      <c r="H1786" s="773">
        <v>1</v>
      </c>
      <c r="I1786" s="773">
        <v>5</v>
      </c>
      <c r="J1786" s="773">
        <f>COUNTIF(Elan!$C$13:$F$25,Tablas!E1786)+COUNTIF(Elan!$U$13:$X$25,Tablas!E1786)</f>
        <v>0</v>
      </c>
      <c r="K1786" s="772">
        <f>ROUNDDOWN(F$1783/2,0)*J1786</f>
        <v>0</v>
      </c>
      <c r="L1786" s="5785" t="s">
        <v>7411</v>
      </c>
      <c r="M1786" s="5785"/>
      <c r="N1786" s="5785"/>
      <c r="O1786" s="5785"/>
      <c r="P1786" s="5785"/>
      <c r="Q1786" s="5786"/>
      <c r="R1786" s="1294">
        <f>IF(OR($J1786=0,$J1786="Aprendida"),0,SUM($J$1717:$J1786))</f>
        <v>0</v>
      </c>
      <c r="T1786" s="1455" t="s">
        <v>7488</v>
      </c>
      <c r="U1786" s="1456">
        <v>2</v>
      </c>
      <c r="V1786" s="1457"/>
      <c r="W1786" s="1456"/>
      <c r="X1786" s="1456"/>
      <c r="Y1786" s="1736"/>
    </row>
    <row r="1787" spans="1:25" ht="12.75" customHeight="1" x14ac:dyDescent="0.2">
      <c r="A1787" s="302">
        <v>1782</v>
      </c>
      <c r="B1787" s="5720"/>
      <c r="E1787" s="1291" t="s">
        <v>2024</v>
      </c>
      <c r="F1787" s="772"/>
      <c r="G1787" s="772">
        <v>30</v>
      </c>
      <c r="H1787" s="773">
        <v>1</v>
      </c>
      <c r="I1787" s="773">
        <v>5</v>
      </c>
      <c r="J1787" s="773">
        <f>COUNTIF(Elan!$C$13:$F$25,Tablas!E1787)+COUNTIF(Elan!$U$13:$X$25,Tablas!E1787)</f>
        <v>0</v>
      </c>
      <c r="K1787" s="772"/>
      <c r="L1787" s="5785" t="s">
        <v>7415</v>
      </c>
      <c r="M1787" s="5785"/>
      <c r="N1787" s="5785"/>
      <c r="O1787" s="5785"/>
      <c r="P1787" s="5785"/>
      <c r="Q1787" s="5786"/>
      <c r="R1787" s="1294">
        <f>IF(OR($J1787=0,$J1787="Aprendida"),0,SUM($J$1717:$J1787))</f>
        <v>0</v>
      </c>
      <c r="T1787" s="1455" t="s">
        <v>7490</v>
      </c>
      <c r="U1787" s="1456">
        <v>3</v>
      </c>
      <c r="V1787" s="1457"/>
      <c r="W1787" s="1456"/>
      <c r="X1787" s="1456"/>
      <c r="Y1787" s="1736"/>
    </row>
    <row r="1788" spans="1:25" ht="12.75" customHeight="1" x14ac:dyDescent="0.2">
      <c r="A1788" s="302">
        <v>1783</v>
      </c>
      <c r="B1788" s="5720"/>
      <c r="E1788" s="1291" t="s">
        <v>7150</v>
      </c>
      <c r="F1788" s="772"/>
      <c r="G1788" s="772">
        <v>40</v>
      </c>
      <c r="H1788" s="773">
        <v>1</v>
      </c>
      <c r="I1788" s="773">
        <v>10</v>
      </c>
      <c r="J1788" s="773">
        <f>COUNTIF(Elan!$C$13:$F$25,Tablas!E1788)+COUNTIF(Elan!$U$13:$X$25,Tablas!E1788)</f>
        <v>0</v>
      </c>
      <c r="K1788" s="772"/>
      <c r="L1788" s="5785" t="s">
        <v>7418</v>
      </c>
      <c r="M1788" s="5785"/>
      <c r="N1788" s="5785"/>
      <c r="O1788" s="5785"/>
      <c r="P1788" s="5785"/>
      <c r="Q1788" s="5786"/>
      <c r="R1788" s="1294">
        <f>IF(OR($J1788=0,$J1788="Aprendida"),0,SUM($J$1717:$J1788))</f>
        <v>0</v>
      </c>
      <c r="T1788" s="1455" t="s">
        <v>7492</v>
      </c>
      <c r="U1788" s="1456">
        <v>5</v>
      </c>
      <c r="V1788" s="1457"/>
      <c r="W1788" s="1456"/>
      <c r="X1788" s="1456"/>
      <c r="Y1788" s="1736"/>
    </row>
    <row r="1789" spans="1:25" ht="12.75" customHeight="1" x14ac:dyDescent="0.2">
      <c r="A1789" s="302">
        <v>1784</v>
      </c>
      <c r="B1789" s="5720"/>
      <c r="E1789" s="1291" t="s">
        <v>7151</v>
      </c>
      <c r="F1789" s="772"/>
      <c r="G1789" s="772">
        <v>50</v>
      </c>
      <c r="H1789" s="773">
        <v>1</v>
      </c>
      <c r="I1789" s="773">
        <v>15</v>
      </c>
      <c r="J1789" s="773">
        <f>COUNTIF(Elan!$C$13:$F$25,Tablas!E1789)+COUNTIF(Elan!$U$13:$X$25,Tablas!E1789)</f>
        <v>0</v>
      </c>
      <c r="K1789" s="772"/>
      <c r="L1789" s="5785" t="s">
        <v>7420</v>
      </c>
      <c r="M1789" s="5785"/>
      <c r="N1789" s="5785"/>
      <c r="O1789" s="5785"/>
      <c r="P1789" s="5785"/>
      <c r="Q1789" s="5786"/>
      <c r="R1789" s="1294">
        <f>IF(OR($J1789=0,$J1789="Aprendida"),0,SUM($J$1717:$J1789))</f>
        <v>0</v>
      </c>
      <c r="T1789" s="1453" t="str">
        <f>E1835</f>
        <v>Abbadon</v>
      </c>
      <c r="U1789" s="1454"/>
      <c r="V1789" s="1460"/>
      <c r="W1789" s="1454"/>
      <c r="X1789" s="1454"/>
      <c r="Y1789" s="1735"/>
    </row>
    <row r="1790" spans="1:25" ht="12.75" customHeight="1" x14ac:dyDescent="0.2">
      <c r="A1790" s="302">
        <v>1785</v>
      </c>
      <c r="B1790" s="5720"/>
      <c r="E1790" s="1291" t="s">
        <v>7152</v>
      </c>
      <c r="F1790" s="772"/>
      <c r="G1790" s="772">
        <v>60</v>
      </c>
      <c r="H1790" s="773">
        <v>1</v>
      </c>
      <c r="I1790" s="773">
        <v>10</v>
      </c>
      <c r="J1790" s="773">
        <f>COUNTIF(Elan!$C$13:$F$25,Tablas!E1790)+COUNTIF(Elan!$U$13:$X$25,Tablas!E1790)</f>
        <v>0</v>
      </c>
      <c r="K1790" s="772"/>
      <c r="L1790" s="5785" t="s">
        <v>7421</v>
      </c>
      <c r="M1790" s="5785"/>
      <c r="N1790" s="5785"/>
      <c r="O1790" s="5785"/>
      <c r="P1790" s="5785"/>
      <c r="Q1790" s="5786"/>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720"/>
      <c r="E1791" s="1291" t="s">
        <v>7153</v>
      </c>
      <c r="F1791" s="772"/>
      <c r="G1791" s="772">
        <v>70</v>
      </c>
      <c r="H1791" s="773">
        <v>1</v>
      </c>
      <c r="I1791" s="773">
        <v>15</v>
      </c>
      <c r="J1791" s="773">
        <f>COUNTIF(Elan!$C$13:$F$25,Tablas!E1791)+COUNTIF(Elan!$U$13:$X$25,Tablas!E1791)</f>
        <v>0</v>
      </c>
      <c r="K1791" s="772"/>
      <c r="L1791" s="5785" t="s">
        <v>7422</v>
      </c>
      <c r="M1791" s="5785"/>
      <c r="N1791" s="5785"/>
      <c r="O1791" s="5785"/>
      <c r="P1791" s="5785"/>
      <c r="Q1791" s="5786"/>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720"/>
      <c r="E1792" s="1291" t="s">
        <v>7154</v>
      </c>
      <c r="F1792" s="772"/>
      <c r="G1792" s="772">
        <v>70</v>
      </c>
      <c r="H1792" s="773">
        <v>1</v>
      </c>
      <c r="I1792" s="773">
        <v>10</v>
      </c>
      <c r="J1792" s="773">
        <f>COUNTIF(Elan!$C$13:$F$25,Tablas!E1792)+COUNTIF(Elan!$U$13:$X$25,Tablas!E1792)</f>
        <v>0</v>
      </c>
      <c r="K1792" s="772"/>
      <c r="L1792" s="5785" t="s">
        <v>7423</v>
      </c>
      <c r="M1792" s="5785"/>
      <c r="N1792" s="5785"/>
      <c r="O1792" s="5785"/>
      <c r="P1792" s="5785"/>
      <c r="Q1792" s="5786"/>
      <c r="R1792" s="1294">
        <f>IF(OR($J1792=0,$J1792="Aprendida"),0,SUM($J$1717:$J1792))</f>
        <v>0</v>
      </c>
      <c r="T1792" s="1455" t="s">
        <v>7506</v>
      </c>
      <c r="U1792" s="1456">
        <v>3</v>
      </c>
      <c r="V1792" s="1457"/>
      <c r="W1792" s="1456"/>
      <c r="X1792" s="1456"/>
      <c r="Y1792" s="1736"/>
    </row>
    <row r="1793" spans="1:25" ht="12.75" customHeight="1" x14ac:dyDescent="0.2">
      <c r="A1793" s="302">
        <v>1788</v>
      </c>
      <c r="B1793" s="5720"/>
      <c r="E1793" s="1291" t="s">
        <v>7155</v>
      </c>
      <c r="F1793" s="772"/>
      <c r="G1793" s="772">
        <v>80</v>
      </c>
      <c r="H1793" s="773">
        <f>IF(J1787,1,0)</f>
        <v>0</v>
      </c>
      <c r="I1793" s="773">
        <v>20</v>
      </c>
      <c r="J1793" s="773">
        <f>COUNTIF(Elan!$C$13:$F$25,Tablas!E1793)+COUNTIF(Elan!$U$13:$X$25,Tablas!E1793)</f>
        <v>0</v>
      </c>
      <c r="K1793" s="772"/>
      <c r="L1793" s="5785" t="s">
        <v>7424</v>
      </c>
      <c r="M1793" s="5785"/>
      <c r="N1793" s="5785"/>
      <c r="O1793" s="5785"/>
      <c r="P1793" s="5785"/>
      <c r="Q1793" s="5786"/>
      <c r="R1793" s="1294">
        <f>IF(OR($J1793=0,$J1793="Aprendida"),0,SUM($J$1717:$J1793))</f>
        <v>0</v>
      </c>
      <c r="T1793" s="1455" t="s">
        <v>7508</v>
      </c>
      <c r="U1793" s="1456">
        <v>2</v>
      </c>
      <c r="V1793" s="1457"/>
      <c r="W1793" s="1456"/>
      <c r="X1793" s="1456"/>
      <c r="Y1793" s="1736"/>
    </row>
    <row r="1794" spans="1:25" ht="12.75" customHeight="1" x14ac:dyDescent="0.2">
      <c r="A1794" s="302">
        <v>1789</v>
      </c>
      <c r="B1794" s="5720"/>
      <c r="E1794" s="1291" t="s">
        <v>7156</v>
      </c>
      <c r="F1794" s="772"/>
      <c r="G1794" s="772">
        <v>90</v>
      </c>
      <c r="H1794" s="773">
        <v>1</v>
      </c>
      <c r="I1794" s="773">
        <v>15</v>
      </c>
      <c r="J1794" s="773">
        <f>COUNTIF(Elan!$C$13:$F$25,Tablas!E1794)+COUNTIF(Elan!$U$13:$X$25,Tablas!E1794)</f>
        <v>0</v>
      </c>
      <c r="K1794" s="772"/>
      <c r="L1794" s="5785" t="s">
        <v>7425</v>
      </c>
      <c r="M1794" s="5785"/>
      <c r="N1794" s="5785"/>
      <c r="O1794" s="5785"/>
      <c r="P1794" s="5785"/>
      <c r="Q1794" s="5786"/>
      <c r="R1794" s="1294">
        <f>IF(OR($J1794=0,$J1794="Aprendida"),0,SUM($J$1717:$J1794))</f>
        <v>0</v>
      </c>
      <c r="T1794" s="1455" t="s">
        <v>7510</v>
      </c>
      <c r="U1794" s="1456">
        <v>2</v>
      </c>
      <c r="V1794" s="1457"/>
      <c r="W1794" s="1456"/>
      <c r="X1794" s="1456"/>
      <c r="Y1794" s="1736"/>
    </row>
    <row r="1795" spans="1:25" ht="12.75" customHeight="1" x14ac:dyDescent="0.2">
      <c r="A1795" s="302">
        <v>1790</v>
      </c>
      <c r="B1795" s="5720"/>
      <c r="E1795" s="1291" t="s">
        <v>7157</v>
      </c>
      <c r="F1795" s="772"/>
      <c r="G1795" s="772">
        <v>100</v>
      </c>
      <c r="H1795" s="773">
        <v>1</v>
      </c>
      <c r="I1795" s="773">
        <v>10</v>
      </c>
      <c r="J1795" s="773">
        <f>COUNTIF(Elan!$C$13:$F$25,Tablas!E1795)+COUNTIF(Elan!$U$13:$X$25,Tablas!E1795)</f>
        <v>0</v>
      </c>
      <c r="K1795" s="772"/>
      <c r="L1795" s="5785" t="s">
        <v>7426</v>
      </c>
      <c r="M1795" s="5785"/>
      <c r="N1795" s="5785"/>
      <c r="O1795" s="5785"/>
      <c r="P1795" s="5785"/>
      <c r="Q1795" s="5786"/>
      <c r="R1795" s="1294">
        <f>IF(OR($J1795=0,$J1795="Aprendida"),0,SUM($J$1717:$J1795))</f>
        <v>0</v>
      </c>
      <c r="T1795" s="1458"/>
      <c r="U1795" s="1459"/>
      <c r="V1795" s="1459"/>
      <c r="W1795" s="1459"/>
      <c r="X1795" s="1459"/>
      <c r="Y1795" s="1737"/>
    </row>
    <row r="1796" spans="1:25" ht="12.75" customHeight="1" x14ac:dyDescent="0.2">
      <c r="A1796" s="302">
        <v>1791</v>
      </c>
      <c r="B1796" s="5720"/>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20"/>
      <c r="E1797" s="1291" t="s">
        <v>7158</v>
      </c>
      <c r="F1797" s="772"/>
      <c r="G1797" s="772">
        <v>10</v>
      </c>
      <c r="H1797" s="773">
        <v>1</v>
      </c>
      <c r="I1797" s="773">
        <v>5</v>
      </c>
      <c r="J1797" s="773">
        <f>COUNTIF(Elan!$C$13:$F$25,Tablas!E1797)+COUNTIF(Elan!$U$13:$X$25,Tablas!E1797)</f>
        <v>0</v>
      </c>
      <c r="K1797" s="772">
        <f>F$1796*J1797</f>
        <v>0</v>
      </c>
      <c r="L1797" s="5785" t="s">
        <v>7427</v>
      </c>
      <c r="M1797" s="5785"/>
      <c r="N1797" s="5785"/>
      <c r="O1797" s="5785"/>
      <c r="P1797" s="5785"/>
      <c r="Q1797" s="5786"/>
      <c r="R1797" s="1294">
        <f>IF(OR($J1797=0,$J1797="Aprendida"),0,SUM($J$1717:$J1797))</f>
        <v>0</v>
      </c>
      <c r="T1797" s="1453" t="str">
        <f>E1847</f>
        <v>Barakiel</v>
      </c>
      <c r="U1797" s="1454"/>
      <c r="V1797" s="1460"/>
      <c r="W1797" s="1454"/>
      <c r="X1797" s="1454"/>
      <c r="Y1797" s="1735"/>
    </row>
    <row r="1798" spans="1:25" ht="12.75" customHeight="1" x14ac:dyDescent="0.2">
      <c r="A1798" s="302">
        <v>1793</v>
      </c>
      <c r="B1798" s="5720"/>
      <c r="E1798" s="1291" t="s">
        <v>7159</v>
      </c>
      <c r="F1798" s="772"/>
      <c r="G1798" s="772">
        <v>20</v>
      </c>
      <c r="H1798" s="773">
        <v>1</v>
      </c>
      <c r="I1798" s="773">
        <v>5</v>
      </c>
      <c r="J1798" s="773">
        <f>COUNTIF(Elan!$C$13:$F$25,Tablas!E1798)+COUNTIF(Elan!$U$13:$X$25,Tablas!E1798)</f>
        <v>0</v>
      </c>
      <c r="K1798" s="772">
        <f>F$1796*J1798</f>
        <v>0</v>
      </c>
      <c r="L1798" s="5785" t="s">
        <v>7431</v>
      </c>
      <c r="M1798" s="5785"/>
      <c r="N1798" s="5785"/>
      <c r="O1798" s="5785"/>
      <c r="P1798" s="5785"/>
      <c r="Q1798" s="5786"/>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720"/>
      <c r="E1799" s="1291" t="s">
        <v>7160</v>
      </c>
      <c r="F1799" s="772"/>
      <c r="G1799" s="772">
        <v>20</v>
      </c>
      <c r="H1799" s="773">
        <v>1</v>
      </c>
      <c r="I1799" s="773">
        <v>10</v>
      </c>
      <c r="J1799" s="773">
        <f>COUNTIF(Elan!$C$13:$F$25,Tablas!E1799)+COUNTIF(Elan!$U$13:$X$25,Tablas!E1799)</f>
        <v>0</v>
      </c>
      <c r="K1799" s="772"/>
      <c r="L1799" s="5785" t="s">
        <v>7434</v>
      </c>
      <c r="M1799" s="5785"/>
      <c r="N1799" s="5785"/>
      <c r="O1799" s="5785"/>
      <c r="P1799" s="5785"/>
      <c r="Q1799" s="5786"/>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720"/>
      <c r="E1800" s="1291" t="s">
        <v>7161</v>
      </c>
      <c r="F1800" s="772"/>
      <c r="G1800" s="772">
        <v>30</v>
      </c>
      <c r="H1800" s="773">
        <v>1</v>
      </c>
      <c r="I1800" s="773">
        <v>5</v>
      </c>
      <c r="J1800" s="773">
        <f>COUNTIF(Elan!$C$13:$F$25,Tablas!E1800)+COUNTIF(Elan!$U$13:$X$25,Tablas!E1800)</f>
        <v>0</v>
      </c>
      <c r="K1800" s="772"/>
      <c r="L1800" s="5785" t="s">
        <v>7438</v>
      </c>
      <c r="M1800" s="5785"/>
      <c r="N1800" s="5785"/>
      <c r="O1800" s="5785"/>
      <c r="P1800" s="5785"/>
      <c r="Q1800" s="5786"/>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720"/>
      <c r="E1801" s="1291" t="s">
        <v>7162</v>
      </c>
      <c r="F1801" s="772"/>
      <c r="G1801" s="772">
        <v>40</v>
      </c>
      <c r="H1801" s="773">
        <v>1</v>
      </c>
      <c r="I1801" s="773">
        <v>10</v>
      </c>
      <c r="J1801" s="773">
        <f>COUNTIF(Elan!$C$13:$F$25,Tablas!E1801)+COUNTIF(Elan!$U$13:$X$25,Tablas!E1801)</f>
        <v>0</v>
      </c>
      <c r="K1801" s="772"/>
      <c r="L1801" s="5785" t="s">
        <v>7440</v>
      </c>
      <c r="M1801" s="5785"/>
      <c r="N1801" s="5785"/>
      <c r="O1801" s="5785"/>
      <c r="P1801" s="5785"/>
      <c r="Q1801" s="5786"/>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720"/>
      <c r="E1802" s="1291" t="s">
        <v>7163</v>
      </c>
      <c r="F1802" s="772"/>
      <c r="G1802" s="772">
        <v>50</v>
      </c>
      <c r="H1802" s="773">
        <v>1</v>
      </c>
      <c r="I1802" s="773">
        <v>20</v>
      </c>
      <c r="J1802" s="773">
        <f>COUNTIF(Elan!$C$13:$F$25,Tablas!E1802)+COUNTIF(Elan!$U$13:$X$25,Tablas!E1802)</f>
        <v>0</v>
      </c>
      <c r="K1802" s="772"/>
      <c r="L1802" s="5785" t="s">
        <v>7442</v>
      </c>
      <c r="M1802" s="5785"/>
      <c r="N1802" s="5785"/>
      <c r="O1802" s="5785"/>
      <c r="P1802" s="5785"/>
      <c r="Q1802" s="5786"/>
      <c r="R1802" s="1294">
        <f>IF(OR($J1802=0,$J1802="Aprendida"),0,SUM($J$1717:$J1802))</f>
        <v>0</v>
      </c>
      <c r="T1802" s="1455" t="s">
        <v>7533</v>
      </c>
      <c r="U1802" s="1456">
        <v>5</v>
      </c>
      <c r="V1802" s="1457"/>
      <c r="W1802" s="1456"/>
      <c r="X1802" s="1456"/>
      <c r="Y1802" s="1736"/>
    </row>
    <row r="1803" spans="1:25" ht="12.75" customHeight="1" x14ac:dyDescent="0.2">
      <c r="A1803" s="302">
        <v>1798</v>
      </c>
      <c r="B1803" s="5720"/>
      <c r="E1803" s="1291" t="s">
        <v>7164</v>
      </c>
      <c r="F1803" s="772"/>
      <c r="G1803" s="772">
        <v>50</v>
      </c>
      <c r="H1803" s="773">
        <f>IF(J1799,1,0)</f>
        <v>0</v>
      </c>
      <c r="I1803" s="773">
        <v>15</v>
      </c>
      <c r="J1803" s="773">
        <f>COUNTIF(Elan!$C$13:$F$25,Tablas!E1803)+COUNTIF(Elan!$U$13:$X$25,Tablas!E1803)</f>
        <v>0</v>
      </c>
      <c r="K1803" s="772"/>
      <c r="L1803" s="5785" t="s">
        <v>7443</v>
      </c>
      <c r="M1803" s="5785"/>
      <c r="N1803" s="5785"/>
      <c r="O1803" s="5785"/>
      <c r="P1803" s="5785"/>
      <c r="Q1803" s="5786"/>
      <c r="R1803" s="1294">
        <f>IF(OR($J1803=0,$J1803="Aprendida"),0,SUM($J$1717:$J1803))</f>
        <v>0</v>
      </c>
      <c r="T1803" s="1455" t="s">
        <v>7535</v>
      </c>
      <c r="U1803" s="1456">
        <v>2</v>
      </c>
      <c r="V1803" s="1457"/>
      <c r="W1803" s="1456"/>
      <c r="X1803" s="1456"/>
      <c r="Y1803" s="1736"/>
    </row>
    <row r="1804" spans="1:25" ht="12.75" customHeight="1" x14ac:dyDescent="0.2">
      <c r="A1804" s="302">
        <v>1799</v>
      </c>
      <c r="B1804" s="5720"/>
      <c r="E1804" s="1291" t="s">
        <v>7165</v>
      </c>
      <c r="F1804" s="772"/>
      <c r="G1804" s="772">
        <v>60</v>
      </c>
      <c r="H1804" s="773">
        <v>1</v>
      </c>
      <c r="I1804" s="773">
        <v>10</v>
      </c>
      <c r="J1804" s="773">
        <f>COUNTIF(Elan!$C$13:$F$25,Tablas!E1804)+COUNTIF(Elan!$U$13:$X$25,Tablas!E1804)</f>
        <v>0</v>
      </c>
      <c r="K1804" s="772"/>
      <c r="L1804" s="5785" t="s">
        <v>7444</v>
      </c>
      <c r="M1804" s="5785"/>
      <c r="N1804" s="5785"/>
      <c r="O1804" s="5785"/>
      <c r="P1804" s="5785"/>
      <c r="Q1804" s="5786"/>
      <c r="R1804" s="1294">
        <f>IF(OR($J1804=0,$J1804="Aprendida"),0,SUM($J$1717:$J1804))</f>
        <v>0</v>
      </c>
      <c r="T1804" s="1458"/>
      <c r="U1804" s="1459"/>
      <c r="V1804" s="1459"/>
      <c r="W1804" s="1459"/>
      <c r="X1804" s="1459"/>
      <c r="Y1804" s="1737"/>
    </row>
    <row r="1805" spans="1:25" ht="12.75" customHeight="1" x14ac:dyDescent="0.2">
      <c r="A1805" s="302">
        <v>1800</v>
      </c>
      <c r="B1805" s="5720"/>
      <c r="E1805" s="1291" t="s">
        <v>7166</v>
      </c>
      <c r="F1805" s="772"/>
      <c r="G1805" s="772">
        <v>60</v>
      </c>
      <c r="H1805" s="773">
        <v>1</v>
      </c>
      <c r="I1805" s="773">
        <v>10</v>
      </c>
      <c r="J1805" s="773">
        <f>COUNTIF(Elan!$C$13:$F$25,Tablas!E1805)+COUNTIF(Elan!$U$13:$X$25,Tablas!E1805)</f>
        <v>0</v>
      </c>
      <c r="K1805" s="772"/>
      <c r="L1805" s="5785" t="s">
        <v>7445</v>
      </c>
      <c r="M1805" s="5785"/>
      <c r="N1805" s="5785"/>
      <c r="O1805" s="5785"/>
      <c r="P1805" s="5785"/>
      <c r="Q1805" s="5786"/>
      <c r="R1805" s="1294">
        <f>IF(OR($J1805=0,$J1805="Aprendida"),0,SUM($J$1717:$J1805))</f>
        <v>0</v>
      </c>
      <c r="T1805" s="1453" t="str">
        <f>E1861</f>
        <v>Eriol</v>
      </c>
      <c r="U1805" s="1454"/>
      <c r="V1805" s="1460"/>
      <c r="W1805" s="1454"/>
      <c r="X1805" s="1454"/>
      <c r="Y1805" s="1735"/>
    </row>
    <row r="1806" spans="1:25" ht="12.75" customHeight="1" x14ac:dyDescent="0.2">
      <c r="A1806" s="302">
        <v>1801</v>
      </c>
      <c r="B1806" s="5720"/>
      <c r="E1806" s="1291" t="s">
        <v>7167</v>
      </c>
      <c r="F1806" s="772"/>
      <c r="G1806" s="772">
        <v>70</v>
      </c>
      <c r="H1806" s="773">
        <v>1</v>
      </c>
      <c r="I1806" s="773">
        <v>10</v>
      </c>
      <c r="J1806" s="773">
        <f>COUNTIF(Elan!$C$13:$F$25,Tablas!E1806)+COUNTIF(Elan!$U$13:$X$25,Tablas!E1806)</f>
        <v>0</v>
      </c>
      <c r="K1806" s="772"/>
      <c r="L1806" s="5785" t="s">
        <v>7446</v>
      </c>
      <c r="M1806" s="5785"/>
      <c r="N1806" s="5785"/>
      <c r="O1806" s="5785"/>
      <c r="P1806" s="5785"/>
      <c r="Q1806" s="5786"/>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720"/>
      <c r="E1807" s="1291" t="s">
        <v>7168</v>
      </c>
      <c r="F1807" s="772"/>
      <c r="G1807" s="772">
        <v>80</v>
      </c>
      <c r="H1807" s="773">
        <f>IF(J1806,1,0)</f>
        <v>0</v>
      </c>
      <c r="I1807" s="773">
        <v>10</v>
      </c>
      <c r="J1807" s="773">
        <f>COUNTIF(Elan!$C$13:$F$25,Tablas!E1807)+COUNTIF(Elan!$U$13:$X$25,Tablas!E1807)</f>
        <v>0</v>
      </c>
      <c r="K1807" s="772"/>
      <c r="L1807" s="5785" t="s">
        <v>7447</v>
      </c>
      <c r="M1807" s="5785"/>
      <c r="N1807" s="5785"/>
      <c r="O1807" s="5785"/>
      <c r="P1807" s="5785"/>
      <c r="Q1807" s="5786"/>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720"/>
      <c r="E1808" s="1291" t="s">
        <v>7169</v>
      </c>
      <c r="F1808" s="772"/>
      <c r="G1808" s="772">
        <v>90</v>
      </c>
      <c r="H1808" s="773">
        <f>IF(J1803,1,0)</f>
        <v>0</v>
      </c>
      <c r="I1808" s="773">
        <v>20</v>
      </c>
      <c r="J1808" s="773">
        <f>COUNTIF(Elan!$C$13:$F$25,Tablas!E1808)+COUNTIF(Elan!$U$13:$X$25,Tablas!E1808)</f>
        <v>0</v>
      </c>
      <c r="K1808" s="772"/>
      <c r="L1808" s="5785" t="s">
        <v>7448</v>
      </c>
      <c r="M1808" s="5785"/>
      <c r="N1808" s="5785"/>
      <c r="O1808" s="5785"/>
      <c r="P1808" s="5785"/>
      <c r="Q1808" s="5786"/>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720"/>
      <c r="E1809" s="1291" t="s">
        <v>7170</v>
      </c>
      <c r="F1809" s="772"/>
      <c r="G1809" s="772">
        <v>100</v>
      </c>
      <c r="H1809" s="773">
        <v>1</v>
      </c>
      <c r="I1809" s="773">
        <v>10</v>
      </c>
      <c r="J1809" s="773">
        <f>COUNTIF(Elan!$C$13:$F$25,Tablas!E1809)+COUNTIF(Elan!$U$13:$X$25,Tablas!E1809)</f>
        <v>0</v>
      </c>
      <c r="K1809" s="772"/>
      <c r="L1809" s="5785" t="s">
        <v>7449</v>
      </c>
      <c r="M1809" s="5785"/>
      <c r="N1809" s="5785"/>
      <c r="O1809" s="5785"/>
      <c r="P1809" s="5785"/>
      <c r="Q1809" s="5786"/>
      <c r="R1809" s="1294">
        <f>IF(OR($J1809=0,$J1809="Aprendida"),0,SUM($J$1717:$J1809))</f>
        <v>0</v>
      </c>
      <c r="T1809" s="1455" t="s">
        <v>7556</v>
      </c>
      <c r="U1809" s="1456">
        <v>1</v>
      </c>
      <c r="V1809" s="1457"/>
      <c r="W1809" s="1456"/>
      <c r="X1809" s="1456"/>
      <c r="Y1809" s="1736"/>
    </row>
    <row r="1810" spans="1:25" ht="12.75" customHeight="1" x14ac:dyDescent="0.2">
      <c r="A1810" s="302">
        <v>1805</v>
      </c>
      <c r="B1810" s="5720"/>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720"/>
      <c r="E1811" s="1291" t="s">
        <v>7171</v>
      </c>
      <c r="F1811" s="772"/>
      <c r="G1811" s="772">
        <v>10</v>
      </c>
      <c r="H1811" s="773">
        <v>1</v>
      </c>
      <c r="I1811" s="773">
        <v>5</v>
      </c>
      <c r="J1811" s="773">
        <f>COUNTIF(Elan!$C$13:$F$25,Tablas!E1811)+COUNTIF(Elan!$U$13:$X$25,Tablas!E1811)</f>
        <v>0</v>
      </c>
      <c r="K1811" s="772">
        <f>F$1810*J1811</f>
        <v>0</v>
      </c>
      <c r="L1811" s="5785" t="s">
        <v>7450</v>
      </c>
      <c r="M1811" s="5785"/>
      <c r="N1811" s="5785"/>
      <c r="O1811" s="5785"/>
      <c r="P1811" s="5785"/>
      <c r="Q1811" s="5786"/>
      <c r="R1811" s="1294">
        <f>IF(OR($J1811=0,$J1811="Aprendida"),0,SUM($J$1717:$J1811))</f>
        <v>0</v>
      </c>
      <c r="T1811" s="1458"/>
      <c r="U1811" s="1459"/>
      <c r="V1811" s="1459"/>
      <c r="W1811" s="1459"/>
      <c r="X1811" s="1459"/>
      <c r="Y1811" s="1737"/>
    </row>
    <row r="1812" spans="1:25" ht="12.75" customHeight="1" x14ac:dyDescent="0.2">
      <c r="A1812" s="302">
        <v>1807</v>
      </c>
      <c r="B1812" s="5720"/>
      <c r="E1812" s="1291" t="s">
        <v>7172</v>
      </c>
      <c r="F1812" s="772"/>
      <c r="G1812" s="772">
        <v>20</v>
      </c>
      <c r="H1812" s="773">
        <v>1</v>
      </c>
      <c r="I1812" s="773">
        <v>5</v>
      </c>
      <c r="J1812" s="773">
        <f>COUNTIF(Elan!$C$13:$F$25,Tablas!E1812)+COUNTIF(Elan!$U$13:$X$25,Tablas!E1812)</f>
        <v>0</v>
      </c>
      <c r="K1812" s="772">
        <f>F$1810*J1812</f>
        <v>0</v>
      </c>
      <c r="L1812" s="5785" t="s">
        <v>7454</v>
      </c>
      <c r="M1812" s="5785"/>
      <c r="N1812" s="5785"/>
      <c r="O1812" s="5785"/>
      <c r="P1812" s="5785"/>
      <c r="Q1812" s="5786"/>
      <c r="R1812" s="1294">
        <f>IF(OR($J1812=0,$J1812="Aprendida"),0,SUM($J$1717:$J1812))</f>
        <v>0</v>
      </c>
      <c r="T1812" s="1458"/>
      <c r="U1812" s="1459"/>
      <c r="V1812" s="1459"/>
      <c r="W1812" s="1459"/>
      <c r="X1812" s="1459"/>
      <c r="Y1812" s="1737"/>
    </row>
    <row r="1813" spans="1:25" ht="12.75" customHeight="1" x14ac:dyDescent="0.2">
      <c r="A1813" s="302">
        <v>1808</v>
      </c>
      <c r="B1813" s="5720"/>
      <c r="E1813" s="1291" t="s">
        <v>7173</v>
      </c>
      <c r="F1813" s="772"/>
      <c r="G1813" s="772">
        <v>30</v>
      </c>
      <c r="H1813" s="773">
        <v>1</v>
      </c>
      <c r="I1813" s="773">
        <v>5</v>
      </c>
      <c r="J1813" s="773">
        <f>COUNTIF(Elan!$C$13:$F$25,Tablas!E1813)+COUNTIF(Elan!$U$13:$X$25,Tablas!E1813)</f>
        <v>0</v>
      </c>
      <c r="K1813" s="772"/>
      <c r="L1813" s="5785" t="s">
        <v>7458</v>
      </c>
      <c r="M1813" s="5785"/>
      <c r="N1813" s="5785"/>
      <c r="O1813" s="5785"/>
      <c r="P1813" s="5785"/>
      <c r="Q1813" s="5786"/>
      <c r="R1813" s="1294">
        <f>IF(OR($J1813=0,$J1813="Aprendida"),0,SUM($J$1717:$J1813))</f>
        <v>0</v>
      </c>
      <c r="T1813" s="1453" t="str">
        <f>E1873</f>
        <v>Edamiel</v>
      </c>
      <c r="U1813" s="1454"/>
      <c r="V1813" s="1460"/>
      <c r="W1813" s="1454"/>
      <c r="X1813" s="1454"/>
      <c r="Y1813" s="1735"/>
    </row>
    <row r="1814" spans="1:25" ht="12.75" customHeight="1" x14ac:dyDescent="0.2">
      <c r="A1814" s="302">
        <v>1809</v>
      </c>
      <c r="B1814" s="5720"/>
      <c r="E1814" s="1291" t="s">
        <v>7174</v>
      </c>
      <c r="F1814" s="772"/>
      <c r="G1814" s="772">
        <v>40</v>
      </c>
      <c r="H1814" s="773">
        <v>1</v>
      </c>
      <c r="I1814" s="773">
        <v>10</v>
      </c>
      <c r="J1814" s="773">
        <f>COUNTIF(Elan!$C$13:$F$25,Tablas!E1814)+COUNTIF(Elan!$U$13:$X$25,Tablas!E1814)</f>
        <v>0</v>
      </c>
      <c r="K1814" s="772"/>
      <c r="L1814" s="5785" t="s">
        <v>7461</v>
      </c>
      <c r="M1814" s="5785"/>
      <c r="N1814" s="5785"/>
      <c r="O1814" s="5785"/>
      <c r="P1814" s="5785"/>
      <c r="Q1814" s="5786"/>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720"/>
      <c r="E1815" s="1291" t="s">
        <v>7175</v>
      </c>
      <c r="F1815" s="772"/>
      <c r="G1815" s="772">
        <v>50</v>
      </c>
      <c r="H1815" s="773">
        <v>1</v>
      </c>
      <c r="I1815" s="773">
        <v>15</v>
      </c>
      <c r="J1815" s="773">
        <f>COUNTIF(Elan!$C$13:$F$25,Tablas!E1815)+COUNTIF(Elan!$U$13:$X$25,Tablas!E1815)</f>
        <v>0</v>
      </c>
      <c r="K1815" s="772"/>
      <c r="L1815" s="5785" t="s">
        <v>7463</v>
      </c>
      <c r="M1815" s="5785"/>
      <c r="N1815" s="5785"/>
      <c r="O1815" s="5785"/>
      <c r="P1815" s="5785"/>
      <c r="Q1815" s="5786"/>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720"/>
      <c r="E1816" s="1291" t="s">
        <v>7176</v>
      </c>
      <c r="F1816" s="772"/>
      <c r="G1816" s="772">
        <v>60</v>
      </c>
      <c r="H1816" s="773">
        <v>1</v>
      </c>
      <c r="I1816" s="773">
        <v>10</v>
      </c>
      <c r="J1816" s="773">
        <f>COUNTIF(Elan!$C$13:$F$25,Tablas!E1816)+COUNTIF(Elan!$U$13:$X$25,Tablas!E1816)</f>
        <v>0</v>
      </c>
      <c r="K1816" s="772"/>
      <c r="L1816" s="5785" t="s">
        <v>7465</v>
      </c>
      <c r="M1816" s="5785"/>
      <c r="N1816" s="5785"/>
      <c r="O1816" s="5785"/>
      <c r="P1816" s="5785"/>
      <c r="Q1816" s="5786"/>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720"/>
      <c r="E1817" s="1291" t="s">
        <v>7177</v>
      </c>
      <c r="F1817" s="772"/>
      <c r="G1817" s="772">
        <v>60</v>
      </c>
      <c r="H1817" s="773">
        <v>1</v>
      </c>
      <c r="I1817" s="773">
        <v>10</v>
      </c>
      <c r="J1817" s="773">
        <f>COUNTIF(Elan!$C$13:$F$25,Tablas!E1817)+COUNTIF(Elan!$U$13:$X$25,Tablas!E1817)</f>
        <v>0</v>
      </c>
      <c r="K1817" s="772"/>
      <c r="L1817" s="5785" t="s">
        <v>7467</v>
      </c>
      <c r="M1817" s="5785"/>
      <c r="N1817" s="5785"/>
      <c r="O1817" s="5785"/>
      <c r="P1817" s="5785"/>
      <c r="Q1817" s="5786"/>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720"/>
      <c r="E1818" s="1291" t="s">
        <v>7178</v>
      </c>
      <c r="F1818" s="772"/>
      <c r="G1818" s="772">
        <v>70</v>
      </c>
      <c r="H1818" s="773">
        <v>1</v>
      </c>
      <c r="I1818" s="773">
        <v>20</v>
      </c>
      <c r="J1818" s="773">
        <f>COUNTIF(Elan!$C$13:$F$25,Tablas!E1818)+COUNTIF(Elan!$U$13:$X$25,Tablas!E1818)</f>
        <v>0</v>
      </c>
      <c r="K1818" s="772"/>
      <c r="L1818" s="5785" t="s">
        <v>7468</v>
      </c>
      <c r="M1818" s="5785"/>
      <c r="N1818" s="5785"/>
      <c r="O1818" s="5785"/>
      <c r="P1818" s="5785"/>
      <c r="Q1818" s="5786"/>
      <c r="R1818" s="1294">
        <f>IF(OR($J1818=0,$J1818="Aprendida"),0,SUM($J$1717:$J1818))</f>
        <v>0</v>
      </c>
      <c r="T1818" s="1455" t="s">
        <v>7580</v>
      </c>
      <c r="U1818" s="1456">
        <v>4</v>
      </c>
      <c r="V1818" s="1457"/>
      <c r="W1818" s="1456"/>
      <c r="X1818" s="1456"/>
      <c r="Y1818" s="1736"/>
    </row>
    <row r="1819" spans="1:25" ht="12.75" customHeight="1" x14ac:dyDescent="0.2">
      <c r="A1819" s="302">
        <v>1814</v>
      </c>
      <c r="B1819" s="5720"/>
      <c r="E1819" s="1291" t="s">
        <v>7179</v>
      </c>
      <c r="F1819" s="772"/>
      <c r="G1819" s="772">
        <v>80</v>
      </c>
      <c r="H1819" s="773">
        <v>1</v>
      </c>
      <c r="I1819" s="773">
        <v>15</v>
      </c>
      <c r="J1819" s="773">
        <f>COUNTIF(Elan!$C$13:$F$25,Tablas!E1819)+COUNTIF(Elan!$U$13:$X$25,Tablas!E1819)</f>
        <v>0</v>
      </c>
      <c r="K1819" s="772"/>
      <c r="L1819" s="5785" t="s">
        <v>7469</v>
      </c>
      <c r="M1819" s="5785"/>
      <c r="N1819" s="5785"/>
      <c r="O1819" s="5785"/>
      <c r="P1819" s="5785"/>
      <c r="Q1819" s="5786"/>
      <c r="R1819" s="1294">
        <f>IF(OR($J1819=0,$J1819="Aprendida"),0,SUM($J$1717:$J1819))</f>
        <v>0</v>
      </c>
      <c r="T1819" s="1458"/>
      <c r="U1819" s="1459"/>
      <c r="V1819" s="1459"/>
      <c r="W1819" s="1459"/>
      <c r="X1819" s="1459"/>
      <c r="Y1819" s="1737"/>
    </row>
    <row r="1820" spans="1:25" ht="12.75" customHeight="1" x14ac:dyDescent="0.2">
      <c r="A1820" s="302">
        <v>1815</v>
      </c>
      <c r="B1820" s="5720"/>
      <c r="E1820" s="1291" t="s">
        <v>7180</v>
      </c>
      <c r="F1820" s="772"/>
      <c r="G1820" s="772">
        <v>90</v>
      </c>
      <c r="H1820" s="773">
        <f>IF(J1818,1,0)</f>
        <v>0</v>
      </c>
      <c r="I1820" s="773">
        <v>10</v>
      </c>
      <c r="J1820" s="773">
        <f>COUNTIF(Elan!$C$13:$F$25,Tablas!E1820)+COUNTIF(Elan!$U$13:$X$25,Tablas!E1820)</f>
        <v>0</v>
      </c>
      <c r="K1820" s="772"/>
      <c r="L1820" s="5785" t="s">
        <v>7470</v>
      </c>
      <c r="M1820" s="5785"/>
      <c r="N1820" s="5785"/>
      <c r="O1820" s="5785"/>
      <c r="P1820" s="5785"/>
      <c r="Q1820" s="5786"/>
      <c r="R1820" s="1294">
        <f>IF(OR($J1820=0,$J1820="Aprendida"),0,SUM($J$1717:$J1820))</f>
        <v>0</v>
      </c>
      <c r="T1820" s="1458"/>
      <c r="U1820" s="1459"/>
      <c r="V1820" s="1459"/>
      <c r="W1820" s="1459"/>
      <c r="X1820" s="1459"/>
      <c r="Y1820" s="1737"/>
    </row>
    <row r="1821" spans="1:25" ht="12.75" customHeight="1" x14ac:dyDescent="0.2">
      <c r="A1821" s="302">
        <v>1816</v>
      </c>
      <c r="B1821" s="5720"/>
      <c r="E1821" s="1291" t="s">
        <v>7181</v>
      </c>
      <c r="F1821" s="772"/>
      <c r="G1821" s="772">
        <v>100</v>
      </c>
      <c r="H1821" s="773">
        <v>1</v>
      </c>
      <c r="I1821" s="773">
        <v>10</v>
      </c>
      <c r="J1821" s="773">
        <f>COUNTIF(Elan!$C$13:$F$25,Tablas!E1821)+COUNTIF(Elan!$U$13:$X$25,Tablas!E1821)</f>
        <v>0</v>
      </c>
      <c r="K1821" s="772"/>
      <c r="L1821" s="5785" t="s">
        <v>7471</v>
      </c>
      <c r="M1821" s="5785"/>
      <c r="N1821" s="5785"/>
      <c r="O1821" s="5785"/>
      <c r="P1821" s="5785"/>
      <c r="Q1821" s="5786"/>
      <c r="R1821" s="1294">
        <f>IF(OR($J1821=0,$J1821="Aprendida"),0,SUM($J$1717:$J1821))</f>
        <v>0</v>
      </c>
      <c r="T1821" s="1453" t="str">
        <f>E1885</f>
        <v>Meseguis</v>
      </c>
      <c r="U1821" s="1454"/>
      <c r="V1821" s="1460"/>
      <c r="W1821" s="1454"/>
      <c r="X1821" s="1454"/>
      <c r="Y1821" s="1735"/>
    </row>
    <row r="1822" spans="1:25" ht="12.75" customHeight="1" x14ac:dyDescent="0.2">
      <c r="A1822" s="302">
        <v>1817</v>
      </c>
      <c r="B1822" s="5720"/>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720"/>
      <c r="E1823" s="1291" t="s">
        <v>7182</v>
      </c>
      <c r="F1823" s="772"/>
      <c r="G1823" s="772">
        <v>10</v>
      </c>
      <c r="H1823" s="773">
        <v>1</v>
      </c>
      <c r="I1823" s="773">
        <v>5</v>
      </c>
      <c r="J1823" s="773">
        <f>COUNTIF(Elan!$C$13:$F$25,Tablas!E1823)+COUNTIF(Elan!$U$13:$X$25,Tablas!E1823)</f>
        <v>0</v>
      </c>
      <c r="K1823" s="772">
        <f>F$1822*J1823</f>
        <v>0</v>
      </c>
      <c r="L1823" s="5785" t="s">
        <v>7472</v>
      </c>
      <c r="M1823" s="5785"/>
      <c r="N1823" s="5785"/>
      <c r="O1823" s="5785"/>
      <c r="P1823" s="5785"/>
      <c r="Q1823" s="5786"/>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720"/>
      <c r="E1824" s="1291" t="s">
        <v>7183</v>
      </c>
      <c r="F1824" s="772"/>
      <c r="G1824" s="772">
        <v>20</v>
      </c>
      <c r="H1824" s="773">
        <v>1</v>
      </c>
      <c r="I1824" s="773">
        <v>5</v>
      </c>
      <c r="J1824" s="773">
        <f>COUNTIF(Elan!$C$13:$F$25,Tablas!E1824)+COUNTIF(Elan!$U$13:$X$25,Tablas!E1824)</f>
        <v>0</v>
      </c>
      <c r="K1824" s="772">
        <f>F$1822*J1824</f>
        <v>0</v>
      </c>
      <c r="L1824" s="5785" t="s">
        <v>7476</v>
      </c>
      <c r="M1824" s="5785"/>
      <c r="N1824" s="5785"/>
      <c r="O1824" s="5785"/>
      <c r="P1824" s="5785"/>
      <c r="Q1824" s="5786"/>
      <c r="R1824" s="1294">
        <f>IF(OR($J1824=0,$J1824="Aprendida"),0,SUM($J$1717:$J1824))</f>
        <v>0</v>
      </c>
      <c r="T1824" s="1455"/>
      <c r="U1824" s="1456"/>
      <c r="V1824" s="1457" t="s">
        <v>7596</v>
      </c>
      <c r="W1824" s="1456">
        <v>4</v>
      </c>
      <c r="X1824" s="1456"/>
      <c r="Y1824" s="1736"/>
    </row>
    <row r="1825" spans="1:25" ht="12.75" customHeight="1" x14ac:dyDescent="0.2">
      <c r="A1825" s="302">
        <v>1820</v>
      </c>
      <c r="B1825" s="5720"/>
      <c r="E1825" s="1291" t="s">
        <v>7184</v>
      </c>
      <c r="F1825" s="772"/>
      <c r="G1825" s="772">
        <v>30</v>
      </c>
      <c r="H1825" s="773">
        <v>1</v>
      </c>
      <c r="I1825" s="773">
        <v>10</v>
      </c>
      <c r="J1825" s="773">
        <f>COUNTIF(Elan!$C$13:$F$25,Tablas!E1825)+COUNTIF(Elan!$U$13:$X$25,Tablas!E1825)</f>
        <v>0</v>
      </c>
      <c r="K1825" s="772"/>
      <c r="L1825" s="5785" t="s">
        <v>7480</v>
      </c>
      <c r="M1825" s="5785"/>
      <c r="N1825" s="5785"/>
      <c r="O1825" s="5785"/>
      <c r="P1825" s="5785"/>
      <c r="Q1825" s="5786"/>
      <c r="R1825" s="1294">
        <f>IF(OR($J1825=0,$J1825="Aprendida"),0,SUM($J$1717:$J1825))</f>
        <v>0</v>
      </c>
      <c r="T1825" s="1458"/>
      <c r="U1825" s="1459"/>
      <c r="V1825" s="1459"/>
      <c r="W1825" s="1459"/>
      <c r="X1825" s="1459"/>
      <c r="Y1825" s="1737"/>
    </row>
    <row r="1826" spans="1:25" ht="12.75" customHeight="1" x14ac:dyDescent="0.2">
      <c r="A1826" s="302">
        <v>1821</v>
      </c>
      <c r="B1826" s="5720"/>
      <c r="E1826" s="1291" t="s">
        <v>7185</v>
      </c>
      <c r="F1826" s="772"/>
      <c r="G1826" s="772">
        <v>40</v>
      </c>
      <c r="H1826" s="773">
        <v>1</v>
      </c>
      <c r="I1826" s="773">
        <v>10</v>
      </c>
      <c r="J1826" s="773">
        <f>COUNTIF(Elan!$C$13:$F$25,Tablas!E1826)+COUNTIF(Elan!$U$13:$X$25,Tablas!E1826)</f>
        <v>0</v>
      </c>
      <c r="K1826" s="772"/>
      <c r="L1826" s="5785" t="s">
        <v>7484</v>
      </c>
      <c r="M1826" s="5785"/>
      <c r="N1826" s="5785"/>
      <c r="O1826" s="5785"/>
      <c r="P1826" s="5785"/>
      <c r="Q1826" s="5786"/>
      <c r="R1826" s="1294">
        <f>IF(OR($J1826=0,$J1826="Aprendida"),0,SUM($J$1717:$J1826))</f>
        <v>0</v>
      </c>
      <c r="T1826" s="1458"/>
      <c r="U1826" s="1459"/>
      <c r="V1826" s="1459"/>
      <c r="W1826" s="1459"/>
      <c r="X1826" s="1459"/>
      <c r="Y1826" s="1737"/>
    </row>
    <row r="1827" spans="1:25" ht="12.75" customHeight="1" x14ac:dyDescent="0.2">
      <c r="A1827" s="302">
        <v>1822</v>
      </c>
      <c r="B1827" s="5720"/>
      <c r="E1827" s="1291" t="s">
        <v>7186</v>
      </c>
      <c r="F1827" s="772"/>
      <c r="G1827" s="772">
        <v>50</v>
      </c>
      <c r="H1827" s="773">
        <v>1</v>
      </c>
      <c r="I1827" s="773">
        <v>5</v>
      </c>
      <c r="J1827" s="773">
        <f>COUNTIF(Elan!$C$13:$F$25,Tablas!E1827)+COUNTIF(Elan!$U$13:$X$25,Tablas!E1827)</f>
        <v>0</v>
      </c>
      <c r="K1827" s="772"/>
      <c r="L1827" s="5785" t="s">
        <v>7487</v>
      </c>
      <c r="M1827" s="5785"/>
      <c r="N1827" s="5785"/>
      <c r="O1827" s="5785"/>
      <c r="P1827" s="5785"/>
      <c r="Q1827" s="5786"/>
      <c r="R1827" s="1294">
        <f>IF(OR($J1827=0,$J1827="Aprendida"),0,SUM($J$1717:$J1827))</f>
        <v>0</v>
      </c>
      <c r="T1827" s="1458"/>
      <c r="U1827" s="1459"/>
      <c r="V1827" s="1459"/>
      <c r="W1827" s="1459"/>
      <c r="X1827" s="1459"/>
      <c r="Y1827" s="1737"/>
    </row>
    <row r="1828" spans="1:25" ht="12.75" customHeight="1" x14ac:dyDescent="0.2">
      <c r="A1828" s="302">
        <v>1823</v>
      </c>
      <c r="B1828" s="5720"/>
      <c r="E1828" s="1291" t="s">
        <v>7187</v>
      </c>
      <c r="F1828" s="772"/>
      <c r="G1828" s="772">
        <v>60</v>
      </c>
      <c r="H1828" s="773">
        <f>IF(J1827,1,0)</f>
        <v>0</v>
      </c>
      <c r="I1828" s="773">
        <v>10</v>
      </c>
      <c r="J1828" s="773">
        <f>COUNTIF(Elan!$C$13:$F$25,Tablas!E1828)+COUNTIF(Elan!$U$13:$X$25,Tablas!E1828)</f>
        <v>0</v>
      </c>
      <c r="K1828" s="772"/>
      <c r="L1828" s="5785" t="s">
        <v>7489</v>
      </c>
      <c r="M1828" s="5785"/>
      <c r="N1828" s="5785"/>
      <c r="O1828" s="5785"/>
      <c r="P1828" s="5785"/>
      <c r="Q1828" s="5786"/>
      <c r="R1828" s="1294">
        <f>IF(OR($J1828=0,$J1828="Aprendida"),0,SUM($J$1717:$J1828))</f>
        <v>0</v>
      </c>
      <c r="T1828" s="1458"/>
      <c r="U1828" s="1459"/>
      <c r="V1828" s="1459"/>
      <c r="W1828" s="1459"/>
      <c r="X1828" s="1459"/>
      <c r="Y1828" s="1737"/>
    </row>
    <row r="1829" spans="1:25" ht="12.75" customHeight="1" x14ac:dyDescent="0.2">
      <c r="A1829" s="302">
        <v>1824</v>
      </c>
      <c r="B1829" s="5720"/>
      <c r="E1829" s="1291" t="s">
        <v>195</v>
      </c>
      <c r="F1829" s="772"/>
      <c r="G1829" s="772">
        <v>60</v>
      </c>
      <c r="H1829" s="773">
        <v>1</v>
      </c>
      <c r="I1829" s="773">
        <v>15</v>
      </c>
      <c r="J1829" s="773">
        <f>COUNTIF(Elan!$C$13:$F$25,Tablas!E1829)+COUNTIF(Elan!$U$13:$X$25,Tablas!E1829)</f>
        <v>0</v>
      </c>
      <c r="K1829" s="772"/>
      <c r="L1829" s="5785" t="s">
        <v>7491</v>
      </c>
      <c r="M1829" s="5785"/>
      <c r="N1829" s="5785"/>
      <c r="O1829" s="5785"/>
      <c r="P1829" s="5785"/>
      <c r="Q1829" s="5786"/>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20"/>
      <c r="E1830" s="1291" t="s">
        <v>7188</v>
      </c>
      <c r="F1830" s="772"/>
      <c r="G1830" s="772">
        <v>70</v>
      </c>
      <c r="H1830" s="773">
        <v>1</v>
      </c>
      <c r="I1830" s="773">
        <v>15</v>
      </c>
      <c r="J1830" s="773">
        <f>COUNTIF(Elan!$C$13:$F$25,Tablas!E1830)+COUNTIF(Elan!$U$13:$X$25,Tablas!E1830)</f>
        <v>0</v>
      </c>
      <c r="K1830" s="772"/>
      <c r="L1830" s="5785" t="s">
        <v>7493</v>
      </c>
      <c r="M1830" s="5785"/>
      <c r="N1830" s="5785"/>
      <c r="O1830" s="5785"/>
      <c r="P1830" s="5785"/>
      <c r="Q1830" s="5786"/>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720"/>
      <c r="E1831" s="1291" t="s">
        <v>7189</v>
      </c>
      <c r="F1831" s="772"/>
      <c r="G1831" s="772">
        <v>70</v>
      </c>
      <c r="H1831" s="773">
        <v>1</v>
      </c>
      <c r="I1831" s="773">
        <v>20</v>
      </c>
      <c r="J1831" s="773">
        <f>COUNTIF(Elan!$C$13:$F$25,Tablas!E1831)+COUNTIF(Elan!$U$13:$X$25,Tablas!E1831)</f>
        <v>0</v>
      </c>
      <c r="K1831" s="772"/>
      <c r="L1831" s="5785" t="s">
        <v>7494</v>
      </c>
      <c r="M1831" s="5785"/>
      <c r="N1831" s="5785"/>
      <c r="O1831" s="5785"/>
      <c r="P1831" s="5785"/>
      <c r="Q1831" s="5786"/>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720"/>
      <c r="E1832" s="1291" t="s">
        <v>7190</v>
      </c>
      <c r="F1832" s="772"/>
      <c r="G1832" s="772">
        <v>80</v>
      </c>
      <c r="H1832" s="773">
        <v>1</v>
      </c>
      <c r="I1832" s="773">
        <v>10</v>
      </c>
      <c r="J1832" s="773">
        <f>COUNTIF(Elan!$C$13:$F$25,Tablas!E1832)+COUNTIF(Elan!$U$13:$X$25,Tablas!E1832)</f>
        <v>0</v>
      </c>
      <c r="K1832" s="772">
        <f>IF(J1832&gt;0,1,0)</f>
        <v>0</v>
      </c>
      <c r="L1832" s="5785" t="s">
        <v>7495</v>
      </c>
      <c r="M1832" s="5785"/>
      <c r="N1832" s="5785"/>
      <c r="O1832" s="5785"/>
      <c r="P1832" s="5785"/>
      <c r="Q1832" s="5786"/>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720"/>
      <c r="E1833" s="1291" t="s">
        <v>7191</v>
      </c>
      <c r="F1833" s="772"/>
      <c r="G1833" s="772">
        <v>90</v>
      </c>
      <c r="H1833" s="773">
        <f>IF(J1828,1,0)</f>
        <v>0</v>
      </c>
      <c r="I1833" s="773">
        <v>15</v>
      </c>
      <c r="J1833" s="773">
        <f>COUNTIF(Elan!$C$13:$F$25,Tablas!E1833)+COUNTIF(Elan!$U$13:$X$25,Tablas!E1833)</f>
        <v>0</v>
      </c>
      <c r="K1833" s="772"/>
      <c r="L1833" s="5785" t="s">
        <v>7496</v>
      </c>
      <c r="M1833" s="5785"/>
      <c r="N1833" s="5785"/>
      <c r="O1833" s="5785"/>
      <c r="P1833" s="5785"/>
      <c r="Q1833" s="5786"/>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720"/>
      <c r="E1834" s="1291" t="s">
        <v>7192</v>
      </c>
      <c r="F1834" s="772"/>
      <c r="G1834" s="772">
        <v>100</v>
      </c>
      <c r="H1834" s="773">
        <v>1</v>
      </c>
      <c r="I1834" s="773">
        <v>10</v>
      </c>
      <c r="J1834" s="773">
        <f>COUNTIF(Elan!$C$13:$F$25,Tablas!E1834)+COUNTIF(Elan!$U$13:$X$25,Tablas!E1834)</f>
        <v>0</v>
      </c>
      <c r="K1834" s="772"/>
      <c r="L1834" s="5785" t="s">
        <v>7497</v>
      </c>
      <c r="M1834" s="5785"/>
      <c r="N1834" s="5785"/>
      <c r="O1834" s="5785"/>
      <c r="P1834" s="5785"/>
      <c r="Q1834" s="5786"/>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720"/>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720"/>
      <c r="E1836" s="1291" t="s">
        <v>7193</v>
      </c>
      <c r="F1836" s="772"/>
      <c r="G1836" s="772">
        <v>10</v>
      </c>
      <c r="H1836" s="773">
        <v>1</v>
      </c>
      <c r="I1836" s="773">
        <v>10</v>
      </c>
      <c r="J1836" s="773">
        <f>COUNTIF(Elan!$C$13:$F$25,Tablas!E1836)+COUNTIF(Elan!$U$13:$X$25,Tablas!E1836)</f>
        <v>0</v>
      </c>
      <c r="K1836" s="772"/>
      <c r="L1836" s="5785" t="s">
        <v>7498</v>
      </c>
      <c r="M1836" s="5785"/>
      <c r="N1836" s="5785"/>
      <c r="O1836" s="5785"/>
      <c r="P1836" s="5785"/>
      <c r="Q1836" s="5786"/>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720"/>
      <c r="E1837" s="1291" t="s">
        <v>7194</v>
      </c>
      <c r="F1837" s="772"/>
      <c r="G1837" s="772">
        <v>20</v>
      </c>
      <c r="H1837" s="773">
        <v>1</v>
      </c>
      <c r="I1837" s="773">
        <v>5</v>
      </c>
      <c r="J1837" s="773">
        <f>COUNTIF(Elan!$C$13:$F$25,Tablas!E1837)+COUNTIF(Elan!$U$13:$X$25,Tablas!E1837)</f>
        <v>0</v>
      </c>
      <c r="K1837" s="772"/>
      <c r="L1837" s="5785" t="s">
        <v>7501</v>
      </c>
      <c r="M1837" s="5785"/>
      <c r="N1837" s="5785"/>
      <c r="O1837" s="5785"/>
      <c r="P1837" s="5785"/>
      <c r="Q1837" s="5786"/>
      <c r="R1837" s="1294">
        <f>IF(OR($J1837=0,$J1837="Aprendida"),0,SUM($J$1717:$J1837))</f>
        <v>0</v>
      </c>
    </row>
    <row r="1838" spans="1:25" ht="12.75" customHeight="1" x14ac:dyDescent="0.2">
      <c r="A1838" s="302">
        <v>1833</v>
      </c>
      <c r="B1838" s="5720"/>
      <c r="E1838" s="1291" t="s">
        <v>7195</v>
      </c>
      <c r="F1838" s="772"/>
      <c r="G1838" s="772">
        <v>30</v>
      </c>
      <c r="H1838" s="773">
        <v>1</v>
      </c>
      <c r="I1838" s="773">
        <v>10</v>
      </c>
      <c r="J1838" s="773">
        <f>COUNTIF(Elan!$C$13:$F$25,Tablas!E1838)+COUNTIF(Elan!$U$13:$X$25,Tablas!E1838)</f>
        <v>0</v>
      </c>
      <c r="K1838" s="772"/>
      <c r="L1838" s="5785" t="s">
        <v>7505</v>
      </c>
      <c r="M1838" s="5785"/>
      <c r="N1838" s="5785"/>
      <c r="O1838" s="5785"/>
      <c r="P1838" s="5785"/>
      <c r="Q1838" s="5786"/>
      <c r="R1838" s="1294">
        <f>IF(OR($J1838=0,$J1838="Aprendida"),0,SUM($J$1717:$J1838))</f>
        <v>0</v>
      </c>
    </row>
    <row r="1839" spans="1:25" ht="12.75" customHeight="1" x14ac:dyDescent="0.2">
      <c r="A1839" s="302">
        <v>1834</v>
      </c>
      <c r="B1839" s="5720"/>
      <c r="E1839" s="1291" t="s">
        <v>7196</v>
      </c>
      <c r="F1839" s="772"/>
      <c r="G1839" s="772">
        <v>40</v>
      </c>
      <c r="H1839" s="773">
        <v>1</v>
      </c>
      <c r="I1839" s="773">
        <v>5</v>
      </c>
      <c r="J1839" s="773">
        <f>COUNTIF(Elan!$C$13:$F$25,Tablas!E1839)+COUNTIF(Elan!$U$13:$X$25,Tablas!E1839)</f>
        <v>0</v>
      </c>
      <c r="K1839" s="772"/>
      <c r="L1839" s="5785" t="s">
        <v>7507</v>
      </c>
      <c r="M1839" s="5785"/>
      <c r="N1839" s="5785"/>
      <c r="O1839" s="5785"/>
      <c r="P1839" s="5785"/>
      <c r="Q1839" s="5786"/>
      <c r="R1839" s="1294">
        <f>IF(OR($J1839=0,$J1839="Aprendida"),0,SUM($J$1717:$J1839))</f>
        <v>0</v>
      </c>
    </row>
    <row r="1840" spans="1:25" ht="12.75" customHeight="1" x14ac:dyDescent="0.2">
      <c r="A1840" s="302">
        <v>1835</v>
      </c>
      <c r="B1840" s="5720"/>
      <c r="E1840" s="1291" t="s">
        <v>7197</v>
      </c>
      <c r="F1840" s="772"/>
      <c r="G1840" s="772">
        <v>50</v>
      </c>
      <c r="H1840" s="773">
        <v>1</v>
      </c>
      <c r="I1840" s="773">
        <v>15</v>
      </c>
      <c r="J1840" s="773">
        <f>COUNTIF(Elan!$C$13:$F$25,Tablas!E1840)+COUNTIF(Elan!$U$13:$X$25,Tablas!E1840)</f>
        <v>0</v>
      </c>
      <c r="K1840" s="772"/>
      <c r="L1840" s="5785" t="s">
        <v>7509</v>
      </c>
      <c r="M1840" s="5785"/>
      <c r="N1840" s="5785"/>
      <c r="O1840" s="5785"/>
      <c r="P1840" s="5785"/>
      <c r="Q1840" s="5786"/>
      <c r="R1840" s="1294">
        <f>IF(OR($J1840=0,$J1840="Aprendida"),0,SUM($J$1717:$J1840))</f>
        <v>0</v>
      </c>
    </row>
    <row r="1841" spans="1:18" ht="12.75" customHeight="1" x14ac:dyDescent="0.2">
      <c r="A1841" s="302">
        <v>1836</v>
      </c>
      <c r="B1841" s="5720"/>
      <c r="E1841" s="1291" t="s">
        <v>7198</v>
      </c>
      <c r="F1841" s="772"/>
      <c r="G1841" s="772">
        <v>60</v>
      </c>
      <c r="H1841" s="773">
        <f>IF(J1839,1,0)</f>
        <v>0</v>
      </c>
      <c r="I1841" s="773">
        <v>10</v>
      </c>
      <c r="J1841" s="773">
        <f>COUNTIF(Elan!$C$13:$F$25,Tablas!E1841)+COUNTIF(Elan!$U$13:$X$25,Tablas!E1841)</f>
        <v>0</v>
      </c>
      <c r="K1841" s="772">
        <f>2*J1841*F1835</f>
        <v>0</v>
      </c>
      <c r="L1841" s="5785" t="s">
        <v>7511</v>
      </c>
      <c r="M1841" s="5785"/>
      <c r="N1841" s="5785"/>
      <c r="O1841" s="5785"/>
      <c r="P1841" s="5785"/>
      <c r="Q1841" s="5786"/>
      <c r="R1841" s="1294">
        <f>IF(OR($J1841=0,$J1841="Aprendida"),0,SUM($J$1717:$J1841))</f>
        <v>0</v>
      </c>
    </row>
    <row r="1842" spans="1:18" ht="12.75" customHeight="1" x14ac:dyDescent="0.2">
      <c r="A1842" s="302">
        <v>1837</v>
      </c>
      <c r="B1842" s="5720"/>
      <c r="E1842" s="1291" t="s">
        <v>7199</v>
      </c>
      <c r="F1842" s="772"/>
      <c r="G1842" s="772">
        <v>70</v>
      </c>
      <c r="H1842" s="773">
        <v>1</v>
      </c>
      <c r="I1842" s="773">
        <v>15</v>
      </c>
      <c r="J1842" s="773">
        <f>COUNTIF(Elan!$C$13:$F$25,Tablas!E1842)+COUNTIF(Elan!$U$13:$X$25,Tablas!E1842)</f>
        <v>0</v>
      </c>
      <c r="K1842" s="772"/>
      <c r="L1842" s="5785" t="s">
        <v>7512</v>
      </c>
      <c r="M1842" s="5785"/>
      <c r="N1842" s="5785"/>
      <c r="O1842" s="5785"/>
      <c r="P1842" s="5785"/>
      <c r="Q1842" s="5786"/>
      <c r="R1842" s="1294">
        <f>IF(OR($J1842=0,$J1842="Aprendida"),0,SUM($J$1717:$J1842))</f>
        <v>0</v>
      </c>
    </row>
    <row r="1843" spans="1:18" ht="12.75" customHeight="1" x14ac:dyDescent="0.2">
      <c r="A1843" s="302">
        <v>1838</v>
      </c>
      <c r="B1843" s="5720"/>
      <c r="E1843" s="1291" t="s">
        <v>7200</v>
      </c>
      <c r="F1843" s="772"/>
      <c r="G1843" s="772">
        <v>80</v>
      </c>
      <c r="H1843" s="773">
        <f>IF(J1839,1,0)</f>
        <v>0</v>
      </c>
      <c r="I1843" s="773">
        <v>10</v>
      </c>
      <c r="J1843" s="773">
        <f>COUNTIF(Elan!$C$13:$F$25,Tablas!E1843)+COUNTIF(Elan!$U$13:$X$25,Tablas!E1843)</f>
        <v>0</v>
      </c>
      <c r="K1843" s="772"/>
      <c r="L1843" s="5785" t="s">
        <v>7513</v>
      </c>
      <c r="M1843" s="5785"/>
      <c r="N1843" s="5785"/>
      <c r="O1843" s="5785"/>
      <c r="P1843" s="5785"/>
      <c r="Q1843" s="5786"/>
      <c r="R1843" s="1294">
        <f>IF(OR($J1843=0,$J1843="Aprendida"),0,SUM($J$1717:$J1843))</f>
        <v>0</v>
      </c>
    </row>
    <row r="1844" spans="1:18" ht="12.75" customHeight="1" x14ac:dyDescent="0.2">
      <c r="A1844" s="302">
        <v>1839</v>
      </c>
      <c r="B1844" s="5720"/>
      <c r="E1844" s="1291" t="s">
        <v>7201</v>
      </c>
      <c r="F1844" s="772"/>
      <c r="G1844" s="772">
        <v>80</v>
      </c>
      <c r="H1844" s="773">
        <v>1</v>
      </c>
      <c r="I1844" s="773">
        <v>15</v>
      </c>
      <c r="J1844" s="773">
        <f>COUNTIF(Elan!$C$13:$F$25,Tablas!E1844)+COUNTIF(Elan!$U$13:$X$25,Tablas!E1844)</f>
        <v>0</v>
      </c>
      <c r="K1844" s="772"/>
      <c r="L1844" s="5785" t="s">
        <v>7514</v>
      </c>
      <c r="M1844" s="5785"/>
      <c r="N1844" s="5785"/>
      <c r="O1844" s="5785"/>
      <c r="P1844" s="5785"/>
      <c r="Q1844" s="5786"/>
      <c r="R1844" s="1294">
        <f>IF(OR($J1844=0,$J1844="Aprendida"),0,SUM($J$1717:$J1844))</f>
        <v>0</v>
      </c>
    </row>
    <row r="1845" spans="1:18" ht="12.75" customHeight="1" x14ac:dyDescent="0.2">
      <c r="A1845" s="302">
        <v>1840</v>
      </c>
      <c r="B1845" s="5720"/>
      <c r="E1845" s="1291" t="s">
        <v>7202</v>
      </c>
      <c r="F1845" s="772"/>
      <c r="G1845" s="772">
        <v>90</v>
      </c>
      <c r="H1845" s="773">
        <v>1</v>
      </c>
      <c r="I1845" s="773">
        <v>15</v>
      </c>
      <c r="J1845" s="773">
        <f>COUNTIF(Elan!$C$13:$F$25,Tablas!E1845)+COUNTIF(Elan!$U$13:$X$25,Tablas!E1845)</f>
        <v>0</v>
      </c>
      <c r="K1845" s="772"/>
      <c r="L1845" s="5785" t="s">
        <v>7515</v>
      </c>
      <c r="M1845" s="5785"/>
      <c r="N1845" s="5785"/>
      <c r="O1845" s="5785"/>
      <c r="P1845" s="5785"/>
      <c r="Q1845" s="5786"/>
      <c r="R1845" s="1294">
        <f>IF(OR($J1845=0,$J1845="Aprendida"),0,SUM($J$1717:$J1845))</f>
        <v>0</v>
      </c>
    </row>
    <row r="1846" spans="1:18" ht="12.75" customHeight="1" x14ac:dyDescent="0.2">
      <c r="A1846" s="302">
        <v>1841</v>
      </c>
      <c r="B1846" s="5720"/>
      <c r="E1846" s="1291" t="s">
        <v>7203</v>
      </c>
      <c r="F1846" s="772"/>
      <c r="G1846" s="772">
        <v>100</v>
      </c>
      <c r="H1846" s="773">
        <v>1</v>
      </c>
      <c r="I1846" s="773">
        <v>10</v>
      </c>
      <c r="J1846" s="773">
        <f>COUNTIF(Elan!$C$13:$F$25,Tablas!E1846)+COUNTIF(Elan!$U$13:$X$25,Tablas!E1846)</f>
        <v>0</v>
      </c>
      <c r="K1846" s="772"/>
      <c r="L1846" s="5785" t="s">
        <v>7516</v>
      </c>
      <c r="M1846" s="5785"/>
      <c r="N1846" s="5785"/>
      <c r="O1846" s="5785"/>
      <c r="P1846" s="5785"/>
      <c r="Q1846" s="5786"/>
      <c r="R1846" s="1294">
        <f>IF(OR($J1846=0,$J1846="Aprendida"),0,SUM($J$1717:$J1846))</f>
        <v>0</v>
      </c>
    </row>
    <row r="1847" spans="1:18" ht="12.75" customHeight="1" x14ac:dyDescent="0.2">
      <c r="A1847" s="302">
        <v>1842</v>
      </c>
      <c r="B1847" s="5720"/>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720"/>
      <c r="E1848" s="1291" t="s">
        <v>7204</v>
      </c>
      <c r="F1848" s="772"/>
      <c r="G1848" s="772">
        <v>10</v>
      </c>
      <c r="H1848" s="773">
        <v>1</v>
      </c>
      <c r="I1848" s="773">
        <v>5</v>
      </c>
      <c r="J1848" s="773">
        <f>COUNTIF(Elan!$C$13:$F$25,Tablas!E1848)+COUNTIF(Elan!$U$13:$X$25,Tablas!E1848)</f>
        <v>0</v>
      </c>
      <c r="K1848" s="772">
        <f>F$1847*J1848</f>
        <v>0</v>
      </c>
      <c r="L1848" s="5785" t="s">
        <v>7517</v>
      </c>
      <c r="M1848" s="5785"/>
      <c r="N1848" s="5785"/>
      <c r="O1848" s="5785"/>
      <c r="P1848" s="5785"/>
      <c r="Q1848" s="5786"/>
      <c r="R1848" s="1294">
        <f>IF(OR($J1848=0,$J1848="Aprendida"),0,SUM($J$1717:$J1848))</f>
        <v>0</v>
      </c>
    </row>
    <row r="1849" spans="1:18" ht="12.75" customHeight="1" x14ac:dyDescent="0.2">
      <c r="A1849" s="302">
        <v>1844</v>
      </c>
      <c r="B1849" s="5720"/>
      <c r="E1849" s="1291" t="s">
        <v>7205</v>
      </c>
      <c r="F1849" s="772"/>
      <c r="G1849" s="772">
        <v>20</v>
      </c>
      <c r="H1849" s="773">
        <v>1</v>
      </c>
      <c r="I1849" s="773">
        <v>10</v>
      </c>
      <c r="J1849" s="773">
        <f>COUNTIF(Elan!$C$13:$F$25,Tablas!E1849)+COUNTIF(Elan!$U$13:$X$25,Tablas!E1849)</f>
        <v>0</v>
      </c>
      <c r="K1849" s="772"/>
      <c r="L1849" s="5785" t="s">
        <v>7521</v>
      </c>
      <c r="M1849" s="5785"/>
      <c r="N1849" s="5785"/>
      <c r="O1849" s="5785"/>
      <c r="P1849" s="5785"/>
      <c r="Q1849" s="5786"/>
      <c r="R1849" s="1294">
        <f>IF(OR($J1849=0,$J1849="Aprendida"),0,SUM($J$1717:$J1849))</f>
        <v>0</v>
      </c>
    </row>
    <row r="1850" spans="1:18" ht="12.75" customHeight="1" x14ac:dyDescent="0.2">
      <c r="A1850" s="302">
        <v>1845</v>
      </c>
      <c r="B1850" s="5720"/>
      <c r="E1850" s="1291" t="s">
        <v>7206</v>
      </c>
      <c r="F1850" s="772"/>
      <c r="G1850" s="772">
        <v>30</v>
      </c>
      <c r="H1850" s="773">
        <v>1</v>
      </c>
      <c r="I1850" s="773">
        <v>10</v>
      </c>
      <c r="J1850" s="773">
        <f>COUNTIF(Elan!$C$13:$F$25,Tablas!E1850)+COUNTIF(Elan!$U$13:$X$25,Tablas!E1850)</f>
        <v>0</v>
      </c>
      <c r="K1850" s="772">
        <f>F$1847*J1850</f>
        <v>0</v>
      </c>
      <c r="L1850" s="5785" t="s">
        <v>7525</v>
      </c>
      <c r="M1850" s="5785"/>
      <c r="N1850" s="5785"/>
      <c r="O1850" s="5785"/>
      <c r="P1850" s="5785"/>
      <c r="Q1850" s="5786"/>
      <c r="R1850" s="1294">
        <f>IF(OR($J1850=0,$J1850="Aprendida"),0,SUM($J$1717:$J1850))</f>
        <v>0</v>
      </c>
    </row>
    <row r="1851" spans="1:18" ht="12.75" customHeight="1" x14ac:dyDescent="0.2">
      <c r="A1851" s="302">
        <v>1846</v>
      </c>
      <c r="B1851" s="5720"/>
      <c r="E1851" s="1291" t="s">
        <v>7207</v>
      </c>
      <c r="F1851" s="772"/>
      <c r="G1851" s="772">
        <v>40</v>
      </c>
      <c r="H1851" s="773">
        <v>1</v>
      </c>
      <c r="I1851" s="773">
        <v>10</v>
      </c>
      <c r="J1851" s="773">
        <f>COUNTIF(Elan!$C$13:$F$25,Tablas!E1851)+COUNTIF(Elan!$U$13:$X$25,Tablas!E1851)</f>
        <v>0</v>
      </c>
      <c r="K1851" s="772"/>
      <c r="L1851" s="5785" t="s">
        <v>7529</v>
      </c>
      <c r="M1851" s="5785"/>
      <c r="N1851" s="5785"/>
      <c r="O1851" s="5785"/>
      <c r="P1851" s="5785"/>
      <c r="Q1851" s="5786"/>
      <c r="R1851" s="1294">
        <f>IF(OR($J1851=0,$J1851="Aprendida"),0,SUM($J$1717:$J1851))</f>
        <v>0</v>
      </c>
    </row>
    <row r="1852" spans="1:18" ht="12.75" customHeight="1" x14ac:dyDescent="0.2">
      <c r="A1852" s="302">
        <v>1847</v>
      </c>
      <c r="B1852" s="5720"/>
      <c r="E1852" s="1291" t="s">
        <v>7208</v>
      </c>
      <c r="F1852" s="772"/>
      <c r="G1852" s="772">
        <v>40</v>
      </c>
      <c r="H1852" s="773">
        <v>1</v>
      </c>
      <c r="I1852" s="773">
        <v>5</v>
      </c>
      <c r="J1852" s="773">
        <f>COUNTIF(Elan!$C$13:$F$25,Tablas!E1852)+COUNTIF(Elan!$U$13:$X$25,Tablas!E1852)</f>
        <v>0</v>
      </c>
      <c r="K1852" s="772"/>
      <c r="L1852" s="5785" t="s">
        <v>7532</v>
      </c>
      <c r="M1852" s="5785"/>
      <c r="N1852" s="5785"/>
      <c r="O1852" s="5785"/>
      <c r="P1852" s="5785"/>
      <c r="Q1852" s="5786"/>
      <c r="R1852" s="1294">
        <f>IF(OR($J1852=0,$J1852="Aprendida"),0,SUM($J$1717:$J1852))</f>
        <v>0</v>
      </c>
    </row>
    <row r="1853" spans="1:18" ht="12.75" customHeight="1" x14ac:dyDescent="0.2">
      <c r="A1853" s="302">
        <v>1848</v>
      </c>
      <c r="B1853" s="5720"/>
      <c r="D1853" s="1002"/>
      <c r="E1853" s="1291" t="s">
        <v>7209</v>
      </c>
      <c r="F1853" s="772"/>
      <c r="G1853" s="772">
        <v>50</v>
      </c>
      <c r="H1853" s="773">
        <f>IF(J1854,1,0)</f>
        <v>0</v>
      </c>
      <c r="I1853" s="773">
        <v>15</v>
      </c>
      <c r="J1853" s="773">
        <f>COUNTIF(Elan!$C$13:$F$25,Tablas!E1853)+COUNTIF(Elan!$U$13:$X$25,Tablas!E1853)</f>
        <v>0</v>
      </c>
      <c r="K1853" s="772"/>
      <c r="L1853" s="5785" t="s">
        <v>7534</v>
      </c>
      <c r="M1853" s="5785"/>
      <c r="N1853" s="5785"/>
      <c r="O1853" s="5785"/>
      <c r="P1853" s="5785"/>
      <c r="Q1853" s="5786"/>
      <c r="R1853" s="1294">
        <f>IF(OR($J1853=0,$J1853="Aprendida"),0,SUM($J$1717:$J1853))</f>
        <v>0</v>
      </c>
    </row>
    <row r="1854" spans="1:18" ht="12.75" customHeight="1" x14ac:dyDescent="0.2">
      <c r="A1854" s="302">
        <v>1849</v>
      </c>
      <c r="B1854" s="5720"/>
      <c r="E1854" s="1291" t="s">
        <v>7210</v>
      </c>
      <c r="F1854" s="772"/>
      <c r="G1854" s="772">
        <v>50</v>
      </c>
      <c r="H1854" s="773">
        <v>1</v>
      </c>
      <c r="I1854" s="773">
        <v>5</v>
      </c>
      <c r="J1854" s="773">
        <f>COUNTIF(Elan!$C$13:$F$25,Tablas!E1854)+COUNTIF(Elan!$U$13:$X$25,Tablas!E1854)</f>
        <v>0</v>
      </c>
      <c r="K1854" s="772"/>
      <c r="L1854" s="5785" t="s">
        <v>7536</v>
      </c>
      <c r="M1854" s="5785"/>
      <c r="N1854" s="5785"/>
      <c r="O1854" s="5785"/>
      <c r="P1854" s="5785"/>
      <c r="Q1854" s="5786"/>
      <c r="R1854" s="1294">
        <f>IF(OR($J1854=0,$J1854="Aprendida"),0,SUM($J$1717:$J1854))</f>
        <v>0</v>
      </c>
    </row>
    <row r="1855" spans="1:18" ht="12.75" customHeight="1" x14ac:dyDescent="0.2">
      <c r="A1855" s="302">
        <v>1850</v>
      </c>
      <c r="B1855" s="5720"/>
      <c r="E1855" s="1291" t="s">
        <v>7211</v>
      </c>
      <c r="F1855" s="772"/>
      <c r="G1855" s="772">
        <v>60</v>
      </c>
      <c r="H1855" s="773">
        <v>1</v>
      </c>
      <c r="I1855" s="773">
        <v>10</v>
      </c>
      <c r="J1855" s="773">
        <f>COUNTIF(Elan!$C$13:$F$25,Tablas!E1855)+COUNTIF(Elan!$U$13:$X$25,Tablas!E1855)</f>
        <v>0</v>
      </c>
      <c r="K1855" s="772"/>
      <c r="L1855" s="5785" t="s">
        <v>7537</v>
      </c>
      <c r="M1855" s="5785"/>
      <c r="N1855" s="5785"/>
      <c r="O1855" s="5785"/>
      <c r="P1855" s="5785"/>
      <c r="Q1855" s="5786"/>
      <c r="R1855" s="1294">
        <f>IF(OR($J1855=0,$J1855="Aprendida"),0,SUM($J$1717:$J1855))</f>
        <v>0</v>
      </c>
    </row>
    <row r="1856" spans="1:18" ht="12.75" customHeight="1" x14ac:dyDescent="0.2">
      <c r="A1856" s="302">
        <v>1851</v>
      </c>
      <c r="B1856" s="5720"/>
      <c r="E1856" s="1291" t="s">
        <v>7212</v>
      </c>
      <c r="F1856" s="772"/>
      <c r="G1856" s="772">
        <v>70</v>
      </c>
      <c r="H1856" s="773">
        <v>1</v>
      </c>
      <c r="I1856" s="773">
        <v>20</v>
      </c>
      <c r="J1856" s="773">
        <f>COUNTIF(Elan!$C$13:$F$25,Tablas!E1856)+COUNTIF(Elan!$U$13:$X$25,Tablas!E1856)</f>
        <v>0</v>
      </c>
      <c r="K1856" s="772"/>
      <c r="L1856" s="5785" t="s">
        <v>7538</v>
      </c>
      <c r="M1856" s="5785"/>
      <c r="N1856" s="5785"/>
      <c r="O1856" s="5785"/>
      <c r="P1856" s="5785"/>
      <c r="Q1856" s="5786"/>
      <c r="R1856" s="1294">
        <f>IF(OR($J1856=0,$J1856="Aprendida"),0,SUM($J$1717:$J1856))</f>
        <v>0</v>
      </c>
    </row>
    <row r="1857" spans="1:18" ht="12.75" customHeight="1" x14ac:dyDescent="0.2">
      <c r="A1857" s="302">
        <v>1852</v>
      </c>
      <c r="B1857" s="5720"/>
      <c r="E1857" s="1291" t="s">
        <v>7213</v>
      </c>
      <c r="F1857" s="772"/>
      <c r="G1857" s="772">
        <v>70</v>
      </c>
      <c r="H1857" s="773">
        <v>1</v>
      </c>
      <c r="I1857" s="773">
        <v>10</v>
      </c>
      <c r="J1857" s="773">
        <f>COUNTIF(Elan!$C$13:$F$25,Tablas!E1857)+COUNTIF(Elan!$U$13:$X$25,Tablas!E1857)</f>
        <v>0</v>
      </c>
      <c r="K1857" s="772"/>
      <c r="L1857" s="5785" t="s">
        <v>7539</v>
      </c>
      <c r="M1857" s="5785"/>
      <c r="N1857" s="5785"/>
      <c r="O1857" s="5785"/>
      <c r="P1857" s="5785"/>
      <c r="Q1857" s="5786"/>
      <c r="R1857" s="1294">
        <f>IF(OR($J1857=0,$J1857="Aprendida"),0,SUM($J$1717:$J1857))</f>
        <v>0</v>
      </c>
    </row>
    <row r="1858" spans="1:18" ht="12.75" customHeight="1" x14ac:dyDescent="0.2">
      <c r="A1858" s="302">
        <v>1853</v>
      </c>
      <c r="B1858" s="5720"/>
      <c r="E1858" s="1291" t="s">
        <v>7214</v>
      </c>
      <c r="F1858" s="772"/>
      <c r="G1858" s="772">
        <v>80</v>
      </c>
      <c r="H1858" s="773">
        <f>IF(J1853,1,0)</f>
        <v>0</v>
      </c>
      <c r="I1858" s="773">
        <v>20</v>
      </c>
      <c r="J1858" s="773">
        <f>COUNTIF(Elan!$C$13:$F$25,Tablas!E1858)+COUNTIF(Elan!$U$13:$X$25,Tablas!E1858)</f>
        <v>0</v>
      </c>
      <c r="K1858" s="772"/>
      <c r="L1858" s="5785" t="s">
        <v>7540</v>
      </c>
      <c r="M1858" s="5785"/>
      <c r="N1858" s="5785"/>
      <c r="O1858" s="5785"/>
      <c r="P1858" s="5785"/>
      <c r="Q1858" s="5786"/>
      <c r="R1858" s="1294">
        <f>IF(OR($J1858=0,$J1858="Aprendida"),0,SUM($J$1717:$J1858))</f>
        <v>0</v>
      </c>
    </row>
    <row r="1859" spans="1:18" ht="12.75" customHeight="1" x14ac:dyDescent="0.2">
      <c r="A1859" s="302">
        <v>1854</v>
      </c>
      <c r="B1859" s="5720"/>
      <c r="E1859" s="1291" t="s">
        <v>736</v>
      </c>
      <c r="F1859" s="772"/>
      <c r="G1859" s="772">
        <v>90</v>
      </c>
      <c r="H1859" s="773">
        <f>IF(J1853,1,0)</f>
        <v>0</v>
      </c>
      <c r="I1859" s="773">
        <v>10</v>
      </c>
      <c r="J1859" s="773">
        <f>COUNTIF(Elan!$C$13:$F$25,Tablas!E1859)+COUNTIF(Elan!$U$13:$X$25,Tablas!E1859)</f>
        <v>0</v>
      </c>
      <c r="K1859" s="772"/>
      <c r="L1859" s="5785" t="s">
        <v>7541</v>
      </c>
      <c r="M1859" s="5785"/>
      <c r="N1859" s="5785"/>
      <c r="O1859" s="5785"/>
      <c r="P1859" s="5785"/>
      <c r="Q1859" s="5786"/>
      <c r="R1859" s="1294">
        <f>IF(OR($J1859=0,$J1859="Aprendida"),0,SUM($J$1717:$J1859))</f>
        <v>0</v>
      </c>
    </row>
    <row r="1860" spans="1:18" ht="12.75" customHeight="1" x14ac:dyDescent="0.2">
      <c r="A1860" s="302">
        <v>1855</v>
      </c>
      <c r="B1860" s="5720"/>
      <c r="E1860" s="1291" t="s">
        <v>7215</v>
      </c>
      <c r="F1860" s="772"/>
      <c r="G1860" s="772">
        <v>100</v>
      </c>
      <c r="H1860" s="773">
        <v>1</v>
      </c>
      <c r="I1860" s="773">
        <v>10</v>
      </c>
      <c r="J1860" s="773">
        <f>COUNTIF(Elan!$C$13:$F$25,Tablas!E1860)+COUNTIF(Elan!$U$13:$X$25,Tablas!E1860)</f>
        <v>0</v>
      </c>
      <c r="K1860" s="772"/>
      <c r="L1860" s="5785" t="s">
        <v>7542</v>
      </c>
      <c r="M1860" s="5785"/>
      <c r="N1860" s="5785"/>
      <c r="O1860" s="5785"/>
      <c r="P1860" s="5785"/>
      <c r="Q1860" s="5786"/>
      <c r="R1860" s="1294">
        <f>IF(OR($J1860=0,$J1860="Aprendida"),0,SUM($J$1717:$J1860))</f>
        <v>0</v>
      </c>
    </row>
    <row r="1861" spans="1:18" ht="12.75" customHeight="1" x14ac:dyDescent="0.2">
      <c r="A1861" s="302">
        <v>1856</v>
      </c>
      <c r="B1861" s="5720"/>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720"/>
      <c r="E1862" s="1291" t="s">
        <v>7216</v>
      </c>
      <c r="F1862" s="772"/>
      <c r="G1862" s="772">
        <v>10</v>
      </c>
      <c r="H1862" s="773">
        <v>1</v>
      </c>
      <c r="I1862" s="773">
        <v>10</v>
      </c>
      <c r="J1862" s="773">
        <f>COUNTIF(Elan!$C$13:$F$25,Tablas!E1862)+COUNTIF(Elan!$U$13:$X$25,Tablas!E1862)</f>
        <v>0</v>
      </c>
      <c r="K1862" s="772"/>
      <c r="L1862" s="5785" t="s">
        <v>7543</v>
      </c>
      <c r="M1862" s="5785"/>
      <c r="N1862" s="5785"/>
      <c r="O1862" s="5785"/>
      <c r="P1862" s="5785"/>
      <c r="Q1862" s="5786"/>
      <c r="R1862" s="1294">
        <f>IF(OR($J1862=0,$J1862="Aprendida"),0,SUM($J$1717:$J1862))</f>
        <v>0</v>
      </c>
    </row>
    <row r="1863" spans="1:18" ht="12.75" customHeight="1" x14ac:dyDescent="0.2">
      <c r="A1863" s="302">
        <v>1858</v>
      </c>
      <c r="B1863" s="5720"/>
      <c r="E1863" s="1291" t="s">
        <v>7217</v>
      </c>
      <c r="F1863" s="772"/>
      <c r="G1863" s="772">
        <v>20</v>
      </c>
      <c r="H1863" s="773">
        <v>1</v>
      </c>
      <c r="I1863" s="773">
        <v>5</v>
      </c>
      <c r="J1863" s="773">
        <f>COUNTIF(Elan!$C$13:$F$25,Tablas!E1863)+COUNTIF(Elan!$U$13:$X$25,Tablas!E1863)</f>
        <v>0</v>
      </c>
      <c r="K1863" s="772"/>
      <c r="L1863" s="5785" t="s">
        <v>7547</v>
      </c>
      <c r="M1863" s="5785"/>
      <c r="N1863" s="5785"/>
      <c r="O1863" s="5785"/>
      <c r="P1863" s="5785"/>
      <c r="Q1863" s="5786"/>
      <c r="R1863" s="1294">
        <f>IF(OR($J1863=0,$J1863="Aprendida"),0,SUM($J$1717:$J1863))</f>
        <v>0</v>
      </c>
    </row>
    <row r="1864" spans="1:18" ht="12.75" customHeight="1" x14ac:dyDescent="0.2">
      <c r="A1864" s="302">
        <v>1859</v>
      </c>
      <c r="B1864" s="5720"/>
      <c r="E1864" s="1291" t="s">
        <v>7218</v>
      </c>
      <c r="F1864" s="772"/>
      <c r="G1864" s="772">
        <v>30</v>
      </c>
      <c r="H1864" s="773">
        <v>1</v>
      </c>
      <c r="I1864" s="773">
        <v>5</v>
      </c>
      <c r="J1864" s="773">
        <f>COUNTIF(Elan!$C$13:$F$25,Tablas!E1864)+COUNTIF(Elan!$U$13:$X$25,Tablas!E1864)</f>
        <v>0</v>
      </c>
      <c r="K1864" s="772"/>
      <c r="L1864" s="5785" t="s">
        <v>7551</v>
      </c>
      <c r="M1864" s="5785"/>
      <c r="N1864" s="5785"/>
      <c r="O1864" s="5785"/>
      <c r="P1864" s="5785"/>
      <c r="Q1864" s="5786"/>
      <c r="R1864" s="1294">
        <f>IF(OR($J1864=0,$J1864="Aprendida"),0,SUM($J$1717:$J1864))</f>
        <v>0</v>
      </c>
    </row>
    <row r="1865" spans="1:18" ht="12.75" customHeight="1" x14ac:dyDescent="0.2">
      <c r="A1865" s="302">
        <v>1860</v>
      </c>
      <c r="B1865" s="5720"/>
      <c r="E1865" s="1291" t="s">
        <v>7219</v>
      </c>
      <c r="F1865" s="772"/>
      <c r="G1865" s="772">
        <v>40</v>
      </c>
      <c r="H1865" s="773">
        <v>1</v>
      </c>
      <c r="I1865" s="773">
        <v>10</v>
      </c>
      <c r="J1865" s="773">
        <f>COUNTIF(Elan!$C$13:$F$25,Tablas!E1865)+COUNTIF(Elan!$U$13:$X$25,Tablas!E1865)</f>
        <v>0</v>
      </c>
      <c r="K1865" s="772"/>
      <c r="L1865" s="5785" t="s">
        <v>7555</v>
      </c>
      <c r="M1865" s="5785"/>
      <c r="N1865" s="5785"/>
      <c r="O1865" s="5785"/>
      <c r="P1865" s="5785"/>
      <c r="Q1865" s="5786"/>
      <c r="R1865" s="1294">
        <f>IF(OR($J1865=0,$J1865="Aprendida"),0,SUM($J$1717:$J1865))</f>
        <v>0</v>
      </c>
    </row>
    <row r="1866" spans="1:18" ht="12.75" customHeight="1" x14ac:dyDescent="0.2">
      <c r="A1866" s="302">
        <v>1861</v>
      </c>
      <c r="B1866" s="5720"/>
      <c r="E1866" s="1291" t="s">
        <v>7220</v>
      </c>
      <c r="F1866" s="772"/>
      <c r="G1866" s="772">
        <v>50</v>
      </c>
      <c r="H1866" s="773">
        <v>1</v>
      </c>
      <c r="I1866" s="773">
        <v>10</v>
      </c>
      <c r="J1866" s="773">
        <f>COUNTIF(Elan!$C$13:$F$25,Tablas!E1866)+COUNTIF(Elan!$U$13:$X$25,Tablas!E1866)</f>
        <v>0</v>
      </c>
      <c r="K1866" s="772"/>
      <c r="L1866" s="5785" t="s">
        <v>7557</v>
      </c>
      <c r="M1866" s="5785"/>
      <c r="N1866" s="5785"/>
      <c r="O1866" s="5785"/>
      <c r="P1866" s="5785"/>
      <c r="Q1866" s="5786"/>
      <c r="R1866" s="1294">
        <f>IF(OR($J1866=0,$J1866="Aprendida"),0,SUM($J$1717:$J1866))</f>
        <v>0</v>
      </c>
    </row>
    <row r="1867" spans="1:18" ht="12.75" customHeight="1" x14ac:dyDescent="0.2">
      <c r="A1867" s="302">
        <v>1862</v>
      </c>
      <c r="B1867" s="5720"/>
      <c r="E1867" s="1291" t="s">
        <v>7221</v>
      </c>
      <c r="F1867" s="772"/>
      <c r="G1867" s="772">
        <v>50</v>
      </c>
      <c r="H1867" s="773">
        <v>1</v>
      </c>
      <c r="I1867" s="773">
        <v>15</v>
      </c>
      <c r="J1867" s="773">
        <f>COUNTIF(Elan!$C$13:$F$25,Tablas!E1867)+COUNTIF(Elan!$U$13:$X$25,Tablas!E1867)</f>
        <v>0</v>
      </c>
      <c r="K1867" s="772"/>
      <c r="L1867" s="5785" t="s">
        <v>7559</v>
      </c>
      <c r="M1867" s="5785"/>
      <c r="N1867" s="5785"/>
      <c r="O1867" s="5785"/>
      <c r="P1867" s="5785"/>
      <c r="Q1867" s="5786"/>
      <c r="R1867" s="1294">
        <f>IF(OR($J1867=0,$J1867="Aprendida"),0,SUM($J$1717:$J1867))</f>
        <v>0</v>
      </c>
    </row>
    <row r="1868" spans="1:18" ht="12.75" customHeight="1" x14ac:dyDescent="0.2">
      <c r="A1868" s="302">
        <v>1863</v>
      </c>
      <c r="B1868" s="5720"/>
      <c r="E1868" s="1291" t="s">
        <v>761</v>
      </c>
      <c r="F1868" s="772"/>
      <c r="G1868" s="772">
        <v>60</v>
      </c>
      <c r="H1868" s="773">
        <v>1</v>
      </c>
      <c r="I1868" s="773">
        <v>10</v>
      </c>
      <c r="J1868" s="773">
        <f>COUNTIF(Elan!$C$13:$F$25,Tablas!E1868)+COUNTIF(Elan!$U$13:$X$25,Tablas!E1868)</f>
        <v>0</v>
      </c>
      <c r="K1868" s="772"/>
      <c r="L1868" s="5785" t="s">
        <v>7560</v>
      </c>
      <c r="M1868" s="5785"/>
      <c r="N1868" s="5785"/>
      <c r="O1868" s="5785"/>
      <c r="P1868" s="5785"/>
      <c r="Q1868" s="5786"/>
      <c r="R1868" s="1294">
        <f>IF(OR($J1868=0,$J1868="Aprendida"),0,SUM($J$1717:$J1868))</f>
        <v>0</v>
      </c>
    </row>
    <row r="1869" spans="1:18" ht="12.75" customHeight="1" x14ac:dyDescent="0.2">
      <c r="A1869" s="302">
        <v>1864</v>
      </c>
      <c r="B1869" s="5720"/>
      <c r="E1869" s="1291" t="s">
        <v>7222</v>
      </c>
      <c r="F1869" s="772"/>
      <c r="G1869" s="772">
        <v>70</v>
      </c>
      <c r="H1869" s="773">
        <f>IF(J1866,1,0)</f>
        <v>0</v>
      </c>
      <c r="I1869" s="773">
        <v>15</v>
      </c>
      <c r="J1869" s="773">
        <f>COUNTIF(Elan!$C$13:$F$25,Tablas!E1869)+COUNTIF(Elan!$U$13:$X$25,Tablas!E1869)</f>
        <v>0</v>
      </c>
      <c r="K1869" s="772"/>
      <c r="L1869" s="5785" t="s">
        <v>7561</v>
      </c>
      <c r="M1869" s="5785"/>
      <c r="N1869" s="5785"/>
      <c r="O1869" s="5785"/>
      <c r="P1869" s="5785"/>
      <c r="Q1869" s="5786"/>
      <c r="R1869" s="1294">
        <f>IF(OR($J1869=0,$J1869="Aprendida"),0,SUM($J$1717:$J1869))</f>
        <v>0</v>
      </c>
    </row>
    <row r="1870" spans="1:18" ht="12.75" customHeight="1" x14ac:dyDescent="0.2">
      <c r="A1870" s="302">
        <v>1865</v>
      </c>
      <c r="B1870" s="5720"/>
      <c r="E1870" s="1291" t="s">
        <v>7223</v>
      </c>
      <c r="F1870" s="772"/>
      <c r="G1870" s="772">
        <v>80</v>
      </c>
      <c r="H1870" s="773">
        <v>1</v>
      </c>
      <c r="I1870" s="773">
        <v>15</v>
      </c>
      <c r="J1870" s="773">
        <f>COUNTIF(Elan!$C$13:$F$25,Tablas!E1870)+COUNTIF(Elan!$U$13:$X$25,Tablas!E1870)</f>
        <v>0</v>
      </c>
      <c r="K1870" s="772"/>
      <c r="L1870" s="5785" t="s">
        <v>7562</v>
      </c>
      <c r="M1870" s="5785"/>
      <c r="N1870" s="5785"/>
      <c r="O1870" s="5785"/>
      <c r="P1870" s="5785"/>
      <c r="Q1870" s="5786"/>
      <c r="R1870" s="1294">
        <f>IF(OR($J1870=0,$J1870="Aprendida"),0,SUM($J$1717:$J1870))</f>
        <v>0</v>
      </c>
    </row>
    <row r="1871" spans="1:18" ht="12.75" customHeight="1" x14ac:dyDescent="0.2">
      <c r="A1871" s="302">
        <v>1866</v>
      </c>
      <c r="B1871" s="5720"/>
      <c r="E1871" s="1291" t="s">
        <v>7224</v>
      </c>
      <c r="F1871" s="772"/>
      <c r="G1871" s="772">
        <v>90</v>
      </c>
      <c r="H1871" s="773">
        <v>1</v>
      </c>
      <c r="I1871" s="773">
        <v>15</v>
      </c>
      <c r="J1871" s="773">
        <f>COUNTIF(Elan!$C$13:$F$25,Tablas!E1871)+COUNTIF(Elan!$U$13:$X$25,Tablas!E1871)</f>
        <v>0</v>
      </c>
      <c r="K1871" s="772"/>
      <c r="L1871" s="5785" t="s">
        <v>7563</v>
      </c>
      <c r="M1871" s="5785"/>
      <c r="N1871" s="5785"/>
      <c r="O1871" s="5785"/>
      <c r="P1871" s="5785"/>
      <c r="Q1871" s="5786"/>
      <c r="R1871" s="1294">
        <f>IF(OR($J1871=0,$J1871="Aprendida"),0,SUM($J$1717:$J1871))</f>
        <v>0</v>
      </c>
    </row>
    <row r="1872" spans="1:18" ht="12.75" customHeight="1" x14ac:dyDescent="0.2">
      <c r="A1872" s="302">
        <v>1867</v>
      </c>
      <c r="B1872" s="5720"/>
      <c r="E1872" s="1291" t="s">
        <v>7225</v>
      </c>
      <c r="F1872" s="772"/>
      <c r="G1872" s="772">
        <v>100</v>
      </c>
      <c r="H1872" s="773">
        <f>IF(J1868,1,0)</f>
        <v>0</v>
      </c>
      <c r="I1872" s="773">
        <v>10</v>
      </c>
      <c r="J1872" s="773">
        <f>COUNTIF(Elan!$C$13:$F$25,Tablas!E1872)+COUNTIF(Elan!$U$13:$X$25,Tablas!E1872)</f>
        <v>0</v>
      </c>
      <c r="K1872" s="772"/>
      <c r="L1872" s="5785" t="s">
        <v>7564</v>
      </c>
      <c r="M1872" s="5785"/>
      <c r="N1872" s="5785"/>
      <c r="O1872" s="5785"/>
      <c r="P1872" s="5785"/>
      <c r="Q1872" s="5786"/>
      <c r="R1872" s="1294">
        <f>IF(OR($J1872=0,$J1872="Aprendida"),0,SUM($J$1717:$J1872))</f>
        <v>0</v>
      </c>
    </row>
    <row r="1873" spans="1:18" ht="12.75" customHeight="1" x14ac:dyDescent="0.2">
      <c r="A1873" s="302">
        <v>1868</v>
      </c>
      <c r="B1873" s="5720"/>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720"/>
      <c r="E1874" s="1291" t="s">
        <v>7226</v>
      </c>
      <c r="F1874" s="772"/>
      <c r="G1874" s="772">
        <v>10</v>
      </c>
      <c r="H1874" s="773">
        <v>1</v>
      </c>
      <c r="I1874" s="773">
        <v>5</v>
      </c>
      <c r="J1874" s="773">
        <f>COUNTIF(Elan!$C$13:$F$25,Tablas!E1874)+COUNTIF(Elan!$U$13:$X$25,Tablas!E1874)</f>
        <v>0</v>
      </c>
      <c r="K1874" s="772"/>
      <c r="L1874" s="5785" t="s">
        <v>7565</v>
      </c>
      <c r="M1874" s="5785"/>
      <c r="N1874" s="5785"/>
      <c r="O1874" s="5785"/>
      <c r="P1874" s="5785"/>
      <c r="Q1874" s="5786"/>
      <c r="R1874" s="1294">
        <f>IF(OR($J1874=0,$J1874="Aprendida"),0,SUM($J$1717:$J1874))</f>
        <v>0</v>
      </c>
    </row>
    <row r="1875" spans="1:18" ht="12.75" customHeight="1" x14ac:dyDescent="0.2">
      <c r="A1875" s="302">
        <v>1870</v>
      </c>
      <c r="B1875" s="5720"/>
      <c r="E1875" s="1291" t="s">
        <v>7227</v>
      </c>
      <c r="F1875" s="772"/>
      <c r="G1875" s="772">
        <v>20</v>
      </c>
      <c r="H1875" s="773">
        <v>1</v>
      </c>
      <c r="I1875" s="773">
        <v>5</v>
      </c>
      <c r="J1875" s="773">
        <f>COUNTIF(Elan!$C$13:$F$25,Tablas!E1875)+COUNTIF(Elan!$U$13:$X$25,Tablas!E1875)</f>
        <v>0</v>
      </c>
      <c r="K1875" s="772"/>
      <c r="L1875" s="5785" t="s">
        <v>7569</v>
      </c>
      <c r="M1875" s="5785"/>
      <c r="N1875" s="5785"/>
      <c r="O1875" s="5785"/>
      <c r="P1875" s="5785"/>
      <c r="Q1875" s="5786"/>
      <c r="R1875" s="1294">
        <f>IF(OR($J1875=0,$J1875="Aprendida"),0,SUM($J$1717:$J1875))</f>
        <v>0</v>
      </c>
    </row>
    <row r="1876" spans="1:18" ht="12.75" customHeight="1" x14ac:dyDescent="0.2">
      <c r="A1876" s="302">
        <v>1871</v>
      </c>
      <c r="B1876" s="5720"/>
      <c r="E1876" s="1291" t="s">
        <v>7228</v>
      </c>
      <c r="F1876" s="772"/>
      <c r="G1876" s="772">
        <v>30</v>
      </c>
      <c r="H1876" s="773">
        <v>1</v>
      </c>
      <c r="I1876" s="773">
        <v>5</v>
      </c>
      <c r="J1876" s="773">
        <f>COUNTIF(Elan!$C$13:$F$25,Tablas!E1876)+COUNTIF(Elan!$U$13:$X$25,Tablas!E1876)</f>
        <v>0</v>
      </c>
      <c r="K1876" s="772">
        <f>F1873*J1876</f>
        <v>0</v>
      </c>
      <c r="L1876" s="5785" t="s">
        <v>7573</v>
      </c>
      <c r="M1876" s="5785"/>
      <c r="N1876" s="5785"/>
      <c r="O1876" s="5785"/>
      <c r="P1876" s="5785"/>
      <c r="Q1876" s="5786"/>
      <c r="R1876" s="1294">
        <f>IF(OR($J1876=0,$J1876="Aprendida"),0,SUM($J$1717:$J1876))</f>
        <v>0</v>
      </c>
    </row>
    <row r="1877" spans="1:18" ht="12.75" customHeight="1" x14ac:dyDescent="0.2">
      <c r="A1877" s="302">
        <v>1872</v>
      </c>
      <c r="B1877" s="5720"/>
      <c r="E1877" s="1291" t="s">
        <v>7229</v>
      </c>
      <c r="F1877" s="772"/>
      <c r="G1877" s="772">
        <v>40</v>
      </c>
      <c r="H1877" s="773">
        <v>1</v>
      </c>
      <c r="I1877" s="773">
        <v>10</v>
      </c>
      <c r="J1877" s="773">
        <f>COUNTIF(Elan!$C$13:$F$25,Tablas!E1877)+COUNTIF(Elan!$U$13:$X$25,Tablas!E1877)</f>
        <v>0</v>
      </c>
      <c r="K1877" s="772"/>
      <c r="L1877" s="5785" t="s">
        <v>7576</v>
      </c>
      <c r="M1877" s="5785"/>
      <c r="N1877" s="5785"/>
      <c r="O1877" s="5785"/>
      <c r="P1877" s="5785"/>
      <c r="Q1877" s="5786"/>
      <c r="R1877" s="1294">
        <f>IF(OR($J1877=0,$J1877="Aprendida"),0,SUM($J$1717:$J1877))</f>
        <v>0</v>
      </c>
    </row>
    <row r="1878" spans="1:18" ht="12.75" customHeight="1" x14ac:dyDescent="0.2">
      <c r="A1878" s="302">
        <v>1873</v>
      </c>
      <c r="B1878" s="5720"/>
      <c r="E1878" s="1291" t="s">
        <v>9143</v>
      </c>
      <c r="F1878" s="772"/>
      <c r="G1878" s="772">
        <v>50</v>
      </c>
      <c r="H1878" s="773">
        <v>1</v>
      </c>
      <c r="I1878" s="773">
        <v>10</v>
      </c>
      <c r="J1878" s="773">
        <f>COUNTIF(Elan!$C$13:$F$25,Tablas!E1878)+COUNTIF(Elan!$U$13:$X$25,Tablas!E1878)</f>
        <v>0</v>
      </c>
      <c r="K1878" s="772"/>
      <c r="L1878" s="5785" t="s">
        <v>7579</v>
      </c>
      <c r="M1878" s="5785"/>
      <c r="N1878" s="5785"/>
      <c r="O1878" s="5785"/>
      <c r="P1878" s="5785"/>
      <c r="Q1878" s="5786"/>
      <c r="R1878" s="1294">
        <f>IF(OR($J1878=0,$J1878="Aprendida"),0,SUM($J$1717:$J1878))</f>
        <v>0</v>
      </c>
    </row>
    <row r="1879" spans="1:18" ht="12.75" customHeight="1" x14ac:dyDescent="0.2">
      <c r="A1879" s="302">
        <v>1874</v>
      </c>
      <c r="B1879" s="5720"/>
      <c r="E1879" s="1291" t="s">
        <v>7230</v>
      </c>
      <c r="F1879" s="772"/>
      <c r="G1879" s="772">
        <v>60</v>
      </c>
      <c r="H1879" s="773">
        <v>1</v>
      </c>
      <c r="I1879" s="773">
        <v>10</v>
      </c>
      <c r="J1879" s="773">
        <f>COUNTIF(Elan!$C$13:$F$25,Tablas!E1879)+COUNTIF(Elan!$U$13:$X$25,Tablas!E1879)</f>
        <v>0</v>
      </c>
      <c r="K1879" s="772"/>
      <c r="L1879" s="5785" t="s">
        <v>7581</v>
      </c>
      <c r="M1879" s="5785"/>
      <c r="N1879" s="5785"/>
      <c r="O1879" s="5785"/>
      <c r="P1879" s="5785"/>
      <c r="Q1879" s="5786"/>
      <c r="R1879" s="1294">
        <f>IF(OR($J1879=0,$J1879="Aprendida"),0,SUM($J$1717:$J1879))</f>
        <v>0</v>
      </c>
    </row>
    <row r="1880" spans="1:18" ht="12.75" customHeight="1" x14ac:dyDescent="0.2">
      <c r="A1880" s="302">
        <v>1875</v>
      </c>
      <c r="B1880" s="5720"/>
      <c r="E1880" s="1291" t="s">
        <v>7231</v>
      </c>
      <c r="F1880" s="772"/>
      <c r="G1880" s="772">
        <v>60</v>
      </c>
      <c r="H1880" s="773">
        <v>1</v>
      </c>
      <c r="I1880" s="773">
        <v>15</v>
      </c>
      <c r="J1880" s="773">
        <f>COUNTIF(Elan!$C$13:$F$25,Tablas!E1880)+COUNTIF(Elan!$U$13:$X$25,Tablas!E1880)</f>
        <v>0</v>
      </c>
      <c r="K1880" s="772"/>
      <c r="L1880" s="5785" t="s">
        <v>7582</v>
      </c>
      <c r="M1880" s="5785"/>
      <c r="N1880" s="5785"/>
      <c r="O1880" s="5785"/>
      <c r="P1880" s="5785"/>
      <c r="Q1880" s="5786"/>
      <c r="R1880" s="1294">
        <f>IF(OR($J1880=0,$J1880="Aprendida"),0,SUM($J$1717:$J1880))</f>
        <v>0</v>
      </c>
    </row>
    <row r="1881" spans="1:18" ht="12.75" customHeight="1" x14ac:dyDescent="0.2">
      <c r="A1881" s="302">
        <v>1876</v>
      </c>
      <c r="B1881" s="5720"/>
      <c r="E1881" s="1291" t="s">
        <v>7232</v>
      </c>
      <c r="F1881" s="772"/>
      <c r="G1881" s="772">
        <v>70</v>
      </c>
      <c r="H1881" s="773">
        <f>IF(J1879,1,0)</f>
        <v>0</v>
      </c>
      <c r="I1881" s="773">
        <v>15</v>
      </c>
      <c r="J1881" s="773">
        <f>COUNTIF(Elan!$C$13:$F$25,Tablas!E1881)+COUNTIF(Elan!$U$13:$X$25,Tablas!E1881)</f>
        <v>0</v>
      </c>
      <c r="K1881" s="772"/>
      <c r="L1881" s="5785" t="s">
        <v>7583</v>
      </c>
      <c r="M1881" s="5785"/>
      <c r="N1881" s="5785"/>
      <c r="O1881" s="5785"/>
      <c r="P1881" s="5785"/>
      <c r="Q1881" s="5786"/>
      <c r="R1881" s="1294">
        <f>IF(OR($J1881=0,$J1881="Aprendida"),0,SUM($J$1717:$J1881))</f>
        <v>0</v>
      </c>
    </row>
    <row r="1882" spans="1:18" ht="12.75" customHeight="1" x14ac:dyDescent="0.2">
      <c r="A1882" s="302">
        <v>1877</v>
      </c>
      <c r="B1882" s="5720"/>
      <c r="E1882" s="1291" t="s">
        <v>7233</v>
      </c>
      <c r="F1882" s="772"/>
      <c r="G1882" s="772">
        <v>80</v>
      </c>
      <c r="H1882" s="773">
        <v>1</v>
      </c>
      <c r="I1882" s="773">
        <v>15</v>
      </c>
      <c r="J1882" s="773">
        <f>COUNTIF(Elan!$C$13:$F$25,Tablas!E1882)+COUNTIF(Elan!$U$13:$X$25,Tablas!E1882)</f>
        <v>0</v>
      </c>
      <c r="K1882" s="772"/>
      <c r="L1882" s="5785" t="s">
        <v>7584</v>
      </c>
      <c r="M1882" s="5785"/>
      <c r="N1882" s="5785"/>
      <c r="O1882" s="5785"/>
      <c r="P1882" s="5785"/>
      <c r="Q1882" s="5786"/>
      <c r="R1882" s="1294">
        <f>IF(OR($J1882=0,$J1882="Aprendida"),0,SUM($J$1717:$J1882))</f>
        <v>0</v>
      </c>
    </row>
    <row r="1883" spans="1:18" ht="12.75" customHeight="1" x14ac:dyDescent="0.2">
      <c r="A1883" s="302">
        <v>1878</v>
      </c>
      <c r="B1883" s="5720"/>
      <c r="E1883" s="1291" t="s">
        <v>7234</v>
      </c>
      <c r="F1883" s="772"/>
      <c r="G1883" s="772">
        <v>90</v>
      </c>
      <c r="H1883" s="773">
        <v>1</v>
      </c>
      <c r="I1883" s="773">
        <v>25</v>
      </c>
      <c r="J1883" s="773">
        <f>COUNTIF(Elan!$C$13:$F$25,Tablas!E1883)+COUNTIF(Elan!$U$13:$X$25,Tablas!E1883)</f>
        <v>0</v>
      </c>
      <c r="K1883" s="772"/>
      <c r="L1883" s="5785" t="s">
        <v>7585</v>
      </c>
      <c r="M1883" s="5785"/>
      <c r="N1883" s="5785"/>
      <c r="O1883" s="5785"/>
      <c r="P1883" s="5785"/>
      <c r="Q1883" s="5786"/>
      <c r="R1883" s="1294">
        <f>IF(OR($J1883=0,$J1883="Aprendida"),0,SUM($J$1717:$J1883))</f>
        <v>0</v>
      </c>
    </row>
    <row r="1884" spans="1:18" ht="12.75" customHeight="1" x14ac:dyDescent="0.2">
      <c r="A1884" s="302">
        <v>1879</v>
      </c>
      <c r="B1884" s="5720"/>
      <c r="E1884" s="1291" t="s">
        <v>7235</v>
      </c>
      <c r="F1884" s="772"/>
      <c r="G1884" s="772">
        <v>100</v>
      </c>
      <c r="H1884" s="773">
        <v>1</v>
      </c>
      <c r="I1884" s="773">
        <v>10</v>
      </c>
      <c r="J1884" s="773">
        <f>COUNTIF(Elan!$C$13:$F$25,Tablas!E1884)+COUNTIF(Elan!$U$13:$X$25,Tablas!E1884)</f>
        <v>0</v>
      </c>
      <c r="K1884" s="772"/>
      <c r="L1884" s="5785" t="s">
        <v>7586</v>
      </c>
      <c r="M1884" s="5785"/>
      <c r="N1884" s="5785"/>
      <c r="O1884" s="5785"/>
      <c r="P1884" s="5785"/>
      <c r="Q1884" s="5786"/>
      <c r="R1884" s="1294">
        <f>IF(OR($J1884=0,$J1884="Aprendida"),0,SUM($J$1717:$J1884))</f>
        <v>0</v>
      </c>
    </row>
    <row r="1885" spans="1:18" ht="12.75" customHeight="1" x14ac:dyDescent="0.2">
      <c r="A1885" s="302">
        <v>1880</v>
      </c>
      <c r="B1885" s="5720"/>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720"/>
      <c r="E1886" s="1291" t="s">
        <v>7236</v>
      </c>
      <c r="F1886" s="772"/>
      <c r="G1886" s="772">
        <v>10</v>
      </c>
      <c r="H1886" s="773">
        <v>1</v>
      </c>
      <c r="I1886" s="773">
        <v>5</v>
      </c>
      <c r="J1886" s="773">
        <f>COUNTIF(Elan!$C$13:$F$25,Tablas!E1886)+COUNTIF(Elan!$U$13:$X$25,Tablas!E1886)</f>
        <v>0</v>
      </c>
      <c r="K1886" s="772">
        <f>F1885*J1886</f>
        <v>0</v>
      </c>
      <c r="L1886" s="5785" t="s">
        <v>7587</v>
      </c>
      <c r="M1886" s="5785"/>
      <c r="N1886" s="5785"/>
      <c r="O1886" s="5785"/>
      <c r="P1886" s="5785"/>
      <c r="Q1886" s="5786"/>
      <c r="R1886" s="1294">
        <f>IF(OR($J1886=0,$J1886="Aprendida"),0,SUM($J$1717:$J1886))</f>
        <v>0</v>
      </c>
    </row>
    <row r="1887" spans="1:18" ht="12.75" customHeight="1" x14ac:dyDescent="0.2">
      <c r="A1887" s="302">
        <v>1882</v>
      </c>
      <c r="B1887" s="5720"/>
      <c r="E1887" s="1291" t="s">
        <v>7237</v>
      </c>
      <c r="F1887" s="772"/>
      <c r="G1887" s="772">
        <v>20</v>
      </c>
      <c r="H1887" s="773">
        <v>1</v>
      </c>
      <c r="I1887" s="773">
        <v>5</v>
      </c>
      <c r="J1887" s="773">
        <f>COUNTIF(Elan!$C$13:$F$25,Tablas!E1887)+COUNTIF(Elan!$U$13:$X$25,Tablas!E1887)</f>
        <v>0</v>
      </c>
      <c r="K1887" s="772"/>
      <c r="L1887" s="5785" t="s">
        <v>7591</v>
      </c>
      <c r="M1887" s="5785"/>
      <c r="N1887" s="5785"/>
      <c r="O1887" s="5785"/>
      <c r="P1887" s="5785"/>
      <c r="Q1887" s="5786"/>
      <c r="R1887" s="1294">
        <f>IF(OR($J1887=0,$J1887="Aprendida"),0,SUM($J$1717:$J1887))</f>
        <v>0</v>
      </c>
    </row>
    <row r="1888" spans="1:18" ht="12.75" customHeight="1" x14ac:dyDescent="0.2">
      <c r="A1888" s="302">
        <v>1883</v>
      </c>
      <c r="B1888" s="5720"/>
      <c r="E1888" s="1291" t="s">
        <v>7238</v>
      </c>
      <c r="F1888" s="772"/>
      <c r="G1888" s="772">
        <v>30</v>
      </c>
      <c r="H1888" s="773">
        <v>1</v>
      </c>
      <c r="I1888" s="773">
        <v>10</v>
      </c>
      <c r="J1888" s="773">
        <f>COUNTIF(Elan!$C$13:$F$25,Tablas!E1888)+COUNTIF(Elan!$U$13:$X$25,Tablas!E1888)</f>
        <v>0</v>
      </c>
      <c r="K1888" s="772"/>
      <c r="L1888" s="5785" t="s">
        <v>7595</v>
      </c>
      <c r="M1888" s="5785"/>
      <c r="N1888" s="5785"/>
      <c r="O1888" s="5785"/>
      <c r="P1888" s="5785"/>
      <c r="Q1888" s="5786"/>
      <c r="R1888" s="1294">
        <f>IF(OR($J1888=0,$J1888="Aprendida"),0,SUM($J$1717:$J1888))</f>
        <v>0</v>
      </c>
    </row>
    <row r="1889" spans="1:18" ht="12.75" customHeight="1" x14ac:dyDescent="0.2">
      <c r="A1889" s="302">
        <v>1884</v>
      </c>
      <c r="B1889" s="5720"/>
      <c r="E1889" s="1291" t="s">
        <v>7239</v>
      </c>
      <c r="F1889" s="772"/>
      <c r="G1889" s="772">
        <v>30</v>
      </c>
      <c r="H1889" s="773">
        <v>1</v>
      </c>
      <c r="I1889" s="773">
        <v>5</v>
      </c>
      <c r="J1889" s="773">
        <f>COUNTIF(Elan!$C$13:$F$25,Tablas!E1889)+COUNTIF(Elan!$U$13:$X$25,Tablas!E1889)</f>
        <v>0</v>
      </c>
      <c r="K1889" s="772"/>
      <c r="L1889" s="5785" t="s">
        <v>7597</v>
      </c>
      <c r="M1889" s="5785"/>
      <c r="N1889" s="5785"/>
      <c r="O1889" s="5785"/>
      <c r="P1889" s="5785"/>
      <c r="Q1889" s="5786"/>
      <c r="R1889" s="1294">
        <f>IF(OR($J1889=0,$J1889="Aprendida"),0,SUM($J$1717:$J1889))</f>
        <v>0</v>
      </c>
    </row>
    <row r="1890" spans="1:18" ht="12.75" customHeight="1" x14ac:dyDescent="0.2">
      <c r="A1890" s="302">
        <v>1885</v>
      </c>
      <c r="B1890" s="5720"/>
      <c r="E1890" s="1291" t="s">
        <v>7240</v>
      </c>
      <c r="F1890" s="772"/>
      <c r="G1890" s="772">
        <v>40</v>
      </c>
      <c r="H1890" s="773">
        <v>1</v>
      </c>
      <c r="I1890" s="773">
        <v>10</v>
      </c>
      <c r="J1890" s="773">
        <f>COUNTIF(Elan!$C$13:$F$25,Tablas!E1890)+COUNTIF(Elan!$U$13:$X$25,Tablas!E1890)</f>
        <v>0</v>
      </c>
      <c r="K1890" s="772"/>
      <c r="L1890" s="5785" t="s">
        <v>7598</v>
      </c>
      <c r="M1890" s="5785"/>
      <c r="N1890" s="5785"/>
      <c r="O1890" s="5785"/>
      <c r="P1890" s="5785"/>
      <c r="Q1890" s="5786"/>
      <c r="R1890" s="1294">
        <f>IF(OR($J1890=0,$J1890="Aprendida"),0,SUM($J$1717:$J1890))</f>
        <v>0</v>
      </c>
    </row>
    <row r="1891" spans="1:18" ht="12.75" customHeight="1" x14ac:dyDescent="0.2">
      <c r="A1891" s="302">
        <v>1886</v>
      </c>
      <c r="B1891" s="5720"/>
      <c r="E1891" s="1291" t="s">
        <v>7241</v>
      </c>
      <c r="F1891" s="772"/>
      <c r="G1891" s="772">
        <v>40</v>
      </c>
      <c r="H1891" s="773">
        <v>1</v>
      </c>
      <c r="I1891" s="773">
        <v>10</v>
      </c>
      <c r="J1891" s="773">
        <f>COUNTIF(Elan!$C$13:$F$25,Tablas!E1891)+COUNTIF(Elan!$U$13:$X$25,Tablas!E1891)</f>
        <v>0</v>
      </c>
      <c r="K1891" s="772"/>
      <c r="L1891" s="5785" t="s">
        <v>7599</v>
      </c>
      <c r="M1891" s="5785"/>
      <c r="N1891" s="5785"/>
      <c r="O1891" s="5785"/>
      <c r="P1891" s="5785"/>
      <c r="Q1891" s="5786"/>
      <c r="R1891" s="1294">
        <f>IF(OR($J1891=0,$J1891="Aprendida"),0,SUM($J$1717:$J1891))</f>
        <v>0</v>
      </c>
    </row>
    <row r="1892" spans="1:18" ht="12.75" customHeight="1" x14ac:dyDescent="0.2">
      <c r="A1892" s="302">
        <v>1887</v>
      </c>
      <c r="B1892" s="5720"/>
      <c r="E1892" s="1291" t="s">
        <v>7242</v>
      </c>
      <c r="F1892" s="772"/>
      <c r="G1892" s="772">
        <v>50</v>
      </c>
      <c r="H1892" s="773">
        <v>1</v>
      </c>
      <c r="I1892" s="773">
        <v>10</v>
      </c>
      <c r="J1892" s="773">
        <f>COUNTIF(Elan!$C$13:$F$25,Tablas!E1892)+COUNTIF(Elan!$U$13:$X$25,Tablas!E1892)</f>
        <v>0</v>
      </c>
      <c r="K1892" s="772"/>
      <c r="L1892" s="5785" t="s">
        <v>7600</v>
      </c>
      <c r="M1892" s="5785"/>
      <c r="N1892" s="5785"/>
      <c r="O1892" s="5785"/>
      <c r="P1892" s="5785"/>
      <c r="Q1892" s="5786"/>
      <c r="R1892" s="1294">
        <f>IF(OR($J1892=0,$J1892="Aprendida"),0,SUM($J$1717:$J1892))</f>
        <v>0</v>
      </c>
    </row>
    <row r="1893" spans="1:18" ht="12.75" customHeight="1" x14ac:dyDescent="0.2">
      <c r="A1893" s="302">
        <v>1888</v>
      </c>
      <c r="B1893" s="5720"/>
      <c r="E1893" s="1291" t="s">
        <v>7243</v>
      </c>
      <c r="F1893" s="772"/>
      <c r="G1893" s="772">
        <v>60</v>
      </c>
      <c r="H1893" s="773">
        <v>1</v>
      </c>
      <c r="I1893" s="773">
        <v>10</v>
      </c>
      <c r="J1893" s="773">
        <f>COUNTIF(Elan!$C$13:$F$25,Tablas!E1893)+COUNTIF(Elan!$U$13:$X$25,Tablas!E1893)</f>
        <v>0</v>
      </c>
      <c r="K1893" s="772"/>
      <c r="L1893" s="5785" t="s">
        <v>7601</v>
      </c>
      <c r="M1893" s="5785"/>
      <c r="N1893" s="5785"/>
      <c r="O1893" s="5785"/>
      <c r="P1893" s="5785"/>
      <c r="Q1893" s="5786"/>
      <c r="R1893" s="1294">
        <f>IF(OR($J1893=0,$J1893="Aprendida"),0,SUM($J$1717:$J1893))</f>
        <v>0</v>
      </c>
    </row>
    <row r="1894" spans="1:18" ht="12.75" customHeight="1" x14ac:dyDescent="0.2">
      <c r="A1894" s="302">
        <v>1889</v>
      </c>
      <c r="B1894" s="5720"/>
      <c r="E1894" s="1291" t="s">
        <v>7244</v>
      </c>
      <c r="F1894" s="772"/>
      <c r="G1894" s="772">
        <v>60</v>
      </c>
      <c r="H1894" s="773">
        <f>IF(J1890,1,0)</f>
        <v>0</v>
      </c>
      <c r="I1894" s="773">
        <v>15</v>
      </c>
      <c r="J1894" s="773">
        <f>COUNTIF(Elan!$C$13:$F$25,Tablas!E1894)+COUNTIF(Elan!$U$13:$X$25,Tablas!E1894)</f>
        <v>0</v>
      </c>
      <c r="K1894" s="772"/>
      <c r="L1894" s="5785" t="s">
        <v>7602</v>
      </c>
      <c r="M1894" s="5785"/>
      <c r="N1894" s="5785"/>
      <c r="O1894" s="5785"/>
      <c r="P1894" s="5785"/>
      <c r="Q1894" s="5786"/>
      <c r="R1894" s="1294">
        <f>IF(OR($J1894=0,$J1894="Aprendida"),0,SUM($J$1717:$J1894))</f>
        <v>0</v>
      </c>
    </row>
    <row r="1895" spans="1:18" ht="12.75" customHeight="1" x14ac:dyDescent="0.2">
      <c r="A1895" s="302">
        <v>1890</v>
      </c>
      <c r="B1895" s="5720"/>
      <c r="E1895" s="1291" t="s">
        <v>7245</v>
      </c>
      <c r="F1895" s="772"/>
      <c r="G1895" s="772">
        <v>70</v>
      </c>
      <c r="H1895" s="773">
        <v>1</v>
      </c>
      <c r="I1895" s="773">
        <v>10</v>
      </c>
      <c r="J1895" s="773">
        <f>COUNTIF(Elan!$C$13:$F$25,Tablas!E1895)+COUNTIF(Elan!$U$13:$X$25,Tablas!E1895)</f>
        <v>0</v>
      </c>
      <c r="K1895" s="772"/>
      <c r="L1895" s="5785" t="s">
        <v>7603</v>
      </c>
      <c r="M1895" s="5785"/>
      <c r="N1895" s="5785"/>
      <c r="O1895" s="5785"/>
      <c r="P1895" s="5785"/>
      <c r="Q1895" s="5786"/>
      <c r="R1895" s="1294">
        <f>IF(OR($J1895=0,$J1895="Aprendida"),0,SUM($J$1717:$J1895))</f>
        <v>0</v>
      </c>
    </row>
    <row r="1896" spans="1:18" ht="12.75" customHeight="1" x14ac:dyDescent="0.2">
      <c r="A1896" s="302">
        <v>1891</v>
      </c>
      <c r="B1896" s="5720"/>
      <c r="E1896" s="1291" t="s">
        <v>7246</v>
      </c>
      <c r="F1896" s="772"/>
      <c r="G1896" s="772">
        <v>80</v>
      </c>
      <c r="H1896" s="773">
        <f>IF(J1893,1,0)</f>
        <v>0</v>
      </c>
      <c r="I1896" s="773">
        <v>10</v>
      </c>
      <c r="J1896" s="773">
        <f>COUNTIF(Elan!$C$13:$F$25,Tablas!E1896)+COUNTIF(Elan!$U$13:$X$25,Tablas!E1896)</f>
        <v>0</v>
      </c>
      <c r="K1896" s="772"/>
      <c r="L1896" s="5785" t="s">
        <v>7604</v>
      </c>
      <c r="M1896" s="5785"/>
      <c r="N1896" s="5785"/>
      <c r="O1896" s="5785"/>
      <c r="P1896" s="5785"/>
      <c r="Q1896" s="5786"/>
      <c r="R1896" s="1294">
        <f>IF(OR($J1896=0,$J1896="Aprendida"),0,SUM($J$1717:$J1896))</f>
        <v>0</v>
      </c>
    </row>
    <row r="1897" spans="1:18" ht="12.75" customHeight="1" x14ac:dyDescent="0.2">
      <c r="A1897" s="302">
        <v>1892</v>
      </c>
      <c r="B1897" s="5720"/>
      <c r="E1897" s="1291" t="s">
        <v>7247</v>
      </c>
      <c r="F1897" s="772"/>
      <c r="G1897" s="772">
        <v>90</v>
      </c>
      <c r="H1897" s="773">
        <v>1</v>
      </c>
      <c r="I1897" s="773">
        <v>15</v>
      </c>
      <c r="J1897" s="773">
        <f>COUNTIF(Elan!$C$13:$F$25,Tablas!E1897)+COUNTIF(Elan!$U$13:$X$25,Tablas!E1897)</f>
        <v>0</v>
      </c>
      <c r="K1897" s="772"/>
      <c r="L1897" s="5785" t="s">
        <v>7605</v>
      </c>
      <c r="M1897" s="5785"/>
      <c r="N1897" s="5785"/>
      <c r="O1897" s="5785"/>
      <c r="P1897" s="5785"/>
      <c r="Q1897" s="5786"/>
      <c r="R1897" s="1294">
        <f>IF(OR($J1897=0,$J1897="Aprendida"),0,SUM($J$1717:$J1897))</f>
        <v>0</v>
      </c>
    </row>
    <row r="1898" spans="1:18" ht="12.75" customHeight="1" thickBot="1" x14ac:dyDescent="0.25">
      <c r="A1898" s="302">
        <v>1893</v>
      </c>
      <c r="B1898" s="5720"/>
      <c r="E1898" s="1291" t="s">
        <v>7248</v>
      </c>
      <c r="F1898" s="776"/>
      <c r="G1898" s="776">
        <v>100</v>
      </c>
      <c r="H1898" s="777">
        <f>IF(J1892,1,0)</f>
        <v>0</v>
      </c>
      <c r="I1898" s="777">
        <v>10</v>
      </c>
      <c r="J1898" s="776">
        <f>COUNTIF(Elan!$C$13:$F$25,Tablas!E1898)+COUNTIF(Elan!$U$13:$X$25,Tablas!E1898)</f>
        <v>0</v>
      </c>
      <c r="K1898" s="776"/>
      <c r="L1898" s="5785" t="s">
        <v>7606</v>
      </c>
      <c r="M1898" s="5785"/>
      <c r="N1898" s="5785"/>
      <c r="O1898" s="5785"/>
      <c r="P1898" s="5785"/>
      <c r="Q1898" s="5786"/>
      <c r="R1898" s="1294">
        <f>IF(OR($J1898=0,$J1898="Aprendida"),0,SUM($J$1717:$J1898))</f>
        <v>0</v>
      </c>
    </row>
    <row r="1899" spans="1:18" ht="12.75" customHeight="1" x14ac:dyDescent="0.2">
      <c r="A1899" s="302">
        <v>1894</v>
      </c>
      <c r="B1899" s="5720"/>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720"/>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785">
        <f>IF(E1900="Poder no definido",0,VLOOKUP(E1900,Personalización!$D$74:$Q$89,6,FALSE))</f>
        <v>0</v>
      </c>
      <c r="M1900" s="5785"/>
      <c r="N1900" s="5785"/>
      <c r="O1900" s="5785"/>
      <c r="P1900" s="5785"/>
      <c r="Q1900" s="5786"/>
      <c r="R1900" s="1294">
        <f>IF(OR($J1900=0,$J1900="Aprendida"),0,SUM($J$1717:$J1900))</f>
        <v>0</v>
      </c>
    </row>
    <row r="1901" spans="1:18" ht="12.75" customHeight="1" x14ac:dyDescent="0.2">
      <c r="A1901" s="302">
        <v>1896</v>
      </c>
      <c r="B1901" s="5720"/>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785">
        <f>IF(E1901="Poder no definido",0,VLOOKUP(E1901,Personalización!$D$74:$Q$89,6,FALSE))</f>
        <v>0</v>
      </c>
      <c r="M1901" s="5785"/>
      <c r="N1901" s="5785"/>
      <c r="O1901" s="5785"/>
      <c r="P1901" s="5785"/>
      <c r="Q1901" s="5786"/>
      <c r="R1901" s="1294">
        <f>IF(OR($J1901=0,$J1901="Aprendida"),0,SUM($J$1717:$J1901))</f>
        <v>0</v>
      </c>
    </row>
    <row r="1902" spans="1:18" ht="12.75" customHeight="1" x14ac:dyDescent="0.2">
      <c r="A1902" s="302">
        <v>1897</v>
      </c>
      <c r="B1902" s="5720"/>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785">
        <f>IF(E1902="Poder no definido",0,VLOOKUP(E1902,Personalización!$D$74:$Q$89,6,FALSE))</f>
        <v>0</v>
      </c>
      <c r="M1902" s="5785"/>
      <c r="N1902" s="5785"/>
      <c r="O1902" s="5785"/>
      <c r="P1902" s="5785"/>
      <c r="Q1902" s="5786"/>
      <c r="R1902" s="1294">
        <f>IF(OR($J1902=0,$J1902="Aprendida"),0,SUM($J$1717:$J1902))</f>
        <v>0</v>
      </c>
    </row>
    <row r="1903" spans="1:18" ht="12.75" customHeight="1" x14ac:dyDescent="0.2">
      <c r="A1903" s="302">
        <v>1898</v>
      </c>
      <c r="B1903" s="5720"/>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785">
        <f>IF(E1903="Poder no definido",0,VLOOKUP(E1903,Personalización!$D$74:$Q$89,6,FALSE))</f>
        <v>0</v>
      </c>
      <c r="M1903" s="5785"/>
      <c r="N1903" s="5785"/>
      <c r="O1903" s="5785"/>
      <c r="P1903" s="5785"/>
      <c r="Q1903" s="5786"/>
      <c r="R1903" s="1294">
        <f>IF(OR($J1903=0,$J1903="Aprendida"),0,SUM($J$1717:$J1903))</f>
        <v>0</v>
      </c>
    </row>
    <row r="1904" spans="1:18" ht="12.75" customHeight="1" x14ac:dyDescent="0.2">
      <c r="A1904" s="302">
        <v>1899</v>
      </c>
      <c r="B1904" s="5720"/>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785">
        <f>IF(E1904="Poder no definido",0,VLOOKUP(E1904,Personalización!$D$74:$Q$89,6,FALSE))</f>
        <v>0</v>
      </c>
      <c r="M1904" s="5785"/>
      <c r="N1904" s="5785"/>
      <c r="O1904" s="5785"/>
      <c r="P1904" s="5785"/>
      <c r="Q1904" s="5786"/>
      <c r="R1904" s="1294">
        <f>IF(OR($J1904=0,$J1904="Aprendida"),0,SUM($J$1717:$J1904))</f>
        <v>0</v>
      </c>
    </row>
    <row r="1905" spans="1:41" ht="12.75" customHeight="1" x14ac:dyDescent="0.2">
      <c r="A1905" s="302">
        <v>1900</v>
      </c>
      <c r="B1905" s="5720"/>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785">
        <f>IF(E1905="Poder no definido",0,VLOOKUP(E1905,Personalización!$D$74:$Q$89,6,FALSE))</f>
        <v>0</v>
      </c>
      <c r="M1905" s="5785"/>
      <c r="N1905" s="5785"/>
      <c r="O1905" s="5785"/>
      <c r="P1905" s="5785"/>
      <c r="Q1905" s="5786"/>
      <c r="R1905" s="1294">
        <f>IF(OR($J1905=0,$J1905="Aprendida"),0,SUM($J$1717:$J1905))</f>
        <v>0</v>
      </c>
    </row>
    <row r="1906" spans="1:41" ht="12.75" customHeight="1" x14ac:dyDescent="0.2">
      <c r="A1906" s="302">
        <v>1901</v>
      </c>
      <c r="B1906" s="5720"/>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785">
        <f>IF(E1906="Poder no definido",0,VLOOKUP(E1906,Personalización!$D$74:$Q$89,6,FALSE))</f>
        <v>0</v>
      </c>
      <c r="M1906" s="5785"/>
      <c r="N1906" s="5785"/>
      <c r="O1906" s="5785"/>
      <c r="P1906" s="5785"/>
      <c r="Q1906" s="5786"/>
      <c r="R1906" s="1294">
        <f>IF(OR($J1906=0,$J1906="Aprendida"),0,SUM($J$1717:$J1906))</f>
        <v>0</v>
      </c>
    </row>
    <row r="1907" spans="1:41" ht="12.75" customHeight="1" x14ac:dyDescent="0.2">
      <c r="A1907" s="302">
        <v>1902</v>
      </c>
      <c r="B1907" s="5720"/>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785">
        <f>IF(E1907="Poder no definido",0,VLOOKUP(E1907,Personalización!$D$74:$Q$89,6,FALSE))</f>
        <v>0</v>
      </c>
      <c r="M1907" s="5785"/>
      <c r="N1907" s="5785"/>
      <c r="O1907" s="5785"/>
      <c r="P1907" s="5785"/>
      <c r="Q1907" s="5786"/>
      <c r="R1907" s="1294">
        <f>IF(OR($J1907=0,$J1907="Aprendida"),0,SUM($J$1717:$J1907))</f>
        <v>0</v>
      </c>
    </row>
    <row r="1908" spans="1:41" ht="12.75" customHeight="1" x14ac:dyDescent="0.2">
      <c r="A1908" s="302">
        <v>1903</v>
      </c>
      <c r="B1908" s="5720"/>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785">
        <f>IF(E1908="Poder no definido",0,VLOOKUP(E1908,Personalización!$D$74:$Q$89,6,FALSE))</f>
        <v>0</v>
      </c>
      <c r="M1908" s="5785"/>
      <c r="N1908" s="5785"/>
      <c r="O1908" s="5785"/>
      <c r="P1908" s="5785"/>
      <c r="Q1908" s="5786"/>
      <c r="R1908" s="1294">
        <f>IF(OR($J1908=0,$J1908="Aprendida"),0,SUM($J$1717:$J1908))</f>
        <v>0</v>
      </c>
      <c r="S1908" s="1118"/>
    </row>
    <row r="1909" spans="1:41" ht="12.75" customHeight="1" x14ac:dyDescent="0.2">
      <c r="A1909" s="302">
        <v>1904</v>
      </c>
      <c r="B1909" s="5720"/>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785">
        <f>IF(E1909="Poder no definido",0,VLOOKUP(E1909,Personalización!$D$74:$Q$89,6,FALSE))</f>
        <v>0</v>
      </c>
      <c r="M1909" s="5785"/>
      <c r="N1909" s="5785"/>
      <c r="O1909" s="5785"/>
      <c r="P1909" s="5785"/>
      <c r="Q1909" s="5786"/>
      <c r="R1909" s="1294">
        <f>IF(OR($J1909=0,$J1909="Aprendida"),0,SUM($J$1717:$J1909))</f>
        <v>0</v>
      </c>
      <c r="S1909" s="1118"/>
    </row>
    <row r="1910" spans="1:41" ht="12.75" customHeight="1" x14ac:dyDescent="0.2">
      <c r="A1910" s="302">
        <v>1905</v>
      </c>
      <c r="B1910" s="5720"/>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785">
        <f>IF(E1910="Poder no definido",0,VLOOKUP(E1910,Personalización!$D$74:$Q$89,6,FALSE))</f>
        <v>0</v>
      </c>
      <c r="M1910" s="5785"/>
      <c r="N1910" s="5785"/>
      <c r="O1910" s="5785"/>
      <c r="P1910" s="5785"/>
      <c r="Q1910" s="5786"/>
      <c r="R1910" s="1294">
        <f>IF(OR($J1910=0,$J1910="Aprendida"),0,SUM($J$1717:$J1910))</f>
        <v>0</v>
      </c>
      <c r="S1910" s="1118"/>
    </row>
    <row r="1911" spans="1:41" ht="12.75" customHeight="1" x14ac:dyDescent="0.2">
      <c r="A1911" s="302">
        <v>1906</v>
      </c>
      <c r="B1911" s="5720"/>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785">
        <f>IF(E1911="Poder no definido",0,VLOOKUP(E1911,Personalización!$D$74:$Q$89,6,FALSE))</f>
        <v>0</v>
      </c>
      <c r="M1911" s="5785"/>
      <c r="N1911" s="5785"/>
      <c r="O1911" s="5785"/>
      <c r="P1911" s="5785"/>
      <c r="Q1911" s="5786"/>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20"/>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785">
        <f>IF(E1912="Poder no definido",0,VLOOKUP(E1912,Personalización!$D$74:$Q$89,6,FALSE))</f>
        <v>0</v>
      </c>
      <c r="M1912" s="5785"/>
      <c r="N1912" s="5785"/>
      <c r="O1912" s="5785"/>
      <c r="P1912" s="5785"/>
      <c r="Q1912" s="5786"/>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20"/>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785">
        <f>IF(E1913="Poder no definido",0,VLOOKUP(E1913,Personalización!$D$74:$Q$89,6,FALSE))</f>
        <v>0</v>
      </c>
      <c r="M1913" s="5785"/>
      <c r="N1913" s="5785"/>
      <c r="O1913" s="5785"/>
      <c r="P1913" s="5785"/>
      <c r="Q1913" s="5786"/>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20"/>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785">
        <f>IF(E1914="Poder no definido",0,VLOOKUP(E1914,Personalización!$D$74:$Q$89,6,FALSE))</f>
        <v>0</v>
      </c>
      <c r="M1914" s="5785"/>
      <c r="N1914" s="5785"/>
      <c r="O1914" s="5785"/>
      <c r="P1914" s="5785"/>
      <c r="Q1914" s="5786"/>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20"/>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943">
        <f>IF(E1915="Poder no definido",0,VLOOKUP(E1915,Personalización!$D$74:$Q$89,6,FALSE))</f>
        <v>0</v>
      </c>
      <c r="M1915" s="5943"/>
      <c r="N1915" s="5943"/>
      <c r="O1915" s="5943"/>
      <c r="P1915" s="5943"/>
      <c r="Q1915" s="5944"/>
      <c r="R1915" s="1873">
        <f>IF(OR($J1915=0,$J1915="Aprendida"),0,SUM($J$1717:$J1915))</f>
        <v>0</v>
      </c>
      <c r="S1915" s="1118"/>
    </row>
    <row r="1916" spans="1:41" ht="12.75" customHeight="1" x14ac:dyDescent="0.2">
      <c r="A1916" s="302">
        <v>1911</v>
      </c>
      <c r="B1916" s="5720"/>
      <c r="H1916" s="222"/>
      <c r="I1916" s="726"/>
      <c r="N1916" s="222"/>
      <c r="O1916" s="983"/>
    </row>
    <row r="1917" spans="1:41" ht="12.75" customHeight="1" x14ac:dyDescent="0.2">
      <c r="A1917" s="302">
        <v>1912</v>
      </c>
      <c r="B1917" s="5720"/>
      <c r="C1917" s="5719" t="s">
        <v>8109</v>
      </c>
      <c r="D1917" s="5719"/>
      <c r="E1917" s="5719"/>
      <c r="F1917" s="5719"/>
      <c r="G1917" s="5719"/>
      <c r="H1917" s="5719"/>
      <c r="I1917" s="5719"/>
      <c r="J1917" s="5719"/>
      <c r="K1917" s="5719"/>
      <c r="L1917" s="5719"/>
      <c r="M1917" s="5719"/>
      <c r="N1917" s="5719"/>
      <c r="O1917" s="5719"/>
      <c r="P1917" s="5719"/>
      <c r="Q1917" s="5719"/>
      <c r="R1917" s="5719"/>
      <c r="S1917" s="5719"/>
      <c r="T1917" s="5719"/>
      <c r="U1917" s="5719"/>
      <c r="V1917" s="5719"/>
      <c r="W1917" s="5719"/>
      <c r="X1917" s="5719"/>
      <c r="Y1917" s="5719"/>
      <c r="Z1917" s="5719"/>
      <c r="AA1917" s="5719"/>
      <c r="AB1917" s="5719"/>
      <c r="AC1917" s="5719"/>
      <c r="AD1917" s="5719"/>
      <c r="AE1917" s="5719"/>
    </row>
    <row r="1918" spans="1:41" ht="12.75" customHeight="1" x14ac:dyDescent="0.2">
      <c r="A1918" s="302">
        <v>1913</v>
      </c>
      <c r="B1918" s="5720"/>
      <c r="C1918" s="5719"/>
      <c r="D1918" s="5719"/>
      <c r="E1918" s="5719"/>
      <c r="F1918" s="5719"/>
      <c r="G1918" s="5719"/>
      <c r="H1918" s="5719"/>
      <c r="I1918" s="5719"/>
      <c r="J1918" s="5719"/>
      <c r="K1918" s="5719"/>
      <c r="L1918" s="5719"/>
      <c r="M1918" s="5719"/>
      <c r="N1918" s="5719"/>
      <c r="O1918" s="5719"/>
      <c r="P1918" s="5719"/>
      <c r="Q1918" s="5719"/>
      <c r="R1918" s="5719"/>
      <c r="S1918" s="5719"/>
      <c r="T1918" s="5719"/>
      <c r="U1918" s="5719"/>
      <c r="V1918" s="5719"/>
      <c r="W1918" s="5719"/>
      <c r="X1918" s="5719"/>
      <c r="Y1918" s="5719"/>
      <c r="Z1918" s="5719"/>
      <c r="AA1918" s="5719"/>
      <c r="AB1918" s="5719"/>
      <c r="AC1918" s="5719"/>
      <c r="AD1918" s="5719"/>
      <c r="AE1918" s="5719"/>
    </row>
    <row r="1919" spans="1:41" ht="12.75" customHeight="1" x14ac:dyDescent="0.2">
      <c r="A1919" s="302">
        <v>1914</v>
      </c>
      <c r="B1919" s="5720"/>
      <c r="C1919" s="5719"/>
      <c r="D1919" s="5719"/>
      <c r="E1919" s="5719"/>
      <c r="F1919" s="5719"/>
      <c r="G1919" s="5719"/>
      <c r="H1919" s="5719"/>
      <c r="I1919" s="5719"/>
      <c r="J1919" s="5719"/>
      <c r="K1919" s="5719"/>
      <c r="L1919" s="5719"/>
      <c r="M1919" s="5719"/>
      <c r="N1919" s="5719"/>
      <c r="O1919" s="5719"/>
      <c r="P1919" s="5719"/>
      <c r="Q1919" s="5719"/>
      <c r="R1919" s="5719"/>
      <c r="S1919" s="5719"/>
      <c r="T1919" s="5719"/>
      <c r="U1919" s="5719"/>
      <c r="V1919" s="5719"/>
      <c r="W1919" s="5719"/>
      <c r="X1919" s="5719"/>
      <c r="Y1919" s="5719"/>
      <c r="Z1919" s="5719"/>
      <c r="AA1919" s="5719"/>
      <c r="AB1919" s="5719"/>
      <c r="AC1919" s="5719"/>
      <c r="AD1919" s="5719"/>
      <c r="AE1919" s="5719"/>
    </row>
    <row r="1920" spans="1:41" ht="12.75" customHeight="1" thickBot="1" x14ac:dyDescent="0.25">
      <c r="A1920" s="302">
        <v>1915</v>
      </c>
      <c r="B1920" s="5720"/>
      <c r="H1920" s="222"/>
      <c r="I1920" s="726"/>
      <c r="N1920" s="222"/>
      <c r="O1920" s="983"/>
    </row>
    <row r="1921" spans="1:30" ht="12.75" customHeight="1" thickBot="1" x14ac:dyDescent="0.25">
      <c r="A1921" s="302">
        <v>1916</v>
      </c>
      <c r="B1921" s="5720"/>
      <c r="C1921" s="5784" t="s">
        <v>909</v>
      </c>
      <c r="D1921" s="5784"/>
      <c r="E1921" s="5784"/>
      <c r="F1921" s="365"/>
      <c r="G1921" s="3391" t="s">
        <v>910</v>
      </c>
      <c r="H1921" s="3391"/>
      <c r="I1921" s="726"/>
      <c r="J1921" s="3188" t="s">
        <v>9580</v>
      </c>
      <c r="K1921" s="3563"/>
      <c r="L1921" s="983"/>
      <c r="M1921" s="3391" t="s">
        <v>913</v>
      </c>
      <c r="N1921" s="3391"/>
    </row>
    <row r="1922" spans="1:30" ht="12.75" customHeight="1" thickBot="1" x14ac:dyDescent="0.25">
      <c r="A1922" s="302">
        <v>1917</v>
      </c>
      <c r="B1922" s="5720"/>
      <c r="C1922" s="5784"/>
      <c r="D1922" s="5784"/>
      <c r="E1922" s="5784"/>
      <c r="F1922" s="365"/>
      <c r="G1922" s="3391"/>
      <c r="H1922" s="3391"/>
      <c r="I1922" s="726"/>
      <c r="J1922" s="5950"/>
      <c r="K1922" s="5951"/>
      <c r="L1922" s="983"/>
      <c r="M1922" s="3391"/>
      <c r="N1922" s="3391"/>
    </row>
    <row r="1923" spans="1:30" ht="12.75" customHeight="1" thickBot="1" x14ac:dyDescent="0.25">
      <c r="A1923" s="302">
        <v>1918</v>
      </c>
      <c r="B1923" s="5720"/>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720"/>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20"/>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20"/>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20"/>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20"/>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20"/>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20"/>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20"/>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20"/>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20"/>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20"/>
      <c r="C1934" s="369" t="str">
        <f>IF(Ki!$P$22="-",", "&amp;Ki!$N$22,"")</f>
        <v/>
      </c>
      <c r="D1934" s="49"/>
      <c r="E1934" s="50"/>
      <c r="G1934" s="96" t="str">
        <f>IF(COUNTIF(G1923:G1933,"")=11,"",", ")&amp;IF(Místicos!H26&gt;0,Místicos!H26&amp;" "&amp;Místicos!C26&amp;" ("&amp;K1924&amp;")","")</f>
        <v/>
      </c>
      <c r="H1934" s="98"/>
      <c r="I1934" s="726"/>
      <c r="K1934" s="5803" t="s">
        <v>9298</v>
      </c>
      <c r="L1934" s="5979" t="b">
        <f>PDs!AF123</f>
        <v>0</v>
      </c>
      <c r="M1934" s="5980"/>
      <c r="N1934" s="222"/>
      <c r="O1934" s="983"/>
    </row>
    <row r="1935" spans="1:30" ht="12.75" customHeight="1" thickBot="1" x14ac:dyDescent="0.25">
      <c r="A1935" s="302">
        <v>1930</v>
      </c>
      <c r="B1935" s="5720"/>
      <c r="C1935" s="369" t="str">
        <f>IF(Ki!$P$23="-",", "&amp;"Mag. arcana","")</f>
        <v/>
      </c>
      <c r="D1935" s="49"/>
      <c r="E1935" s="50"/>
      <c r="H1935" s="222"/>
      <c r="I1935" s="726"/>
      <c r="K1935" s="5978"/>
      <c r="L1935" s="5981"/>
      <c r="M1935" s="5982"/>
      <c r="N1935" s="222"/>
      <c r="O1935" s="983"/>
    </row>
    <row r="1936" spans="1:30" ht="12.75" customHeight="1" x14ac:dyDescent="0.2">
      <c r="A1936" s="302">
        <v>1931</v>
      </c>
      <c r="B1936" s="5720"/>
      <c r="C1936" s="369" t="str">
        <f>IF(Ki!$P$24="-",", "&amp;Ki!$M$24,"")</f>
        <v/>
      </c>
      <c r="D1936" s="49"/>
      <c r="E1936" s="50"/>
      <c r="G1936" s="3114" t="s">
        <v>911</v>
      </c>
      <c r="H1936" s="3115"/>
      <c r="I1936" s="3115"/>
      <c r="J1936" s="3116"/>
      <c r="K1936" s="5803" t="s">
        <v>7073</v>
      </c>
      <c r="L1936" s="5803" t="s">
        <v>1714</v>
      </c>
      <c r="M1936" s="5803" t="s">
        <v>9295</v>
      </c>
      <c r="N1936" s="5803" t="s">
        <v>7055</v>
      </c>
      <c r="O1936" s="5803" t="s">
        <v>9304</v>
      </c>
      <c r="P1936" s="5803" t="s">
        <v>9300</v>
      </c>
      <c r="Q1936" s="5803" t="s">
        <v>9301</v>
      </c>
      <c r="R1936" s="5803" t="s">
        <v>9299</v>
      </c>
      <c r="S1936" s="5803" t="s">
        <v>9296</v>
      </c>
      <c r="T1936" s="5803" t="s">
        <v>9303</v>
      </c>
      <c r="U1936" s="5803" t="s">
        <v>9306</v>
      </c>
      <c r="V1936" s="5803" t="s">
        <v>9302</v>
      </c>
      <c r="W1936" s="5803" t="s">
        <v>9305</v>
      </c>
      <c r="X1936" s="5803" t="s">
        <v>9297</v>
      </c>
      <c r="Y1936" s="5957" t="s">
        <v>7057</v>
      </c>
      <c r="Z1936" s="5958"/>
      <c r="AA1936" s="5957" t="s">
        <v>7071</v>
      </c>
      <c r="AB1936" s="5958"/>
      <c r="AC1936" s="5750" t="s">
        <v>7075</v>
      </c>
      <c r="AD1936" s="5750" t="s">
        <v>1479</v>
      </c>
    </row>
    <row r="1937" spans="1:30" ht="12.75" customHeight="1" thickBot="1" x14ac:dyDescent="0.25">
      <c r="A1937" s="302">
        <v>1932</v>
      </c>
      <c r="B1937" s="5720"/>
      <c r="C1937" s="369" t="str">
        <f>IF(Ki!$P$25="-",", "&amp;Ki!$L$25,"")</f>
        <v/>
      </c>
      <c r="D1937" s="49"/>
      <c r="E1937" s="50"/>
      <c r="G1937" s="5617"/>
      <c r="H1937" s="5805"/>
      <c r="I1937" s="5805"/>
      <c r="J1937" s="5618"/>
      <c r="K1937" s="5804"/>
      <c r="L1937" s="5804"/>
      <c r="M1937" s="5804"/>
      <c r="N1937" s="5804"/>
      <c r="O1937" s="5804"/>
      <c r="P1937" s="5804"/>
      <c r="Q1937" s="5804"/>
      <c r="R1937" s="5804"/>
      <c r="S1937" s="5804"/>
      <c r="T1937" s="5804"/>
      <c r="U1937" s="5804"/>
      <c r="V1937" s="5804"/>
      <c r="W1937" s="5804"/>
      <c r="X1937" s="5804"/>
      <c r="Y1937" s="1739" t="s">
        <v>7069</v>
      </c>
      <c r="Z1937" s="1740" t="s">
        <v>7070</v>
      </c>
      <c r="AA1937" s="5959"/>
      <c r="AB1937" s="5960"/>
      <c r="AC1937" s="5751"/>
      <c r="AD1937" s="5751"/>
    </row>
    <row r="1938" spans="1:30" ht="12.75" customHeight="1" x14ac:dyDescent="0.2">
      <c r="A1938" s="302">
        <v>1933</v>
      </c>
      <c r="B1938" s="5720"/>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779" t="s">
        <v>7901</v>
      </c>
      <c r="AD1938" s="1742">
        <f>Principal!O22</f>
        <v>0</v>
      </c>
    </row>
    <row r="1939" spans="1:30" ht="12.75" customHeight="1" x14ac:dyDescent="0.2">
      <c r="A1939" s="302">
        <v>1934</v>
      </c>
      <c r="B1939" s="5720"/>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779"/>
      <c r="AD1939" s="1742">
        <f>Principal!O23</f>
        <v>0</v>
      </c>
    </row>
    <row r="1940" spans="1:30" ht="12.75" customHeight="1" x14ac:dyDescent="0.2">
      <c r="A1940" s="302">
        <v>1935</v>
      </c>
      <c r="B1940" s="5720"/>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779"/>
      <c r="AD1940" s="1742">
        <f>Principal!O24</f>
        <v>0</v>
      </c>
    </row>
    <row r="1941" spans="1:30" ht="12.75" customHeight="1" x14ac:dyDescent="0.2">
      <c r="A1941" s="302">
        <v>1936</v>
      </c>
      <c r="B1941" s="5720"/>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779"/>
      <c r="AD1941" s="1742">
        <f>Principal!O25</f>
        <v>0</v>
      </c>
    </row>
    <row r="1942" spans="1:30" ht="12.75" customHeight="1" x14ac:dyDescent="0.2">
      <c r="A1942" s="302">
        <v>1937</v>
      </c>
      <c r="B1942" s="5720"/>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779"/>
      <c r="AD1942" s="1742">
        <f>Principal!O26</f>
        <v>0</v>
      </c>
    </row>
    <row r="1943" spans="1:30" ht="12.75" customHeight="1" x14ac:dyDescent="0.2">
      <c r="A1943" s="302">
        <v>1938</v>
      </c>
      <c r="B1943" s="5720"/>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779"/>
      <c r="AD1943" s="1742">
        <f>Principal!O27</f>
        <v>0</v>
      </c>
    </row>
    <row r="1944" spans="1:30" ht="12.75" customHeight="1" x14ac:dyDescent="0.2">
      <c r="A1944" s="302">
        <v>1939</v>
      </c>
      <c r="B1944" s="5720"/>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779"/>
      <c r="AD1944" s="1742">
        <f>Principal!O28</f>
        <v>0</v>
      </c>
    </row>
    <row r="1945" spans="1:30" ht="12.75" customHeight="1" x14ac:dyDescent="0.2">
      <c r="A1945" s="302">
        <v>1940</v>
      </c>
      <c r="B1945" s="5720"/>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779"/>
      <c r="AD1945" s="1742">
        <f>Principal!O29</f>
        <v>0</v>
      </c>
    </row>
    <row r="1946" spans="1:30" ht="12.75" customHeight="1" x14ac:dyDescent="0.2">
      <c r="A1946" s="302">
        <v>1941</v>
      </c>
      <c r="B1946" s="5720"/>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79"/>
      <c r="AD1946" s="1742">
        <f>Principal!O30</f>
        <v>0</v>
      </c>
    </row>
    <row r="1947" spans="1:30" ht="12.75" customHeight="1" x14ac:dyDescent="0.2">
      <c r="A1947" s="302">
        <v>1942</v>
      </c>
      <c r="B1947" s="5720"/>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79"/>
      <c r="AD1947" s="1742">
        <f>Principal!O31</f>
        <v>0</v>
      </c>
    </row>
    <row r="1948" spans="1:30" ht="12.75" customHeight="1" x14ac:dyDescent="0.2">
      <c r="A1948" s="302">
        <v>1943</v>
      </c>
      <c r="B1948" s="5720"/>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79"/>
      <c r="AD1948" s="1742">
        <f>Principal!O32</f>
        <v>0</v>
      </c>
    </row>
    <row r="1949" spans="1:30" ht="12.75" customHeight="1" x14ac:dyDescent="0.2">
      <c r="A1949" s="302">
        <v>1944</v>
      </c>
      <c r="B1949" s="5720"/>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79"/>
      <c r="AD1949" s="1742">
        <f>Principal!O33</f>
        <v>0</v>
      </c>
    </row>
    <row r="1950" spans="1:30" ht="12.75" customHeight="1" x14ac:dyDescent="0.2">
      <c r="A1950" s="302">
        <v>1945</v>
      </c>
      <c r="B1950" s="5720"/>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79"/>
      <c r="AD1950" s="1742">
        <f>Principal!O34</f>
        <v>0</v>
      </c>
    </row>
    <row r="1951" spans="1:30" ht="12.75" customHeight="1" x14ac:dyDescent="0.2">
      <c r="A1951" s="302">
        <v>1946</v>
      </c>
      <c r="B1951" s="5720"/>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79"/>
      <c r="AD1951" s="1742">
        <f>Principal!O35</f>
        <v>0</v>
      </c>
    </row>
    <row r="1952" spans="1:30" ht="12.75" customHeight="1" x14ac:dyDescent="0.2">
      <c r="A1952" s="302">
        <v>1947</v>
      </c>
      <c r="B1952" s="5720"/>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79"/>
      <c r="AD1952" s="1742">
        <f>Principal!O36</f>
        <v>0</v>
      </c>
    </row>
    <row r="1953" spans="1:30" ht="12.75" customHeight="1" x14ac:dyDescent="0.2">
      <c r="A1953" s="302">
        <v>1948</v>
      </c>
      <c r="B1953" s="5720"/>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79"/>
      <c r="AD1953" s="1742">
        <f>Principal!O37</f>
        <v>0</v>
      </c>
    </row>
    <row r="1954" spans="1:30" ht="12.75" customHeight="1" x14ac:dyDescent="0.2">
      <c r="A1954" s="302">
        <v>1949</v>
      </c>
      <c r="B1954" s="5720"/>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79"/>
      <c r="AD1954" s="1742">
        <f>Principal!O38</f>
        <v>0</v>
      </c>
    </row>
    <row r="1955" spans="1:30" ht="12.75" customHeight="1" x14ac:dyDescent="0.2">
      <c r="A1955" s="302">
        <v>1950</v>
      </c>
      <c r="B1955" s="5720"/>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79"/>
      <c r="AD1955" s="1742">
        <f>Principal!O39</f>
        <v>0</v>
      </c>
    </row>
    <row r="1956" spans="1:30" ht="12.75" customHeight="1" x14ac:dyDescent="0.2">
      <c r="A1956" s="302">
        <v>1951</v>
      </c>
      <c r="B1956" s="5720"/>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79"/>
      <c r="AD1956" s="1742">
        <f>Principal!O40</f>
        <v>0</v>
      </c>
    </row>
    <row r="1957" spans="1:30" ht="12.75" customHeight="1" x14ac:dyDescent="0.2">
      <c r="A1957" s="302">
        <v>1952</v>
      </c>
      <c r="B1957" s="5720"/>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79"/>
      <c r="AD1957" s="1742">
        <f>Principal!O41</f>
        <v>0</v>
      </c>
    </row>
    <row r="1958" spans="1:30" ht="12.75" customHeight="1" x14ac:dyDescent="0.2">
      <c r="A1958" s="302">
        <v>1953</v>
      </c>
      <c r="B1958" s="5720"/>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79"/>
      <c r="AD1958" s="1742">
        <f>Principal!O42</f>
        <v>0</v>
      </c>
    </row>
    <row r="1959" spans="1:30" ht="12.75" customHeight="1" x14ac:dyDescent="0.2">
      <c r="A1959" s="302">
        <v>1954</v>
      </c>
      <c r="B1959" s="5720"/>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79"/>
      <c r="AD1959" s="1742">
        <f>Principal!O43</f>
        <v>0</v>
      </c>
    </row>
    <row r="1960" spans="1:30" ht="12.75" customHeight="1" x14ac:dyDescent="0.2">
      <c r="A1960" s="302">
        <v>1955</v>
      </c>
      <c r="B1960" s="5720"/>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79"/>
      <c r="AD1960" s="1742">
        <f>Principal!O44</f>
        <v>0</v>
      </c>
    </row>
    <row r="1961" spans="1:30" ht="12.75" customHeight="1" x14ac:dyDescent="0.2">
      <c r="A1961" s="302">
        <v>1956</v>
      </c>
      <c r="B1961" s="5720"/>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79"/>
      <c r="AD1961" s="1742">
        <f>Principal!O45</f>
        <v>0</v>
      </c>
    </row>
    <row r="1962" spans="1:30" ht="12.75" customHeight="1" x14ac:dyDescent="0.2">
      <c r="A1962" s="302">
        <v>1957</v>
      </c>
      <c r="B1962" s="5720"/>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79"/>
      <c r="AD1962" s="1742">
        <f>Principal!O46</f>
        <v>0</v>
      </c>
    </row>
    <row r="1963" spans="1:30" ht="12.75" customHeight="1" x14ac:dyDescent="0.2">
      <c r="A1963" s="302">
        <v>1958</v>
      </c>
      <c r="B1963" s="5720"/>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79"/>
      <c r="AD1963" s="1742">
        <f>Principal!O47</f>
        <v>0</v>
      </c>
    </row>
    <row r="1964" spans="1:30" ht="12.75" customHeight="1" x14ac:dyDescent="0.2">
      <c r="A1964" s="302">
        <v>1959</v>
      </c>
      <c r="B1964" s="5720"/>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79"/>
      <c r="AD1964" s="1742">
        <f>Principal!O48</f>
        <v>0</v>
      </c>
    </row>
    <row r="1965" spans="1:30" ht="12.75" customHeight="1" x14ac:dyDescent="0.2">
      <c r="A1965" s="302">
        <v>1960</v>
      </c>
      <c r="B1965" s="5720"/>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79"/>
      <c r="AD1965" s="1742">
        <f>Principal!O49</f>
        <v>0</v>
      </c>
    </row>
    <row r="1966" spans="1:30" ht="12.75" customHeight="1" x14ac:dyDescent="0.2">
      <c r="A1966" s="302">
        <v>1961</v>
      </c>
      <c r="B1966" s="5720"/>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79"/>
      <c r="AD1966" s="1742">
        <f>Principal!O50</f>
        <v>0</v>
      </c>
    </row>
    <row r="1967" spans="1:30" ht="12.75" customHeight="1" x14ac:dyDescent="0.2">
      <c r="A1967" s="302">
        <v>1962</v>
      </c>
      <c r="B1967" s="5720"/>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79"/>
      <c r="AD1967" s="1742">
        <f>Principal!O51</f>
        <v>0</v>
      </c>
    </row>
    <row r="1968" spans="1:30" ht="12.75" customHeight="1" x14ac:dyDescent="0.2">
      <c r="A1968" s="302">
        <v>1963</v>
      </c>
      <c r="B1968" s="5720"/>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779"/>
      <c r="AD1968" s="1742">
        <f>Principal!O52</f>
        <v>0</v>
      </c>
    </row>
    <row r="1969" spans="1:30" ht="12.75" customHeight="1" x14ac:dyDescent="0.2">
      <c r="A1969" s="302">
        <v>1964</v>
      </c>
      <c r="B1969" s="5720"/>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79"/>
      <c r="AD1969" s="1742">
        <f>Principal!O53</f>
        <v>0</v>
      </c>
    </row>
    <row r="1970" spans="1:30" ht="12.75" customHeight="1" x14ac:dyDescent="0.2">
      <c r="A1970" s="302">
        <v>1965</v>
      </c>
      <c r="B1970" s="5720"/>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779"/>
      <c r="AD1970" s="1742">
        <f>Principal!O54</f>
        <v>0</v>
      </c>
    </row>
    <row r="1971" spans="1:30" ht="12.75" customHeight="1" x14ac:dyDescent="0.2">
      <c r="A1971" s="302">
        <v>1966</v>
      </c>
      <c r="B1971" s="5720"/>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779"/>
      <c r="AD1971" s="1742">
        <f>Principal!O55</f>
        <v>0</v>
      </c>
    </row>
    <row r="1972" spans="1:30" ht="12.75" customHeight="1" x14ac:dyDescent="0.2">
      <c r="A1972" s="302">
        <v>1967</v>
      </c>
      <c r="B1972" s="5720"/>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79"/>
      <c r="AD1972" s="1742">
        <f>Principal!O56</f>
        <v>0</v>
      </c>
    </row>
    <row r="1973" spans="1:30" ht="12.75" customHeight="1" x14ac:dyDescent="0.2">
      <c r="A1973" s="302">
        <v>1968</v>
      </c>
      <c r="B1973" s="5720"/>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779"/>
      <c r="AD1973" s="1742">
        <f>Principal!O57</f>
        <v>0</v>
      </c>
    </row>
    <row r="1974" spans="1:30" ht="12.75" customHeight="1" x14ac:dyDescent="0.2">
      <c r="A1974" s="302">
        <v>1969</v>
      </c>
      <c r="B1974" s="5720"/>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779"/>
      <c r="AD1974" s="1742">
        <f>Principal!O58</f>
        <v>0</v>
      </c>
    </row>
    <row r="1975" spans="1:30" ht="12.75" customHeight="1" x14ac:dyDescent="0.2">
      <c r="A1975" s="302">
        <v>1970</v>
      </c>
      <c r="B1975" s="5720"/>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779"/>
      <c r="AD1975" s="1742">
        <f>Principal!O59</f>
        <v>0</v>
      </c>
    </row>
    <row r="1976" spans="1:30" ht="12.75" customHeight="1" x14ac:dyDescent="0.2">
      <c r="A1976" s="302">
        <v>1971</v>
      </c>
      <c r="B1976" s="5720"/>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79"/>
      <c r="AD1976" s="1742">
        <f>Principal!O60</f>
        <v>0</v>
      </c>
    </row>
    <row r="1977" spans="1:30" ht="12.75" customHeight="1" x14ac:dyDescent="0.2">
      <c r="A1977" s="302">
        <v>1972</v>
      </c>
      <c r="B1977" s="5720"/>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79"/>
      <c r="AD1977" s="1742">
        <f>Principal!O61</f>
        <v>0</v>
      </c>
    </row>
    <row r="1978" spans="1:30" ht="12.75" customHeight="1" x14ac:dyDescent="0.2">
      <c r="A1978" s="302">
        <v>1973</v>
      </c>
      <c r="B1978" s="5720"/>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779"/>
      <c r="AD1978" s="1742">
        <f>Principal!O62</f>
        <v>0</v>
      </c>
    </row>
    <row r="1979" spans="1:30" ht="12.75" customHeight="1" x14ac:dyDescent="0.2">
      <c r="A1979" s="302">
        <v>1974</v>
      </c>
      <c r="B1979" s="5720"/>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79"/>
      <c r="AD1979" s="1742">
        <f>Principal!O63</f>
        <v>0</v>
      </c>
    </row>
    <row r="1980" spans="1:30" ht="12.75" customHeight="1" x14ac:dyDescent="0.2">
      <c r="A1980" s="302">
        <v>1975</v>
      </c>
      <c r="B1980" s="5720"/>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79"/>
      <c r="AD1980" s="1742">
        <f>Principal!O64</f>
        <v>0</v>
      </c>
    </row>
    <row r="1981" spans="1:30" ht="12.75" customHeight="1" x14ac:dyDescent="0.2">
      <c r="A1981" s="302">
        <v>1976</v>
      </c>
      <c r="B1981" s="5720"/>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79"/>
      <c r="AD1981" s="1742">
        <f>Principal!O65</f>
        <v>0</v>
      </c>
    </row>
    <row r="1982" spans="1:30" ht="12.75" customHeight="1" x14ac:dyDescent="0.2">
      <c r="A1982" s="302">
        <v>1977</v>
      </c>
      <c r="B1982" s="5720"/>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79"/>
      <c r="AD1982" s="1742">
        <f>Principal!O66</f>
        <v>0</v>
      </c>
    </row>
    <row r="1983" spans="1:30" ht="12.75" customHeight="1" x14ac:dyDescent="0.2">
      <c r="A1983" s="302">
        <v>1978</v>
      </c>
      <c r="B1983" s="5720"/>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79"/>
      <c r="AD1983" s="1742">
        <f>Principal!O67</f>
        <v>0</v>
      </c>
    </row>
    <row r="1984" spans="1:30" ht="12.75" customHeight="1" x14ac:dyDescent="0.2">
      <c r="A1984" s="302">
        <v>1979</v>
      </c>
      <c r="B1984" s="5720"/>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779"/>
      <c r="AD1984" s="1742">
        <f>Principal!O68</f>
        <v>0</v>
      </c>
    </row>
    <row r="1985" spans="1:30" ht="12.75" customHeight="1" x14ac:dyDescent="0.2">
      <c r="A1985" s="302">
        <v>1980</v>
      </c>
      <c r="B1985" s="5720"/>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79"/>
      <c r="AD1985" s="1742">
        <f>Principal!O69</f>
        <v>0</v>
      </c>
    </row>
    <row r="1986" spans="1:30" ht="12.75" customHeight="1" x14ac:dyDescent="0.2">
      <c r="A1986" s="302">
        <v>1981</v>
      </c>
      <c r="B1986" s="5720"/>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779"/>
      <c r="AD1986" s="1742">
        <f>Principal!O70</f>
        <v>0</v>
      </c>
    </row>
    <row r="1987" spans="1:30" ht="12.75" customHeight="1" x14ac:dyDescent="0.2">
      <c r="A1987" s="302">
        <v>1982</v>
      </c>
      <c r="B1987" s="5720"/>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79"/>
      <c r="AD1987" s="1742">
        <f>Principal!O71</f>
        <v>0</v>
      </c>
    </row>
    <row r="1988" spans="1:30" ht="12.75" customHeight="1" x14ac:dyDescent="0.2">
      <c r="A1988" s="302">
        <v>1983</v>
      </c>
      <c r="B1988" s="5720"/>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79"/>
      <c r="AD1988" s="1742">
        <f>Principal!O72</f>
        <v>0</v>
      </c>
    </row>
    <row r="1989" spans="1:30" ht="12.75" customHeight="1" x14ac:dyDescent="0.2">
      <c r="A1989" s="302">
        <v>1984</v>
      </c>
      <c r="B1989" s="5720"/>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79"/>
      <c r="AD1989" s="1742">
        <f>Principal!O73</f>
        <v>0</v>
      </c>
    </row>
    <row r="1990" spans="1:30" ht="12.75" customHeight="1" x14ac:dyDescent="0.2">
      <c r="A1990" s="302">
        <v>1985</v>
      </c>
      <c r="B1990" s="5720"/>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79"/>
      <c r="AD1990" s="1742">
        <f>Principal!O74</f>
        <v>0</v>
      </c>
    </row>
    <row r="1991" spans="1:30" ht="12.75" customHeight="1" x14ac:dyDescent="0.2">
      <c r="A1991" s="302">
        <v>1986</v>
      </c>
      <c r="B1991" s="5720"/>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79"/>
      <c r="AD1991" s="1742">
        <f>Principal!O75</f>
        <v>0</v>
      </c>
    </row>
    <row r="1992" spans="1:30" ht="12.75" customHeight="1" x14ac:dyDescent="0.2">
      <c r="A1992" s="302">
        <v>1987</v>
      </c>
      <c r="B1992" s="5720"/>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79"/>
      <c r="AD1992" s="1742">
        <f>Principal!O76</f>
        <v>0</v>
      </c>
    </row>
    <row r="1993" spans="1:30" ht="12.75" customHeight="1" thickBot="1" x14ac:dyDescent="0.25">
      <c r="A1993" s="302">
        <v>1988</v>
      </c>
      <c r="B1993" s="5720"/>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80"/>
      <c r="AD1993" s="1745">
        <f>Principal!O77</f>
        <v>0</v>
      </c>
    </row>
    <row r="1994" spans="1:30" ht="12.75" customHeight="1" x14ac:dyDescent="0.2">
      <c r="A1994" s="302">
        <v>1989</v>
      </c>
      <c r="B1994" s="5720"/>
      <c r="C1994" s="369" t="str">
        <f>IF(Ki!$H$61="-",", "&amp;Ki!$C$61,"")</f>
        <v/>
      </c>
      <c r="D1994" s="49"/>
      <c r="E1994" s="50"/>
      <c r="H1994" s="222"/>
      <c r="I1994" s="726"/>
      <c r="N1994" s="222"/>
      <c r="O1994" s="983"/>
    </row>
    <row r="1995" spans="1:30" ht="12.75" customHeight="1" x14ac:dyDescent="0.2">
      <c r="A1995" s="302">
        <v>1990</v>
      </c>
      <c r="B1995" s="5720"/>
      <c r="C1995" s="369" t="str">
        <f>IF(Ki!$H$62="-",", "&amp;Ki!$C$62,"")</f>
        <v/>
      </c>
      <c r="D1995" s="49"/>
      <c r="E1995" s="50"/>
      <c r="H1995" s="222"/>
      <c r="I1995" s="726"/>
      <c r="N1995" s="222"/>
      <c r="O1995" s="983"/>
    </row>
    <row r="1996" spans="1:30" ht="12.75" customHeight="1" x14ac:dyDescent="0.2">
      <c r="A1996" s="302">
        <v>1991</v>
      </c>
      <c r="B1996" s="5720"/>
      <c r="C1996" s="369" t="str">
        <f>IF(Inhumanidad,", "&amp;"Inhumanidad","")</f>
        <v/>
      </c>
      <c r="D1996" s="49"/>
      <c r="E1996" s="50"/>
      <c r="H1996" s="222"/>
      <c r="I1996" s="726"/>
      <c r="N1996" s="222"/>
      <c r="O1996" s="983"/>
    </row>
    <row r="1997" spans="1:30" ht="12.75" customHeight="1" thickBot="1" x14ac:dyDescent="0.25">
      <c r="A1997" s="302">
        <v>1992</v>
      </c>
      <c r="B1997" s="5720"/>
      <c r="C1997" s="370" t="str">
        <f>IF(Zen,", "&amp;"Zen","")</f>
        <v/>
      </c>
      <c r="D1997" s="97"/>
      <c r="E1997" s="98"/>
      <c r="H1997" s="222"/>
      <c r="I1997" s="726"/>
      <c r="N1997" s="222"/>
      <c r="O1997" s="983"/>
    </row>
    <row r="1998" spans="1:30" ht="12.75" customHeight="1" x14ac:dyDescent="0.2">
      <c r="A1998" s="302">
        <v>1993</v>
      </c>
      <c r="B1998" s="5720"/>
      <c r="H1998" s="222"/>
      <c r="I1998" s="726"/>
      <c r="N1998" s="222"/>
      <c r="O1998" s="983"/>
    </row>
    <row r="1999" spans="1:30" ht="12.75" customHeight="1" x14ac:dyDescent="0.2">
      <c r="A1999" s="302">
        <v>1994</v>
      </c>
      <c r="B1999" s="5720"/>
      <c r="C1999" s="5805" t="s">
        <v>912</v>
      </c>
      <c r="D1999" s="5805"/>
      <c r="E1999" s="5805"/>
      <c r="F1999" s="5805"/>
      <c r="G1999" s="5805"/>
      <c r="H1999" s="222"/>
      <c r="I1999" s="726"/>
      <c r="N1999" s="222"/>
      <c r="O1999" s="983"/>
    </row>
    <row r="2000" spans="1:30" ht="12.75" customHeight="1" x14ac:dyDescent="0.2">
      <c r="A2000" s="302">
        <v>1995</v>
      </c>
      <c r="B2000" s="5720"/>
      <c r="C2000" s="5977"/>
      <c r="D2000" s="5977"/>
      <c r="E2000" s="5977"/>
      <c r="F2000" s="5977"/>
      <c r="G2000" s="5977"/>
      <c r="H2000" s="222"/>
      <c r="I2000" s="726"/>
      <c r="N2000" s="222"/>
      <c r="O2000" s="983"/>
    </row>
    <row r="2001" spans="1:33" ht="12.75" customHeight="1" x14ac:dyDescent="0.2">
      <c r="A2001" s="302">
        <v>1996</v>
      </c>
      <c r="B2001" s="5720"/>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720"/>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921"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720"/>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921"/>
      <c r="H2003" s="222"/>
      <c r="I2003" s="726"/>
      <c r="N2003" s="222"/>
      <c r="O2003" s="983"/>
    </row>
    <row r="2004" spans="1:33" ht="12.75" customHeight="1" x14ac:dyDescent="0.2">
      <c r="A2004" s="302">
        <v>1999</v>
      </c>
      <c r="B2004" s="5720"/>
      <c r="C2004" s="1131" t="str">
        <f t="shared" si="272"/>
        <v/>
      </c>
      <c r="D2004" s="750" t="str">
        <f>IF(Combate!AL13=" ","",Combate!AL13)</f>
        <v/>
      </c>
      <c r="E2004" s="750" t="str">
        <f t="shared" si="273"/>
        <v/>
      </c>
      <c r="F2004" s="1094" t="str">
        <f t="shared" si="274"/>
        <v/>
      </c>
      <c r="G2004" s="5921"/>
      <c r="J2004" s="3114" t="s">
        <v>7862</v>
      </c>
      <c r="K2004" s="3115"/>
      <c r="L2004" s="3115"/>
      <c r="M2004" s="3115"/>
      <c r="N2004" s="3115"/>
      <c r="O2004" s="3115"/>
      <c r="P2004" s="3115"/>
      <c r="Q2004" s="3115"/>
      <c r="R2004" s="3115"/>
      <c r="S2004" s="3115"/>
      <c r="T2004" s="3115"/>
      <c r="U2004" s="3115"/>
      <c r="V2004" s="3115"/>
      <c r="W2004" s="3115"/>
      <c r="X2004" s="3115"/>
      <c r="Y2004" s="3115"/>
      <c r="Z2004" s="3115"/>
      <c r="AA2004" s="3115"/>
      <c r="AB2004" s="3115"/>
      <c r="AC2004" s="3115"/>
      <c r="AD2004" s="3115"/>
      <c r="AE2004" s="3116"/>
    </row>
    <row r="2005" spans="1:33" ht="12.75" customHeight="1" x14ac:dyDescent="0.2">
      <c r="A2005" s="302">
        <v>2000</v>
      </c>
      <c r="B2005" s="5720"/>
      <c r="C2005" s="1131" t="str">
        <f t="shared" si="272"/>
        <v/>
      </c>
      <c r="D2005" s="750" t="str">
        <f>IF(Combate!AL14=" ","",Combate!AL14)</f>
        <v/>
      </c>
      <c r="E2005" s="750" t="str">
        <f t="shared" si="273"/>
        <v/>
      </c>
      <c r="F2005" s="1094" t="str">
        <f t="shared" si="274"/>
        <v/>
      </c>
      <c r="G2005" s="5921"/>
      <c r="J2005" s="5617" t="s">
        <v>7861</v>
      </c>
      <c r="K2005" s="5805"/>
      <c r="L2005" s="5977" t="s">
        <v>7860</v>
      </c>
      <c r="M2005" s="5977"/>
      <c r="N2005" s="5977"/>
      <c r="O2005" s="5977"/>
      <c r="P2005" s="5977"/>
      <c r="Q2005" s="5977"/>
      <c r="R2005" s="5977"/>
      <c r="S2005" s="5977"/>
      <c r="T2005" s="5977"/>
      <c r="U2005" s="5977"/>
      <c r="V2005" s="5977"/>
      <c r="W2005" s="5977"/>
      <c r="X2005" s="5977"/>
      <c r="Y2005" s="5977"/>
      <c r="Z2005" s="5977"/>
      <c r="AA2005" s="5977"/>
      <c r="AB2005" s="5977"/>
      <c r="AC2005" s="5977"/>
      <c r="AD2005" s="5977"/>
      <c r="AE2005" s="5992"/>
    </row>
    <row r="2006" spans="1:33" ht="12.75" customHeight="1" x14ac:dyDescent="0.2">
      <c r="A2006" s="302">
        <v>2001</v>
      </c>
      <c r="B2006" s="5720"/>
      <c r="C2006" s="1131" t="str">
        <f t="shared" si="272"/>
        <v/>
      </c>
      <c r="D2006" s="750" t="str">
        <f>IF(Combate!AL15=" ","",Combate!AL15)</f>
        <v/>
      </c>
      <c r="E2006" s="750" t="str">
        <f t="shared" si="273"/>
        <v/>
      </c>
      <c r="F2006" s="1094" t="str">
        <f t="shared" si="274"/>
        <v/>
      </c>
      <c r="G2006" s="5921"/>
      <c r="J2006" s="1103" t="s">
        <v>1638</v>
      </c>
      <c r="K2006" s="1399" t="s">
        <v>7868</v>
      </c>
      <c r="L2006" s="5927" t="str">
        <f>IF(ISNA(VLOOKUP(A1,$AF$2009:$AG$2036,2,FALSE)),"",VLOOKUP(A1,$AF$2009:$AG$2036,2,FALSE))</f>
        <v/>
      </c>
      <c r="M2006" s="5928"/>
      <c r="N2006" s="5928" t="str">
        <f>IF(ISNA(VLOOKUP(B1,$AF$2009:$AG$2036,2,FALSE)),"",VLOOKUP(B1,$AF$2009:$AG$2036,2,FALSE))</f>
        <v/>
      </c>
      <c r="O2006" s="5928"/>
      <c r="P2006" s="5928" t="str">
        <f>IF(ISNA(VLOOKUP(C1,$AF$2009:$AG$2036,2,FALSE)),"",VLOOKUP(C1,$AF$2009:$AG$2036,2,FALSE))</f>
        <v/>
      </c>
      <c r="Q2006" s="5928"/>
      <c r="R2006" s="5928" t="str">
        <f>IF(ISNA(VLOOKUP(D1,$AF$2009:$AG$2036,2,FALSE)),"",VLOOKUP(D1,$AF$2009:$AG$2036,2,FALSE))</f>
        <v/>
      </c>
      <c r="S2006" s="5928"/>
      <c r="T2006" s="5928" t="str">
        <f>IF(ISNA(VLOOKUP(E1,$AF$2009:$AG$2036,2,FALSE)),"",VLOOKUP(E1,$AF$2009:$AG$2036,2,FALSE))</f>
        <v/>
      </c>
      <c r="U2006" s="5928"/>
      <c r="V2006" s="5928" t="str">
        <f>IF(ISNA(VLOOKUP(F1,$AF$2009:$AG$2036,2,FALSE)),"",VLOOKUP(F1,$AF$2009:$AG$2036,2,FALSE))</f>
        <v/>
      </c>
      <c r="W2006" s="5928"/>
      <c r="X2006" s="5928" t="str">
        <f>IF(ISNA(VLOOKUP(G1,$AF$2009:$AG$2036,2,FALSE)),"",VLOOKUP(G1,$AF$2009:$AG$2036,2,FALSE))</f>
        <v/>
      </c>
      <c r="Y2006" s="5928"/>
      <c r="Z2006" s="5928" t="str">
        <f>IF(ISNA(VLOOKUP(H1,$AF$2009:$AG$2036,2,FALSE)),"",VLOOKUP(H1,$AF$2009:$AG$2036,2,FALSE))</f>
        <v/>
      </c>
      <c r="AA2006" s="5928"/>
      <c r="AB2006" s="5929" t="str">
        <f>IF(ISNA(VLOOKUP(I1,$AF$2009:$AG$2036,2,FALSE)),"",VLOOKUP(I1,$AF$2009:$AG$2036,2,FALSE))</f>
        <v/>
      </c>
      <c r="AC2006" s="5929"/>
      <c r="AD2006" s="5929" t="str">
        <f>IF(ISNA(VLOOKUP(J1,$AF$2009:$AG$2036,2,FALSE)),"",VLOOKUP(J1,$AF$2009:$AG$2036,2,FALSE))</f>
        <v/>
      </c>
      <c r="AE2006" s="5930"/>
    </row>
    <row r="2007" spans="1:33" ht="12.75" customHeight="1" x14ac:dyDescent="0.2">
      <c r="A2007" s="302">
        <v>2002</v>
      </c>
      <c r="B2007" s="5720"/>
      <c r="C2007" s="1131" t="str">
        <f t="shared" si="272"/>
        <v/>
      </c>
      <c r="D2007" s="1089" t="str">
        <f>IF(Combate!AL16=" ","",Combate!AL16)</f>
        <v/>
      </c>
      <c r="E2007" s="1089" t="str">
        <f>D2007</f>
        <v/>
      </c>
      <c r="F2007" s="1094" t="str">
        <f t="shared" si="274"/>
        <v/>
      </c>
      <c r="G2007" s="5921"/>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933" t="s">
        <v>7863</v>
      </c>
      <c r="AG2007" s="5934"/>
    </row>
    <row r="2008" spans="1:33" ht="12.75" customHeight="1" x14ac:dyDescent="0.2">
      <c r="A2008" s="302">
        <v>2003</v>
      </c>
      <c r="B2008" s="5720"/>
      <c r="C2008" s="1131" t="str">
        <f>IF(D2008="","",COUNTIF($D$2002:$D$2044,"&lt;="&amp;D2008)-SUMPRODUCT(--($D$2002:$D$2044="")))</f>
        <v/>
      </c>
      <c r="D2008" s="750" t="str">
        <f>IFERROR(LEFT(H2008,FIND("(",H2008)-2),H2008)</f>
        <v/>
      </c>
      <c r="E2008" s="750" t="str">
        <f>D2008&amp;IF(ISNUMBER(I2008)," ("&amp;SUMIFS($I$2008:$I$2017,$D$2008:$D$2017,D2008)&amp;")","")</f>
        <v/>
      </c>
      <c r="F2008" s="1094" t="str">
        <f t="shared" si="274"/>
        <v/>
      </c>
      <c r="G2008" s="5922"/>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720"/>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22"/>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20"/>
      <c r="C2010" s="1131" t="str">
        <f t="shared" si="272"/>
        <v/>
      </c>
      <c r="D2010" s="750" t="str">
        <f t="shared" si="275"/>
        <v/>
      </c>
      <c r="E2010" s="750" t="str">
        <f t="shared" si="276"/>
        <v/>
      </c>
      <c r="F2010" s="1094" t="str">
        <f t="shared" si="274"/>
        <v/>
      </c>
      <c r="G2010" s="5922"/>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20"/>
      <c r="C2011" s="1131" t="str">
        <f t="shared" si="272"/>
        <v/>
      </c>
      <c r="D2011" s="750" t="str">
        <f t="shared" si="275"/>
        <v/>
      </c>
      <c r="E2011" s="750" t="str">
        <f t="shared" si="276"/>
        <v/>
      </c>
      <c r="F2011" s="1094" t="str">
        <f t="shared" si="274"/>
        <v/>
      </c>
      <c r="G2011" s="5922"/>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20"/>
      <c r="C2012" s="1131" t="str">
        <f t="shared" si="272"/>
        <v/>
      </c>
      <c r="D2012" s="750" t="str">
        <f t="shared" si="275"/>
        <v/>
      </c>
      <c r="E2012" s="750" t="str">
        <f t="shared" si="276"/>
        <v/>
      </c>
      <c r="F2012" s="1094" t="str">
        <f t="shared" si="274"/>
        <v/>
      </c>
      <c r="G2012" s="5922"/>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20"/>
      <c r="C2013" s="1131" t="str">
        <f t="shared" si="272"/>
        <v/>
      </c>
      <c r="D2013" s="750" t="str">
        <f t="shared" si="275"/>
        <v/>
      </c>
      <c r="E2013" s="750" t="str">
        <f t="shared" si="276"/>
        <v/>
      </c>
      <c r="F2013" s="1094" t="str">
        <f t="shared" si="274"/>
        <v/>
      </c>
      <c r="G2013" s="5922"/>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20"/>
      <c r="C2014" s="1131" t="str">
        <f t="shared" si="272"/>
        <v/>
      </c>
      <c r="D2014" s="750" t="str">
        <f t="shared" si="275"/>
        <v/>
      </c>
      <c r="E2014" s="750" t="str">
        <f t="shared" si="276"/>
        <v/>
      </c>
      <c r="F2014" s="1094" t="str">
        <f t="shared" si="274"/>
        <v/>
      </c>
      <c r="G2014" s="5922"/>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20"/>
      <c r="C2015" s="1131" t="str">
        <f t="shared" si="272"/>
        <v/>
      </c>
      <c r="D2015" s="750" t="str">
        <f t="shared" si="275"/>
        <v/>
      </c>
      <c r="E2015" s="750" t="str">
        <f t="shared" si="276"/>
        <v/>
      </c>
      <c r="F2015" s="1094" t="str">
        <f t="shared" si="274"/>
        <v/>
      </c>
      <c r="G2015" s="5922"/>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20"/>
      <c r="C2016" s="1131" t="str">
        <f t="shared" si="272"/>
        <v/>
      </c>
      <c r="D2016" s="750" t="str">
        <f t="shared" si="275"/>
        <v/>
      </c>
      <c r="E2016" s="750" t="str">
        <f t="shared" si="276"/>
        <v/>
      </c>
      <c r="F2016" s="1094" t="str">
        <f t="shared" si="274"/>
        <v/>
      </c>
      <c r="G2016" s="5922"/>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20"/>
      <c r="C2017" s="1131" t="str">
        <f>IF(D2017="","",COUNTIF($D$2002:$D$2044,"&lt;="&amp;D2017)-SUMPRODUCT(--($D$2002:$D$2044="")))</f>
        <v/>
      </c>
      <c r="D2017" s="1090" t="str">
        <f t="shared" si="275"/>
        <v/>
      </c>
      <c r="E2017" s="1090" t="str">
        <f t="shared" si="276"/>
        <v/>
      </c>
      <c r="F2017" s="1094" t="str">
        <f t="shared" si="274"/>
        <v/>
      </c>
      <c r="G2017" s="5922"/>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20"/>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922"/>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20"/>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22"/>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20"/>
      <c r="C2020" s="1135" t="str">
        <f t="shared" si="272"/>
        <v/>
      </c>
      <c r="D2020" s="750" t="str">
        <f t="shared" si="353"/>
        <v/>
      </c>
      <c r="E2020" s="750" t="str">
        <f t="shared" si="354"/>
        <v/>
      </c>
      <c r="F2020" s="1094" t="str">
        <f t="shared" si="274"/>
        <v/>
      </c>
      <c r="G2020" s="5922"/>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20"/>
      <c r="C2021" s="1135" t="str">
        <f t="shared" si="272"/>
        <v/>
      </c>
      <c r="D2021" s="750" t="str">
        <f t="shared" si="353"/>
        <v/>
      </c>
      <c r="E2021" s="750" t="str">
        <f t="shared" si="354"/>
        <v/>
      </c>
      <c r="F2021" s="1094" t="str">
        <f t="shared" si="274"/>
        <v/>
      </c>
      <c r="G2021" s="5922"/>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20"/>
      <c r="C2022" s="1135" t="str">
        <f t="shared" si="272"/>
        <v/>
      </c>
      <c r="D2022" s="750" t="str">
        <f t="shared" si="353"/>
        <v/>
      </c>
      <c r="E2022" s="750" t="str">
        <f t="shared" si="354"/>
        <v/>
      </c>
      <c r="F2022" s="1094" t="str">
        <f t="shared" si="274"/>
        <v/>
      </c>
      <c r="G2022" s="5922"/>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20"/>
      <c r="C2023" s="1135" t="str">
        <f t="shared" si="272"/>
        <v/>
      </c>
      <c r="D2023" s="750" t="str">
        <f t="shared" si="353"/>
        <v/>
      </c>
      <c r="E2023" s="750" t="str">
        <f t="shared" si="354"/>
        <v/>
      </c>
      <c r="F2023" s="1094" t="str">
        <f t="shared" si="274"/>
        <v/>
      </c>
      <c r="G2023" s="5922"/>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20"/>
      <c r="C2024" s="1135" t="str">
        <f t="shared" si="272"/>
        <v/>
      </c>
      <c r="D2024" s="750" t="str">
        <f t="shared" si="353"/>
        <v/>
      </c>
      <c r="E2024" s="750" t="str">
        <f t="shared" si="354"/>
        <v/>
      </c>
      <c r="F2024" s="1094" t="str">
        <f t="shared" si="274"/>
        <v/>
      </c>
      <c r="G2024" s="5922"/>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20"/>
      <c r="C2025" s="1135" t="str">
        <f t="shared" si="272"/>
        <v/>
      </c>
      <c r="D2025" s="750" t="str">
        <f t="shared" si="353"/>
        <v/>
      </c>
      <c r="E2025" s="750" t="str">
        <f t="shared" si="354"/>
        <v/>
      </c>
      <c r="F2025" s="1094" t="str">
        <f t="shared" si="274"/>
        <v/>
      </c>
      <c r="G2025" s="5922"/>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20"/>
      <c r="C2026" s="1135" t="str">
        <f t="shared" si="272"/>
        <v/>
      </c>
      <c r="D2026" s="750" t="str">
        <f t="shared" si="353"/>
        <v/>
      </c>
      <c r="E2026" s="750" t="str">
        <f t="shared" si="354"/>
        <v/>
      </c>
      <c r="F2026" s="1094" t="str">
        <f t="shared" si="274"/>
        <v/>
      </c>
      <c r="G2026" s="5922"/>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20"/>
      <c r="C2027" s="1135" t="str">
        <f t="shared" si="272"/>
        <v/>
      </c>
      <c r="D2027" s="750" t="str">
        <f t="shared" si="353"/>
        <v/>
      </c>
      <c r="E2027" s="750" t="str">
        <f t="shared" si="354"/>
        <v/>
      </c>
      <c r="F2027" s="1094" t="str">
        <f t="shared" si="274"/>
        <v/>
      </c>
      <c r="G2027" s="5922"/>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20"/>
      <c r="C2028" s="1135" t="str">
        <f t="shared" si="272"/>
        <v/>
      </c>
      <c r="D2028" s="750" t="str">
        <f t="shared" si="353"/>
        <v/>
      </c>
      <c r="E2028" s="750" t="str">
        <f t="shared" si="354"/>
        <v/>
      </c>
      <c r="F2028" s="1094" t="str">
        <f t="shared" si="274"/>
        <v/>
      </c>
      <c r="G2028" s="5922"/>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20"/>
      <c r="C2029" s="1135" t="str">
        <f t="shared" si="272"/>
        <v/>
      </c>
      <c r="D2029" s="750" t="str">
        <f t="shared" si="353"/>
        <v/>
      </c>
      <c r="E2029" s="750" t="str">
        <f t="shared" si="354"/>
        <v/>
      </c>
      <c r="F2029" s="1094" t="str">
        <f t="shared" si="274"/>
        <v/>
      </c>
      <c r="G2029" s="5922"/>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20"/>
      <c r="C2030" s="1135" t="str">
        <f t="shared" si="272"/>
        <v/>
      </c>
      <c r="D2030" s="750" t="str">
        <f t="shared" si="353"/>
        <v/>
      </c>
      <c r="E2030" s="750" t="str">
        <f t="shared" si="354"/>
        <v/>
      </c>
      <c r="F2030" s="1094" t="str">
        <f t="shared" si="274"/>
        <v/>
      </c>
      <c r="G2030" s="5922"/>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20"/>
      <c r="C2031" s="1135" t="str">
        <f t="shared" si="272"/>
        <v/>
      </c>
      <c r="D2031" s="750" t="str">
        <f t="shared" si="353"/>
        <v/>
      </c>
      <c r="E2031" s="750" t="str">
        <f t="shared" si="354"/>
        <v/>
      </c>
      <c r="F2031" s="1094" t="str">
        <f t="shared" si="274"/>
        <v/>
      </c>
      <c r="G2031" s="5922"/>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20"/>
      <c r="C2032" s="1135" t="str">
        <f t="shared" si="272"/>
        <v/>
      </c>
      <c r="D2032" s="750" t="str">
        <f t="shared" si="353"/>
        <v/>
      </c>
      <c r="E2032" s="750" t="str">
        <f t="shared" si="354"/>
        <v/>
      </c>
      <c r="F2032" s="1094" t="str">
        <f t="shared" si="274"/>
        <v/>
      </c>
      <c r="G2032" s="5922"/>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20"/>
      <c r="C2033" s="1135" t="str">
        <f t="shared" si="272"/>
        <v/>
      </c>
      <c r="D2033" s="750" t="str">
        <f t="shared" si="353"/>
        <v/>
      </c>
      <c r="E2033" s="750" t="str">
        <f t="shared" si="354"/>
        <v/>
      </c>
      <c r="F2033" s="1094" t="str">
        <f t="shared" si="274"/>
        <v/>
      </c>
      <c r="G2033" s="5922"/>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20"/>
      <c r="C2034" s="1135" t="str">
        <f t="shared" si="272"/>
        <v/>
      </c>
      <c r="D2034" s="750" t="str">
        <f t="shared" si="353"/>
        <v/>
      </c>
      <c r="E2034" s="750" t="str">
        <f t="shared" si="354"/>
        <v/>
      </c>
      <c r="F2034" s="1094" t="str">
        <f t="shared" si="274"/>
        <v/>
      </c>
      <c r="G2034" s="5922"/>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20"/>
      <c r="C2035" s="1135" t="str">
        <f t="shared" si="272"/>
        <v/>
      </c>
      <c r="D2035" s="750" t="str">
        <f t="shared" si="353"/>
        <v/>
      </c>
      <c r="E2035" s="750" t="str">
        <f t="shared" si="354"/>
        <v/>
      </c>
      <c r="F2035" s="1094" t="str">
        <f t="shared" si="274"/>
        <v/>
      </c>
      <c r="G2035" s="5922"/>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20"/>
      <c r="C2036" s="1135" t="str">
        <f t="shared" si="272"/>
        <v/>
      </c>
      <c r="D2036" s="750" t="str">
        <f t="shared" si="353"/>
        <v/>
      </c>
      <c r="E2036" s="750" t="str">
        <f t="shared" si="354"/>
        <v/>
      </c>
      <c r="F2036" s="1094" t="str">
        <f t="shared" si="274"/>
        <v/>
      </c>
      <c r="G2036" s="5922"/>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20"/>
      <c r="C2037" s="1131" t="str">
        <f t="shared" ref="C2037:C2044" si="499">IF(D2037="","",COUNTIF($D$2002:$D$2044,"&lt;="&amp;D2037)-SUMPRODUCT(--($D$2002:$D$2044="")))</f>
        <v/>
      </c>
      <c r="D2037" s="750" t="str">
        <f>Combate!AB50</f>
        <v/>
      </c>
      <c r="E2037" s="750" t="str">
        <f t="shared" ref="E2037:E2044" si="500">D2037</f>
        <v/>
      </c>
      <c r="F2037" s="1094" t="str">
        <f t="shared" si="274"/>
        <v/>
      </c>
      <c r="G2037" s="5921"/>
      <c r="J2037" s="5925" t="str">
        <f>K2007&amp;K2008&amp;K2009&amp;K2010&amp;K2011&amp;K2012&amp;K2013&amp;K2014&amp;K2015&amp;K2016&amp;K2017&amp;K2018&amp;K2019&amp;K2020&amp;K2021&amp;K2022&amp;K2023&amp;K2024&amp;K2025&amp;K2026&amp;K2027&amp;K2028&amp;K2029&amp;K2031&amp;K2030&amp;K2032&amp;K2033&amp;K2035&amp;K2034&amp;K2036</f>
        <v/>
      </c>
      <c r="K2037" s="5926"/>
      <c r="L2037" s="5932" t="str">
        <f>IF(L2006="","",L2006&amp;" ("&amp;M2008&amp;M2009&amp;M2010&amp;M2011&amp;M2012&amp;M2013&amp;M2014&amp;M2015&amp;M2016&amp;M2017&amp;M2018&amp;M2019&amp;M2020&amp;M2021&amp;M2022&amp;M2023&amp;M2024&amp;M2025&amp;M2026&amp;M2027&amp;M2028&amp;M2029&amp;M2030&amp;M2031&amp;M2032&amp;M2033&amp;M2034&amp;M2035&amp;M2036&amp;")")</f>
        <v/>
      </c>
      <c r="M2037" s="5932"/>
      <c r="N2037" s="5932" t="str">
        <f>IF(N2006="","",N2006&amp;" ("&amp;O2008&amp;O2009&amp;O2010&amp;O2011&amp;O2012&amp;O2013&amp;O2014&amp;O2015&amp;O2016&amp;O2017&amp;O2018&amp;O2019&amp;O2020&amp;O2021&amp;O2022&amp;O2023&amp;O2024&amp;O2025&amp;O2026&amp;O2027&amp;O2028&amp;O2029&amp;O2030&amp;O2031&amp;O2032&amp;O2033&amp;O2034&amp;O2035&amp;O2036&amp;")")</f>
        <v/>
      </c>
      <c r="O2037" s="5932"/>
      <c r="P2037" s="5932" t="str">
        <f>IF(P2006="","",P2006&amp;" ("&amp;Q2008&amp;Q2009&amp;Q2010&amp;Q2011&amp;Q2012&amp;Q2013&amp;Q2014&amp;Q2015&amp;Q2016&amp;Q2017&amp;Q2018&amp;Q2019&amp;Q2020&amp;Q2021&amp;Q2022&amp;Q2023&amp;Q2024&amp;Q2025&amp;Q2026&amp;Q2027&amp;Q2028&amp;Q2029&amp;Q2030&amp;Q2031&amp;Q2032&amp;Q2033&amp;Q2034&amp;Q2035&amp;Q2036&amp;")")</f>
        <v/>
      </c>
      <c r="Q2037" s="5932"/>
      <c r="R2037" s="5932" t="str">
        <f>IF(R2006="","",R2006&amp;" ("&amp;S2008&amp;S2009&amp;S2010&amp;S2011&amp;S2012&amp;S2013&amp;S2014&amp;S2015&amp;S2016&amp;S2017&amp;S2018&amp;S2019&amp;S2020&amp;S2021&amp;S2022&amp;S2023&amp;S2024&amp;S2025&amp;S2026&amp;S2027&amp;S2028&amp;S2029&amp;S2030&amp;S2031&amp;S2032&amp;S2033&amp;S2034&amp;S2035&amp;S2036&amp;")")</f>
        <v/>
      </c>
      <c r="S2037" s="5932"/>
      <c r="T2037" s="5932" t="str">
        <f>IF(T2006="","",T2006&amp;" ("&amp;U2008&amp;U2009&amp;U2010&amp;U2011&amp;U2012&amp;U2013&amp;U2014&amp;U2015&amp;U2016&amp;U2017&amp;U2018&amp;U2019&amp;U2020&amp;U2021&amp;U2022&amp;U2023&amp;U2024&amp;U2025&amp;U2026&amp;U2027&amp;U2028&amp;U2029&amp;U2030&amp;U2031&amp;U2032&amp;U2033&amp;U2034&amp;U2035&amp;U2036&amp;")")</f>
        <v/>
      </c>
      <c r="U2037" s="5932"/>
      <c r="V2037" s="5932" t="str">
        <f>IF(V2006="","",V2006&amp;" ("&amp;W2008&amp;W2009&amp;W2010&amp;W2011&amp;W2012&amp;W2013&amp;W2014&amp;W2015&amp;W2016&amp;W2017&amp;W2018&amp;W2019&amp;W2020&amp;W2021&amp;W2022&amp;W2023&amp;W2024&amp;W2025&amp;W2026&amp;W2027&amp;W2028&amp;W2029&amp;W2030&amp;W2031&amp;W2032&amp;W2033&amp;W2034&amp;W2035&amp;W2036&amp;")")</f>
        <v/>
      </c>
      <c r="W2037" s="5932"/>
      <c r="X2037" s="5932" t="str">
        <f>IF(X2006="","",X2006&amp;" ("&amp;Y2008&amp;Y2009&amp;Y2010&amp;Y2011&amp;Y2012&amp;Y2013&amp;Y2014&amp;Y2015&amp;Y2016&amp;Y2017&amp;Y2018&amp;Y2019&amp;Y2020&amp;Y2021&amp;Y2022&amp;Y2023&amp;Y2024&amp;Y2025&amp;Y2026&amp;Y2027&amp;Y2028&amp;Y2029&amp;Y2030&amp;Y2031&amp;Y2032&amp;Y2033&amp;Y2034&amp;Y2035&amp;Y2036&amp;")")</f>
        <v/>
      </c>
      <c r="Y2037" s="5932"/>
      <c r="Z2037" s="593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32"/>
      <c r="AB2037" s="593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31"/>
      <c r="AD2037" s="593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35"/>
    </row>
    <row r="2038" spans="1:33" ht="12.75" customHeight="1" x14ac:dyDescent="0.2">
      <c r="A2038" s="302">
        <v>2033</v>
      </c>
      <c r="B2038" s="5720"/>
      <c r="C2038" s="1131" t="str">
        <f t="shared" si="499"/>
        <v/>
      </c>
      <c r="D2038" s="750" t="str">
        <f>Combate!AB51</f>
        <v/>
      </c>
      <c r="E2038" s="750" t="str">
        <f t="shared" si="500"/>
        <v/>
      </c>
      <c r="F2038" s="1094" t="str">
        <f t="shared" si="274"/>
        <v/>
      </c>
      <c r="G2038" s="5921"/>
      <c r="J2038" s="5925"/>
      <c r="K2038" s="5926"/>
      <c r="L2038" s="5983" t="str">
        <f>L2037&amp;IF(N2037="","",", "&amp;N2037)&amp;IF(P2037="","",", "&amp;P2037)&amp;IF(R2037="","",", "&amp;R2037)&amp;IF(T2037="","",", "&amp;T2037)&amp;IF(V2037="","",", "&amp;V2037)&amp;IF(X2037="","",", "&amp;X2037)&amp;IF(Z2037="","",", "&amp;Z2037)&amp;IF(AB2037="","",", "&amp;AB2037)&amp;IF(AD2037="","",", "&amp;AD2037)</f>
        <v/>
      </c>
      <c r="M2038" s="5984"/>
      <c r="N2038" s="5984"/>
      <c r="O2038" s="5984"/>
      <c r="P2038" s="5984"/>
      <c r="Q2038" s="5984"/>
      <c r="R2038" s="5984"/>
      <c r="S2038" s="5984"/>
      <c r="T2038" s="5984"/>
      <c r="U2038" s="5984"/>
      <c r="V2038" s="5984"/>
      <c r="W2038" s="5984"/>
      <c r="X2038" s="5984"/>
      <c r="Y2038" s="5984"/>
      <c r="Z2038" s="5984"/>
      <c r="AA2038" s="5984"/>
      <c r="AB2038" s="5984"/>
      <c r="AC2038" s="5984"/>
      <c r="AD2038" s="5984"/>
      <c r="AE2038" s="5985"/>
    </row>
    <row r="2039" spans="1:33" ht="12.75" customHeight="1" x14ac:dyDescent="0.2">
      <c r="A2039" s="302">
        <v>2034</v>
      </c>
      <c r="B2039" s="5720"/>
      <c r="C2039" s="1131" t="str">
        <f t="shared" si="499"/>
        <v/>
      </c>
      <c r="D2039" s="750" t="str">
        <f>Combate!AB52</f>
        <v/>
      </c>
      <c r="E2039" s="750" t="str">
        <f t="shared" si="500"/>
        <v/>
      </c>
      <c r="F2039" s="1094" t="str">
        <f t="shared" si="274"/>
        <v/>
      </c>
      <c r="G2039" s="5921"/>
      <c r="J2039" s="5986" t="str">
        <f>L2038&amp;IF(L2038="",J2037,", "&amp;J2037)</f>
        <v/>
      </c>
      <c r="K2039" s="5987"/>
      <c r="L2039" s="5987"/>
      <c r="M2039" s="5987"/>
      <c r="N2039" s="5987"/>
      <c r="O2039" s="5987"/>
      <c r="P2039" s="5987"/>
      <c r="Q2039" s="5987"/>
      <c r="R2039" s="5987"/>
      <c r="S2039" s="5987"/>
      <c r="T2039" s="5987"/>
      <c r="U2039" s="5987"/>
      <c r="V2039" s="5987"/>
      <c r="W2039" s="5987"/>
      <c r="X2039" s="5987"/>
      <c r="Y2039" s="5987"/>
      <c r="Z2039" s="5987"/>
      <c r="AA2039" s="5987"/>
      <c r="AB2039" s="5987"/>
      <c r="AC2039" s="5987"/>
      <c r="AD2039" s="5987"/>
      <c r="AE2039" s="5988"/>
    </row>
    <row r="2040" spans="1:33" ht="12.75" customHeight="1" thickBot="1" x14ac:dyDescent="0.25">
      <c r="A2040" s="302">
        <v>2035</v>
      </c>
      <c r="B2040" s="5720"/>
      <c r="C2040" s="1131" t="str">
        <f t="shared" si="499"/>
        <v/>
      </c>
      <c r="D2040" s="973" t="str">
        <f>Combate!AB55</f>
        <v/>
      </c>
      <c r="E2040" s="973" t="str">
        <f t="shared" si="500"/>
        <v/>
      </c>
      <c r="F2040" s="1094" t="str">
        <f t="shared" si="274"/>
        <v/>
      </c>
      <c r="G2040" s="5921"/>
      <c r="J2040" s="5989"/>
      <c r="K2040" s="5990"/>
      <c r="L2040" s="5990"/>
      <c r="M2040" s="5990"/>
      <c r="N2040" s="5990"/>
      <c r="O2040" s="5990"/>
      <c r="P2040" s="5990"/>
      <c r="Q2040" s="5990"/>
      <c r="R2040" s="5990"/>
      <c r="S2040" s="5990"/>
      <c r="T2040" s="5990"/>
      <c r="U2040" s="5990"/>
      <c r="V2040" s="5990"/>
      <c r="W2040" s="5990"/>
      <c r="X2040" s="5990"/>
      <c r="Y2040" s="5990"/>
      <c r="Z2040" s="5990"/>
      <c r="AA2040" s="5990"/>
      <c r="AB2040" s="5990"/>
      <c r="AC2040" s="5990"/>
      <c r="AD2040" s="5990"/>
      <c r="AE2040" s="5991"/>
    </row>
    <row r="2041" spans="1:33" ht="12.75" customHeight="1" x14ac:dyDescent="0.2">
      <c r="A2041" s="302">
        <v>2036</v>
      </c>
      <c r="B2041" s="5720"/>
      <c r="C2041" s="1131" t="str">
        <f t="shared" si="499"/>
        <v/>
      </c>
      <c r="D2041" s="750" t="str">
        <f>Combate!AB57</f>
        <v/>
      </c>
      <c r="E2041" s="750" t="str">
        <f t="shared" si="500"/>
        <v/>
      </c>
      <c r="F2041" s="1094" t="str">
        <f t="shared" si="274"/>
        <v/>
      </c>
      <c r="G2041" s="5921"/>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20"/>
      <c r="C2042" s="1131" t="str">
        <f t="shared" si="499"/>
        <v/>
      </c>
      <c r="D2042" s="750" t="str">
        <f>Combate!AB59</f>
        <v/>
      </c>
      <c r="E2042" s="750" t="str">
        <f t="shared" si="500"/>
        <v/>
      </c>
      <c r="F2042" s="1094" t="str">
        <f t="shared" si="274"/>
        <v/>
      </c>
      <c r="G2042" s="5921"/>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20"/>
      <c r="C2043" s="1131" t="str">
        <f t="shared" si="499"/>
        <v/>
      </c>
      <c r="D2043" s="750" t="str">
        <f>Combate!AB61</f>
        <v/>
      </c>
      <c r="E2043" s="750" t="str">
        <f t="shared" si="500"/>
        <v/>
      </c>
      <c r="F2043" s="1094" t="str">
        <f t="shared" si="274"/>
        <v/>
      </c>
      <c r="G2043" s="5921"/>
      <c r="H2043" s="222"/>
      <c r="I2043" s="726"/>
      <c r="N2043" s="222"/>
      <c r="O2043" s="983"/>
    </row>
    <row r="2044" spans="1:33" ht="12.75" customHeight="1" thickBot="1" x14ac:dyDescent="0.25">
      <c r="A2044" s="302">
        <v>2039</v>
      </c>
      <c r="B2044" s="5720"/>
      <c r="C2044" s="1133" t="str">
        <f t="shared" si="499"/>
        <v/>
      </c>
      <c r="D2044" s="751" t="str">
        <f>Combate!AB63</f>
        <v/>
      </c>
      <c r="E2044" s="751" t="str">
        <f t="shared" si="500"/>
        <v/>
      </c>
      <c r="F2044" s="1095" t="str">
        <f t="shared" si="274"/>
        <v/>
      </c>
      <c r="G2044" s="5923"/>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25" priority="3">
      <formula>"No"</formula>
    </cfRule>
  </conditionalFormatting>
  <conditionalFormatting sqref="X1208:Y1208">
    <cfRule type="expression" dxfId="424"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666" zoomScaleNormal="100" workbookViewId="0"/>
  </sheetViews>
  <sheetFormatPr baseColWidth="10"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35" t="s">
        <v>3763</v>
      </c>
      <c r="D2" s="6036"/>
      <c r="E2" s="6036"/>
      <c r="F2" s="6036"/>
      <c r="G2" s="6036"/>
      <c r="H2" s="6036"/>
      <c r="I2" s="6036"/>
      <c r="J2" s="6036"/>
      <c r="K2" s="6036"/>
      <c r="L2" s="6036"/>
      <c r="M2" s="6036"/>
      <c r="N2" s="6036"/>
      <c r="O2" s="6036"/>
      <c r="P2" s="6036"/>
      <c r="Q2" s="6036"/>
      <c r="R2" s="6036"/>
      <c r="S2" s="6036"/>
      <c r="T2" s="6036"/>
      <c r="U2" s="6036"/>
      <c r="V2" s="6036"/>
      <c r="W2" s="6036"/>
      <c r="X2" s="6036"/>
      <c r="Y2" s="6036"/>
      <c r="Z2" s="6037"/>
    </row>
    <row r="3" spans="2:26" ht="12.75" customHeight="1" x14ac:dyDescent="0.2">
      <c r="B3" s="1055"/>
      <c r="C3" s="6038"/>
      <c r="D3" s="6039"/>
      <c r="E3" s="6039"/>
      <c r="F3" s="6039"/>
      <c r="G3" s="6039"/>
      <c r="H3" s="6039"/>
      <c r="I3" s="6039"/>
      <c r="J3" s="6039"/>
      <c r="K3" s="6039"/>
      <c r="L3" s="6039"/>
      <c r="M3" s="6039"/>
      <c r="N3" s="6039"/>
      <c r="O3" s="6039"/>
      <c r="P3" s="6039"/>
      <c r="Q3" s="6039"/>
      <c r="R3" s="6039"/>
      <c r="S3" s="6039"/>
      <c r="T3" s="6039"/>
      <c r="U3" s="6039"/>
      <c r="V3" s="6039"/>
      <c r="W3" s="6039"/>
      <c r="X3" s="6039"/>
      <c r="Y3" s="6039"/>
      <c r="Z3" s="6040"/>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46" t="s">
        <v>2923</v>
      </c>
      <c r="D2" s="4647"/>
      <c r="E2" s="4647"/>
      <c r="F2" s="4647"/>
      <c r="G2" s="4648"/>
      <c r="I2" s="6087" t="s">
        <v>2924</v>
      </c>
      <c r="J2" s="6088"/>
      <c r="L2" s="6090" t="s">
        <v>2925</v>
      </c>
    </row>
    <row r="3" spans="1:14" x14ac:dyDescent="0.2">
      <c r="A3" s="372">
        <v>3</v>
      </c>
      <c r="C3" s="6087"/>
      <c r="D3" s="6088"/>
      <c r="E3" s="6088"/>
      <c r="F3" s="6088"/>
      <c r="G3" s="6089"/>
      <c r="I3" s="6087"/>
      <c r="J3" s="6088"/>
      <c r="L3" s="6091"/>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46" t="s">
        <v>2567</v>
      </c>
      <c r="D15" s="4648"/>
      <c r="F15" s="4646" t="s">
        <v>2967</v>
      </c>
      <c r="G15" s="4647"/>
      <c r="H15" s="4647"/>
      <c r="I15" s="4647"/>
      <c r="J15" s="4647"/>
      <c r="K15" s="4647"/>
      <c r="L15" s="4647"/>
      <c r="M15" s="4647"/>
      <c r="N15" s="4648"/>
    </row>
    <row r="16" spans="1:14" x14ac:dyDescent="0.2">
      <c r="A16" s="372">
        <v>16</v>
      </c>
      <c r="C16" s="6087"/>
      <c r="D16" s="6089"/>
      <c r="F16" s="6087"/>
      <c r="G16" s="6088"/>
      <c r="H16" s="6088"/>
      <c r="I16" s="6088"/>
      <c r="J16" s="6088"/>
      <c r="K16" s="6088"/>
      <c r="L16" s="6088"/>
      <c r="M16" s="6088"/>
      <c r="N16" s="6089"/>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46" t="s">
        <v>2984</v>
      </c>
      <c r="D27" s="4647"/>
      <c r="E27" s="4647"/>
      <c r="F27" s="4647"/>
      <c r="G27" s="4647"/>
      <c r="H27" s="4647"/>
      <c r="I27" s="4647"/>
      <c r="J27" s="4647"/>
      <c r="K27" s="4648"/>
    </row>
    <row r="28" spans="1:14" ht="12.75" customHeight="1" thickBot="1" x14ac:dyDescent="0.25">
      <c r="A28" s="372">
        <v>28</v>
      </c>
      <c r="C28" s="4697"/>
      <c r="D28" s="4698"/>
      <c r="E28" s="4698"/>
      <c r="F28" s="4698"/>
      <c r="G28" s="4698"/>
      <c r="H28" s="4698"/>
      <c r="I28" s="4698"/>
      <c r="J28" s="4698"/>
      <c r="K28" s="4699"/>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79" t="s">
        <v>2985</v>
      </c>
      <c r="D89" s="6080"/>
      <c r="E89" s="6080"/>
      <c r="F89" s="6080"/>
      <c r="G89" s="403" t="s">
        <v>2986</v>
      </c>
      <c r="H89" s="404"/>
      <c r="I89" s="405"/>
      <c r="J89" s="405"/>
      <c r="K89" s="405"/>
      <c r="L89" s="405"/>
      <c r="M89" s="405"/>
      <c r="N89" s="405"/>
      <c r="O89" s="405"/>
      <c r="P89" s="405"/>
      <c r="Q89" s="405"/>
      <c r="R89" s="6083" t="s">
        <v>2987</v>
      </c>
    </row>
    <row r="90" spans="1:18" ht="13.5" thickBot="1" x14ac:dyDescent="0.25">
      <c r="C90" s="6085" t="s">
        <v>2988</v>
      </c>
      <c r="D90" s="6085"/>
      <c r="E90" s="6085"/>
      <c r="F90" s="407" t="s">
        <v>2568</v>
      </c>
      <c r="G90" s="406" t="s">
        <v>2989</v>
      </c>
      <c r="H90" s="407" t="s">
        <v>2990</v>
      </c>
      <c r="I90" s="384"/>
      <c r="J90" s="384"/>
      <c r="K90" s="384"/>
      <c r="L90" s="6086" t="s">
        <v>1824</v>
      </c>
      <c r="M90" s="6086"/>
      <c r="N90" s="6086"/>
      <c r="O90" s="6086"/>
      <c r="P90" s="6086"/>
      <c r="Q90" s="6086"/>
      <c r="R90" s="6084"/>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6051" t="s">
        <v>2993</v>
      </c>
      <c r="M92" s="6069"/>
      <c r="N92" s="6069"/>
      <c r="O92" s="6069"/>
      <c r="P92" s="6069"/>
      <c r="Q92" s="6069"/>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6051" t="s">
        <v>2995</v>
      </c>
      <c r="M93" s="6069"/>
      <c r="N93" s="6069"/>
      <c r="O93" s="6069"/>
      <c r="P93" s="6069"/>
      <c r="Q93" s="6069"/>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6051" t="s">
        <v>2997</v>
      </c>
      <c r="M94" s="6069"/>
      <c r="N94" s="6069"/>
      <c r="O94" s="6069"/>
      <c r="P94" s="6069"/>
      <c r="Q94" s="6069"/>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6051" t="s">
        <v>2999</v>
      </c>
      <c r="M95" s="6069"/>
      <c r="N95" s="6069"/>
      <c r="O95" s="6069"/>
      <c r="P95" s="6069"/>
      <c r="Q95" s="6069"/>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6077" t="s">
        <v>3001</v>
      </c>
      <c r="M96" s="6069"/>
      <c r="N96" s="6069"/>
      <c r="O96" s="6069"/>
      <c r="P96" s="6069"/>
      <c r="Q96" s="6069"/>
      <c r="R96" s="858" t="s">
        <v>1729</v>
      </c>
    </row>
    <row r="97" spans="2:18" x14ac:dyDescent="0.2">
      <c r="B97" s="411">
        <f t="shared" si="0"/>
        <v>0</v>
      </c>
      <c r="C97" s="409" t="s">
        <v>3002</v>
      </c>
      <c r="D97" s="409"/>
      <c r="E97" s="409"/>
      <c r="F97" s="410"/>
      <c r="G97" s="843"/>
      <c r="H97" s="843"/>
      <c r="I97" s="843" t="s">
        <v>1729</v>
      </c>
      <c r="J97" s="845" t="s">
        <v>1729</v>
      </c>
      <c r="K97" s="843" t="s">
        <v>1729</v>
      </c>
      <c r="L97" s="6051"/>
      <c r="M97" s="6069"/>
      <c r="N97" s="6069"/>
      <c r="O97" s="6069"/>
      <c r="P97" s="6069"/>
      <c r="Q97" s="6069"/>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6051" t="s">
        <v>3004</v>
      </c>
      <c r="M98" s="6069"/>
      <c r="N98" s="6069"/>
      <c r="O98" s="6069"/>
      <c r="P98" s="6069"/>
      <c r="Q98" s="6069"/>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6051" t="s">
        <v>3006</v>
      </c>
      <c r="M99" s="6069"/>
      <c r="N99" s="6069"/>
      <c r="O99" s="6069"/>
      <c r="P99" s="6069"/>
      <c r="Q99" s="6069"/>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6051" t="s">
        <v>3008</v>
      </c>
      <c r="M100" s="6069"/>
      <c r="N100" s="6069"/>
      <c r="O100" s="6069"/>
      <c r="P100" s="6069"/>
      <c r="Q100" s="6069"/>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6077" t="s">
        <v>3010</v>
      </c>
      <c r="M101" s="6069"/>
      <c r="N101" s="6069"/>
      <c r="O101" s="6069"/>
      <c r="P101" s="6069"/>
      <c r="Q101" s="6069"/>
      <c r="R101" s="859"/>
    </row>
    <row r="102" spans="2:18" x14ac:dyDescent="0.2">
      <c r="B102" s="411">
        <f t="shared" si="0"/>
        <v>0</v>
      </c>
      <c r="C102" s="409" t="s">
        <v>3011</v>
      </c>
      <c r="D102" s="409"/>
      <c r="E102" s="409"/>
      <c r="F102" s="410"/>
      <c r="G102" s="843"/>
      <c r="H102" s="843"/>
      <c r="I102" s="843" t="s">
        <v>1729</v>
      </c>
      <c r="J102" s="843" t="s">
        <v>1729</v>
      </c>
      <c r="K102" s="843" t="s">
        <v>1729</v>
      </c>
      <c r="L102" s="6051"/>
      <c r="M102" s="6069"/>
      <c r="N102" s="6069"/>
      <c r="O102" s="6069"/>
      <c r="P102" s="6069"/>
      <c r="Q102" s="6069"/>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6077" t="s">
        <v>3013</v>
      </c>
      <c r="M103" s="6069"/>
      <c r="N103" s="6069"/>
      <c r="O103" s="6069"/>
      <c r="P103" s="6069"/>
      <c r="Q103" s="6069"/>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6077" t="s">
        <v>3015</v>
      </c>
      <c r="M104" s="6069"/>
      <c r="N104" s="6069"/>
      <c r="O104" s="6069"/>
      <c r="P104" s="6069"/>
      <c r="Q104" s="6069"/>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6077" t="s">
        <v>3017</v>
      </c>
      <c r="M105" s="6069"/>
      <c r="N105" s="6069"/>
      <c r="O105" s="6069"/>
      <c r="P105" s="6069"/>
      <c r="Q105" s="6069"/>
      <c r="R105" s="858" t="s">
        <v>1729</v>
      </c>
    </row>
    <row r="106" spans="2:18" x14ac:dyDescent="0.2">
      <c r="B106" s="411">
        <f t="shared" si="0"/>
        <v>0</v>
      </c>
      <c r="C106" s="409" t="s">
        <v>3018</v>
      </c>
      <c r="D106" s="409"/>
      <c r="E106" s="409"/>
      <c r="F106" s="410"/>
      <c r="G106" s="843"/>
      <c r="H106" s="843"/>
      <c r="I106" s="843" t="s">
        <v>1729</v>
      </c>
      <c r="J106" s="843" t="s">
        <v>1729</v>
      </c>
      <c r="K106" s="843" t="s">
        <v>1729</v>
      </c>
      <c r="L106" s="6051"/>
      <c r="M106" s="6069"/>
      <c r="N106" s="6069"/>
      <c r="O106" s="6069"/>
      <c r="P106" s="6069"/>
      <c r="Q106" s="6069"/>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6051" t="s">
        <v>3020</v>
      </c>
      <c r="M107" s="6069"/>
      <c r="N107" s="6069"/>
      <c r="O107" s="6069"/>
      <c r="P107" s="6069"/>
      <c r="Q107" s="6069"/>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6077" t="s">
        <v>3022</v>
      </c>
      <c r="M108" s="6069"/>
      <c r="N108" s="6069"/>
      <c r="O108" s="6069"/>
      <c r="P108" s="6069"/>
      <c r="Q108" s="6069"/>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6078" t="s">
        <v>3024</v>
      </c>
      <c r="M109" s="6073"/>
      <c r="N109" s="6073"/>
      <c r="O109" s="6073"/>
      <c r="P109" s="6073"/>
      <c r="Q109" s="6073"/>
      <c r="R109" s="858" t="s">
        <v>1729</v>
      </c>
    </row>
    <row r="110" spans="2:18" ht="13.5" thickBot="1" x14ac:dyDescent="0.25">
      <c r="B110" s="411">
        <f>G110</f>
        <v>0</v>
      </c>
      <c r="C110" s="6081" t="s">
        <v>3025</v>
      </c>
      <c r="D110" s="6082"/>
      <c r="E110" s="6082"/>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6074" t="s">
        <v>1824</v>
      </c>
      <c r="M111" s="6074"/>
      <c r="N111" s="6074"/>
      <c r="O111" s="6074"/>
      <c r="P111" s="6074"/>
      <c r="Q111" s="6074"/>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6069" t="s">
        <v>3030</v>
      </c>
      <c r="M112" s="6069"/>
      <c r="N112" s="6069"/>
      <c r="O112" s="6069"/>
      <c r="P112" s="6069"/>
      <c r="Q112" s="6069"/>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6069" t="s">
        <v>3032</v>
      </c>
      <c r="M113" s="6069"/>
      <c r="N113" s="6069"/>
      <c r="O113" s="6069"/>
      <c r="P113" s="6069"/>
      <c r="Q113" s="6069"/>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6069" t="s">
        <v>3034</v>
      </c>
      <c r="M114" s="6069"/>
      <c r="N114" s="6069"/>
      <c r="O114" s="6069"/>
      <c r="P114" s="6069"/>
      <c r="Q114" s="6069"/>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6069" t="s">
        <v>3036</v>
      </c>
      <c r="M115" s="6069"/>
      <c r="N115" s="6069"/>
      <c r="O115" s="6069"/>
      <c r="P115" s="6069"/>
      <c r="Q115" s="6069"/>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69" t="s">
        <v>3037</v>
      </c>
      <c r="M116" s="6069"/>
      <c r="N116" s="6069"/>
      <c r="O116" s="6069"/>
      <c r="P116" s="6069"/>
      <c r="Q116" s="6069"/>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6069" t="s">
        <v>3039</v>
      </c>
      <c r="M117" s="6069"/>
      <c r="N117" s="6069"/>
      <c r="O117" s="6069"/>
      <c r="P117" s="6069"/>
      <c r="Q117" s="6069"/>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6070" t="str">
        <f>"+2 FUE al alcance y +"&amp;Sheele!H15&amp;" al daño de proyectiles de quien esté en contacto con ella."</f>
        <v>+2 FUE al alcance y +10 al daño de proyectiles de quien esté en contacto con ella.</v>
      </c>
      <c r="M118" s="6069"/>
      <c r="N118" s="6069"/>
      <c r="O118" s="6069"/>
      <c r="P118" s="6069"/>
      <c r="Q118" s="6069"/>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6070" t="s">
        <v>3042</v>
      </c>
      <c r="M119" s="6069"/>
      <c r="N119" s="6069"/>
      <c r="O119" s="6069"/>
      <c r="P119" s="6069"/>
      <c r="Q119" s="6069"/>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6069" t="str">
        <f>"Aquel en contacto RF "&amp;Sheele!N21*2+Sheele!H15&amp;" o daño igual al nivel de fracaso. Inmune a ataques físicos"</f>
        <v>Aquel en contacto RF 60 o daño igual al nivel de fracaso. Inmune a ataques físicos</v>
      </c>
      <c r="M120" s="6069"/>
      <c r="N120" s="6069"/>
      <c r="O120" s="6069"/>
      <c r="P120" s="6069"/>
      <c r="Q120" s="6069"/>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6072" t="s">
        <v>3046</v>
      </c>
      <c r="M121" s="6073"/>
      <c r="N121" s="6073"/>
      <c r="O121" s="6073"/>
      <c r="P121" s="6073"/>
      <c r="Q121" s="6073"/>
      <c r="R121" s="858" t="s">
        <v>1729</v>
      </c>
    </row>
    <row r="122" spans="2:18" x14ac:dyDescent="0.2">
      <c r="B122" s="411">
        <f t="shared" si="0"/>
        <v>0</v>
      </c>
      <c r="C122" s="850" t="s">
        <v>2937</v>
      </c>
      <c r="D122" s="425"/>
      <c r="E122" s="425"/>
      <c r="F122" s="417"/>
      <c r="G122" s="422"/>
      <c r="H122" s="421"/>
      <c r="I122" s="426" t="s">
        <v>3027</v>
      </c>
      <c r="J122" s="419" t="s">
        <v>3028</v>
      </c>
      <c r="K122" s="418" t="s">
        <v>1841</v>
      </c>
      <c r="L122" s="6074" t="s">
        <v>1824</v>
      </c>
      <c r="M122" s="6074"/>
      <c r="N122" s="6074"/>
      <c r="O122" s="6074"/>
      <c r="P122" s="6074"/>
      <c r="Q122" s="6074"/>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6069" t="s">
        <v>3049</v>
      </c>
      <c r="M123" s="6069"/>
      <c r="N123" s="6069"/>
      <c r="O123" s="6069"/>
      <c r="P123" s="6069"/>
      <c r="Q123" s="6069"/>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6069" t="str">
        <f>"Ataque CON, Área "&amp;Sheele!N21&amp;"m. Aquellos en contacto son inmunes. Impacto FUE "&amp;Sheele!G15</f>
        <v>Ataque CON, Área 25m. Aquellos en contacto son inmunes. Impacto FUE 8</v>
      </c>
      <c r="M124" s="6069"/>
      <c r="N124" s="6069"/>
      <c r="O124" s="6069"/>
      <c r="P124" s="6069"/>
      <c r="Q124" s="6069"/>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6069" t="s">
        <v>3052</v>
      </c>
      <c r="M125" s="6069"/>
      <c r="N125" s="6069"/>
      <c r="O125" s="6069"/>
      <c r="P125" s="6069"/>
      <c r="Q125" s="6069"/>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6069" t="str">
        <f>"Ataque automático 50m. RM o RF "&amp;Sheele!N21*2+Sheele!H15&amp;", -5 por cada TA en FRI. Parálisis total si &gt; 40"</f>
        <v>Ataque automático 50m. RM o RF 60, -5 por cada TA en FRI. Parálisis total si &gt; 40</v>
      </c>
      <c r="M126" s="6069"/>
      <c r="N126" s="6069"/>
      <c r="O126" s="6069"/>
      <c r="P126" s="6069"/>
      <c r="Q126" s="6069"/>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6069" t="s">
        <v>3055</v>
      </c>
      <c r="M127" s="6069"/>
      <c r="N127" s="6069"/>
      <c r="O127" s="6069"/>
      <c r="P127" s="6069"/>
      <c r="Q127" s="6069"/>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6069" t="s">
        <v>3057</v>
      </c>
      <c r="M128" s="6069"/>
      <c r="N128" s="6069"/>
      <c r="O128" s="6069"/>
      <c r="P128" s="6069"/>
      <c r="Q128" s="6069"/>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6069" t="s">
        <v>3059</v>
      </c>
      <c r="M129" s="6069"/>
      <c r="N129" s="6069"/>
      <c r="O129" s="6069"/>
      <c r="P129" s="6069"/>
      <c r="Q129" s="6069"/>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6070" t="s">
        <v>3042</v>
      </c>
      <c r="M130" s="6069"/>
      <c r="N130" s="6069"/>
      <c r="O130" s="6069"/>
      <c r="P130" s="6069"/>
      <c r="Q130" s="6069"/>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6069" t="s">
        <v>3061</v>
      </c>
      <c r="M131" s="6069"/>
      <c r="N131" s="6069"/>
      <c r="O131" s="6069"/>
      <c r="P131" s="6069"/>
      <c r="Q131" s="6069"/>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73" t="s">
        <v>3062</v>
      </c>
      <c r="M132" s="6073"/>
      <c r="N132" s="6073"/>
      <c r="O132" s="6073"/>
      <c r="P132" s="6073"/>
      <c r="Q132" s="6073"/>
      <c r="R132" s="858" t="s">
        <v>1729</v>
      </c>
    </row>
    <row r="133" spans="2:18" x14ac:dyDescent="0.2">
      <c r="B133" s="411">
        <f t="shared" si="0"/>
        <v>0</v>
      </c>
      <c r="C133" s="850" t="s">
        <v>2942</v>
      </c>
      <c r="D133" s="425"/>
      <c r="E133" s="425"/>
      <c r="F133" s="417"/>
      <c r="G133" s="422"/>
      <c r="H133" s="421"/>
      <c r="I133" s="426" t="s">
        <v>3027</v>
      </c>
      <c r="J133" s="419" t="s">
        <v>3028</v>
      </c>
      <c r="K133" s="418" t="s">
        <v>1841</v>
      </c>
      <c r="L133" s="6074" t="s">
        <v>1824</v>
      </c>
      <c r="M133" s="6074"/>
      <c r="N133" s="6074"/>
      <c r="O133" s="6074"/>
      <c r="P133" s="6074"/>
      <c r="Q133" s="6074"/>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6069" t="s">
        <v>3064</v>
      </c>
      <c r="M134" s="6069"/>
      <c r="N134" s="6069"/>
      <c r="O134" s="6069"/>
      <c r="P134" s="6069"/>
      <c r="Q134" s="6069"/>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6069" t="s">
        <v>3066</v>
      </c>
      <c r="M135" s="6069"/>
      <c r="N135" s="6069"/>
      <c r="O135" s="6069"/>
      <c r="P135" s="6069"/>
      <c r="Q135" s="6069"/>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6069" t="s">
        <v>3068</v>
      </c>
      <c r="M136" s="6069"/>
      <c r="N136" s="6069"/>
      <c r="O136" s="6069"/>
      <c r="P136" s="6069"/>
      <c r="Q136" s="6069"/>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6069" t="str">
        <f>"Area CAL "&amp;Sheele!G16&amp;"m. Cada ataque sucesivo dobla el área y +10 daño"</f>
        <v>Area CAL 6m. Cada ataque sucesivo dobla el área y +10 daño</v>
      </c>
      <c r="M137" s="6069"/>
      <c r="N137" s="6069"/>
      <c r="O137" s="6069"/>
      <c r="P137" s="6069"/>
      <c r="Q137" s="6069"/>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6069" t="str">
        <f>"La Sheele controla el fuego de hasta "&amp;Sheele!G15&amp;" intensidades. Puede atacar con él."</f>
        <v>La Sheele controla el fuego de hasta 8 intensidades. Puede atacar con él.</v>
      </c>
      <c r="M138" s="6069"/>
      <c r="N138" s="6069"/>
      <c r="O138" s="6069"/>
      <c r="P138" s="6069"/>
      <c r="Q138" s="6069"/>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6070" t="s">
        <v>3042</v>
      </c>
      <c r="M139" s="6069"/>
      <c r="N139" s="6069"/>
      <c r="O139" s="6069"/>
      <c r="P139" s="6069"/>
      <c r="Q139" s="6069"/>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6069" t="str">
        <f>"Aquel en contacto puede usar CAL como crítico secundario en sus armas, y éstas tienen +"&amp;Sheele!H15&amp;" daño."</f>
        <v>Aquel en contacto puede usar CAL como crítico secundario en sus armas, y éstas tienen +10 daño.</v>
      </c>
      <c r="M140" s="6069"/>
      <c r="N140" s="6069"/>
      <c r="O140" s="6069"/>
      <c r="P140" s="6069"/>
      <c r="Q140" s="6069"/>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6069" t="str">
        <f>"A voluntad, solo vulnerable a energía o frío. En contacto RF "&amp;Sheele!N21*2+Sheele!H15&amp;" o daño = nivel fracaso."</f>
        <v>A voluntad, solo vulnerable a energía o frío. En contacto RF 60 o daño = nivel fracaso.</v>
      </c>
      <c r="M141" s="6069"/>
      <c r="N141" s="6069"/>
      <c r="O141" s="6069"/>
      <c r="P141" s="6069"/>
      <c r="Q141" s="6069"/>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6070" t="s">
        <v>3075</v>
      </c>
      <c r="M142" s="6069"/>
      <c r="N142" s="6069"/>
      <c r="O142" s="6069"/>
      <c r="P142" s="6069"/>
      <c r="Q142" s="6069"/>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6072" t="s">
        <v>3077</v>
      </c>
      <c r="M143" s="6073"/>
      <c r="N143" s="6073"/>
      <c r="O143" s="6073"/>
      <c r="P143" s="6073"/>
      <c r="Q143" s="6073"/>
      <c r="R143" s="858" t="s">
        <v>1729</v>
      </c>
    </row>
    <row r="144" spans="2:18" x14ac:dyDescent="0.2">
      <c r="B144" s="411">
        <f t="shared" si="0"/>
        <v>0</v>
      </c>
      <c r="C144" s="850" t="s">
        <v>2946</v>
      </c>
      <c r="D144" s="425"/>
      <c r="E144" s="425"/>
      <c r="F144" s="417"/>
      <c r="G144" s="422"/>
      <c r="H144" s="421"/>
      <c r="I144" s="426" t="s">
        <v>3027</v>
      </c>
      <c r="J144" s="419" t="s">
        <v>3028</v>
      </c>
      <c r="K144" s="418" t="s">
        <v>1841</v>
      </c>
      <c r="L144" s="6074" t="s">
        <v>1824</v>
      </c>
      <c r="M144" s="6074"/>
      <c r="N144" s="6074"/>
      <c r="O144" s="6074"/>
      <c r="P144" s="6074"/>
      <c r="Q144" s="6074"/>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6069" t="s">
        <v>3079</v>
      </c>
      <c r="M145" s="6069"/>
      <c r="N145" s="6069"/>
      <c r="O145" s="6069"/>
      <c r="P145" s="6069"/>
      <c r="Q145" s="6069"/>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6069" t="str">
        <f>"Ataque automático  25m. RM "&amp;Sheele!N21*2+Sheele!H15&amp;" o -50 turno y x0.5 movimiento"</f>
        <v>Ataque automático  25m. RM 60 o -50 turno y x0.5 movimiento</v>
      </c>
      <c r="M146" s="6069"/>
      <c r="N146" s="6069"/>
      <c r="O146" s="6069"/>
      <c r="P146" s="6069"/>
      <c r="Q146" s="6069"/>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6069" t="s">
        <v>3082</v>
      </c>
      <c r="M147" s="6069"/>
      <c r="N147" s="6069"/>
      <c r="O147" s="6069"/>
      <c r="P147" s="6069"/>
      <c r="Q147" s="6069"/>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6069" t="str">
        <f>"Area "&amp;Sheele!N21*2&amp;"m. Construcciones e individuos sobre el suelo control de AGI "&amp;Sheele!E12*2&amp;" o derribados"</f>
        <v>Area 50m. Construcciones e individuos sobre el suelo control de AGI 12 o derribados</v>
      </c>
      <c r="M148" s="6069"/>
      <c r="N148" s="6069"/>
      <c r="O148" s="6069"/>
      <c r="P148" s="6069"/>
      <c r="Q148" s="6069"/>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6070" t="s">
        <v>3085</v>
      </c>
      <c r="M149" s="6069"/>
      <c r="N149" s="6069"/>
      <c r="O149" s="6069"/>
      <c r="P149" s="6069"/>
      <c r="Q149" s="6069"/>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6069" t="s">
        <v>3087</v>
      </c>
      <c r="M150" s="6069"/>
      <c r="N150" s="6069"/>
      <c r="O150" s="6069"/>
      <c r="P150" s="6069"/>
      <c r="Q150" s="6069"/>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6069" t="str">
        <f>"Ataque 100m. De lograr daño, Control FUE "&amp;Sheele!E12+Sheele!E15+Sheele!E16&amp;" -1 por TA CON. 10 daño/fallo (50 a acumulación)"</f>
        <v>Ataque 100m. De lograr daño, Control FUE 20 -1 por TA CON. 10 daño/fallo (50 a acumulación)</v>
      </c>
      <c r="M151" s="6069"/>
      <c r="N151" s="6069"/>
      <c r="O151" s="6069"/>
      <c r="P151" s="6069"/>
      <c r="Q151" s="6069"/>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6070" t="s">
        <v>3042</v>
      </c>
      <c r="M152" s="6069"/>
      <c r="N152" s="6069"/>
      <c r="O152" s="6069"/>
      <c r="P152" s="6069"/>
      <c r="Q152" s="6069"/>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6069" t="str">
        <f>"Movimiento subterráneo de Tipo "&amp;Sheele!L31</f>
        <v>Movimiento subterráneo de Tipo 6</v>
      </c>
      <c r="M153" s="6069"/>
      <c r="N153" s="6069"/>
      <c r="O153" s="6069"/>
      <c r="P153" s="6069"/>
      <c r="Q153" s="6069"/>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6073" t="s">
        <v>3091</v>
      </c>
      <c r="M154" s="6073"/>
      <c r="N154" s="6073"/>
      <c r="O154" s="6073"/>
      <c r="P154" s="6073"/>
      <c r="Q154" s="6073"/>
      <c r="R154" s="858" t="s">
        <v>1654</v>
      </c>
    </row>
    <row r="155" spans="2:18" x14ac:dyDescent="0.2">
      <c r="B155" s="411">
        <f t="shared" si="0"/>
        <v>0</v>
      </c>
      <c r="C155" s="850" t="s">
        <v>2950</v>
      </c>
      <c r="D155" s="425"/>
      <c r="E155" s="425"/>
      <c r="F155" s="417"/>
      <c r="G155" s="422"/>
      <c r="H155" s="421"/>
      <c r="I155" s="426" t="s">
        <v>3027</v>
      </c>
      <c r="J155" s="419" t="s">
        <v>3028</v>
      </c>
      <c r="K155" s="418" t="s">
        <v>1841</v>
      </c>
      <c r="L155" s="6074" t="s">
        <v>1824</v>
      </c>
      <c r="M155" s="6074"/>
      <c r="N155" s="6074"/>
      <c r="O155" s="6074"/>
      <c r="P155" s="6074"/>
      <c r="Q155" s="6074"/>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6069" t="str">
        <f>"Crea "&amp;Sheele!G15&amp;" proyectiles durante máximo "&amp;Sheele!G16&amp;" asaltos. Máximo "&amp;ROUNDDOWN(Sheele!G11/2,0)&amp;" ataques/ turno. Ataca en ENE."</f>
        <v>Crea 8 proyectiles durante máximo 6 asaltos. Máximo 3 ataques/ turno. Ataca en ENE.</v>
      </c>
      <c r="M156" s="6069"/>
      <c r="N156" s="6069"/>
      <c r="O156" s="6069"/>
      <c r="P156" s="6069"/>
      <c r="Q156" s="6069"/>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6069" t="str">
        <f>"Ataque ENE. +15 Proy cada asalto que lo prepare, máximo "&amp;Sheele!G15&amp;" asaltos."</f>
        <v>Ataque ENE. +15 Proy cada asalto que lo prepare, máximo 8 asaltos.</v>
      </c>
      <c r="M157" s="6069"/>
      <c r="N157" s="6069"/>
      <c r="O157" s="6069"/>
      <c r="P157" s="6069"/>
      <c r="Q157" s="6069"/>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69" t="str">
        <f>"5 asaltos. +"&amp;Sheele!H15*2&amp;" a toda acción y al ACT transferible. Después, -50 ata (10/ asalto)"</f>
        <v>5 asaltos. +20 a toda acción y al ACT transferible. Después, -50 ata (10/ asalto)</v>
      </c>
      <c r="M158" s="6069"/>
      <c r="N158" s="6069"/>
      <c r="O158" s="6069"/>
      <c r="P158" s="6069"/>
      <c r="Q158" s="6069"/>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6069" t="str">
        <f>"Cura "&amp;Sheele!N21&amp;" PV o elimina penalizadores por el mismo valor. 1 uso/ persona/ día."</f>
        <v>Cura 25 PV o elimina penalizadores por el mismo valor. 1 uso/ persona/ día.</v>
      </c>
      <c r="M159" s="6069"/>
      <c r="N159" s="6069"/>
      <c r="O159" s="6069"/>
      <c r="P159" s="6069"/>
      <c r="Q159" s="6069"/>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6069" t="s">
        <v>3096</v>
      </c>
      <c r="M160" s="6069"/>
      <c r="N160" s="6069"/>
      <c r="O160" s="6069"/>
      <c r="P160" s="6069"/>
      <c r="Q160" s="6069"/>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70" t="s">
        <v>3097</v>
      </c>
      <c r="M161" s="6069"/>
      <c r="N161" s="6069"/>
      <c r="O161" s="6069"/>
      <c r="P161" s="6069"/>
      <c r="Q161" s="6069"/>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6070" t="s">
        <v>3099</v>
      </c>
      <c r="M162" s="6069"/>
      <c r="N162" s="6069"/>
      <c r="O162" s="6069"/>
      <c r="P162" s="6069"/>
      <c r="Q162" s="6069"/>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6070" t="s">
        <v>3042</v>
      </c>
      <c r="M163" s="6069"/>
      <c r="N163" s="6069"/>
      <c r="O163" s="6069"/>
      <c r="P163" s="6069"/>
      <c r="Q163" s="6069"/>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6069" t="str">
        <f>"A voluntad. inmune a los ataques físicos. Puede cegar 1 turno por cada 10 de fallo en RM "&amp;Sheele!N21*2+Sheele!H15</f>
        <v>A voluntad. inmune a los ataques físicos. Puede cegar 1 turno por cada 10 de fallo en RM 60</v>
      </c>
      <c r="M164" s="6069"/>
      <c r="N164" s="6069"/>
      <c r="O164" s="6069"/>
      <c r="P164" s="6069"/>
      <c r="Q164" s="6069"/>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6072" t="s">
        <v>3102</v>
      </c>
      <c r="M165" s="6073"/>
      <c r="N165" s="6073"/>
      <c r="O165" s="6073"/>
      <c r="P165" s="6073"/>
      <c r="Q165" s="6073"/>
      <c r="R165" s="858" t="s">
        <v>1729</v>
      </c>
    </row>
    <row r="166" spans="2:18" x14ac:dyDescent="0.2">
      <c r="B166" s="849">
        <f t="shared" si="1"/>
        <v>0</v>
      </c>
      <c r="C166" s="850" t="s">
        <v>2954</v>
      </c>
      <c r="D166" s="425"/>
      <c r="E166" s="425"/>
      <c r="F166" s="417"/>
      <c r="G166" s="422"/>
      <c r="H166" s="421"/>
      <c r="I166" s="426" t="s">
        <v>3027</v>
      </c>
      <c r="J166" s="419" t="s">
        <v>3028</v>
      </c>
      <c r="K166" s="418" t="s">
        <v>1841</v>
      </c>
      <c r="L166" s="6074" t="s">
        <v>1824</v>
      </c>
      <c r="M166" s="6074"/>
      <c r="N166" s="6074"/>
      <c r="O166" s="6074"/>
      <c r="P166" s="6074"/>
      <c r="Q166" s="6074"/>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6075" t="s">
        <v>3104</v>
      </c>
      <c r="M167" s="6076"/>
      <c r="N167" s="6076"/>
      <c r="O167" s="6076"/>
      <c r="P167" s="6076"/>
      <c r="Q167" s="6076"/>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6069" t="s">
        <v>3106</v>
      </c>
      <c r="M168" s="6069"/>
      <c r="N168" s="6069"/>
      <c r="O168" s="6069"/>
      <c r="P168" s="6069"/>
      <c r="Q168" s="6069"/>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6069" t="str">
        <f>"Defensa. RM "&amp;Sheele!N21*2+Sheele!H15&amp;" (Pres·2+ POD) o -50 a toda acción que se recupera a 10/asalto"</f>
        <v>Defensa. RM 60 (Pres·2+ POD) o -50 a toda acción que se recupera a 10/asalto</v>
      </c>
      <c r="M169" s="6069"/>
      <c r="N169" s="6069"/>
      <c r="O169" s="6069"/>
      <c r="P169" s="6069"/>
      <c r="Q169" s="6069"/>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6069" t="s">
        <v>3109</v>
      </c>
      <c r="M170" s="6069"/>
      <c r="N170" s="6069"/>
      <c r="O170" s="6069"/>
      <c r="P170" s="6069"/>
      <c r="Q170" s="6069"/>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6069" t="str">
        <f>"Un blanco a 50m. RM "&amp;Sheele!N21*2&amp;" (Pres·2) o sufre -"&amp;Sheele!H15*2&amp;" (POD·2) a toda acción."</f>
        <v>Un blanco a 50m. RM 50 (Pres·2) o sufre -20 (POD·2) a toda acción.</v>
      </c>
      <c r="M171" s="6069"/>
      <c r="N171" s="6069"/>
      <c r="O171" s="6069"/>
      <c r="P171" s="6069"/>
      <c r="Q171" s="6069"/>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6069" t="str">
        <f>"5 asaltos. +"&amp;Sheele!H15*2&amp;" (POD·2) ATA y al ACT trasferible. Al finalizar, -50 ATA (-10/asalto)"</f>
        <v>5 asaltos. +20 (POD·2) ATA y al ACT trasferible. Al finalizar, -50 ATA (-10/asalto)</v>
      </c>
      <c r="M172" s="6069"/>
      <c r="N172" s="6069"/>
      <c r="O172" s="6069"/>
      <c r="P172" s="6069"/>
      <c r="Q172" s="6069"/>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6069" t="str">
        <f>"Objetivo durmiendo. RM "&amp;Sheele!N21*2+Sheele!H15&amp;" (Pres·2+ POD) o malos sueños. En la Vigilia es más potente"</f>
        <v>Objetivo durmiendo. RM 60 (Pres·2+ POD) o malos sueños. En la Vigilia es más potente</v>
      </c>
      <c r="M173" s="6069"/>
      <c r="N173" s="6069"/>
      <c r="O173" s="6069"/>
      <c r="P173" s="6069"/>
      <c r="Q173" s="6069"/>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6069" t="s">
        <v>3114</v>
      </c>
      <c r="M174" s="6069"/>
      <c r="N174" s="6069"/>
      <c r="O174" s="6069"/>
      <c r="P174" s="6069"/>
      <c r="Q174" s="6069"/>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6070" t="s">
        <v>3042</v>
      </c>
      <c r="M175" s="6069"/>
      <c r="N175" s="6069"/>
      <c r="O175" s="6069"/>
      <c r="P175" s="6069"/>
      <c r="Q175" s="6069"/>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6073" t="str">
        <f>"Puede atacar y defender usando su proyección. Daño base "&amp;Sheele!N21+Sheele!H12</f>
        <v>Puede atacar y defender usando su proyección. Daño base 30</v>
      </c>
      <c r="M176" s="6073"/>
      <c r="N176" s="6073"/>
      <c r="O176" s="6073"/>
      <c r="P176" s="6073"/>
      <c r="Q176" s="6073"/>
      <c r="R176" s="858"/>
    </row>
    <row r="177" spans="2:18" x14ac:dyDescent="0.2">
      <c r="B177" s="411">
        <f t="shared" si="1"/>
        <v>0</v>
      </c>
      <c r="C177" s="850" t="s">
        <v>2959</v>
      </c>
      <c r="D177" s="425"/>
      <c r="E177" s="425"/>
      <c r="F177" s="417"/>
      <c r="G177" s="422"/>
      <c r="H177" s="421"/>
      <c r="I177" s="426" t="s">
        <v>3027</v>
      </c>
      <c r="J177" s="419" t="s">
        <v>3028</v>
      </c>
      <c r="K177" s="418" t="s">
        <v>1841</v>
      </c>
      <c r="L177" s="6074" t="s">
        <v>1824</v>
      </c>
      <c r="M177" s="6074"/>
      <c r="N177" s="6074"/>
      <c r="O177" s="6074"/>
      <c r="P177" s="6074"/>
      <c r="Q177" s="6074"/>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6069" t="str">
        <f>"Ataque de presa de FUE "&amp;Sheele!G15&amp;". Se puede mantener pagando el coste de zeon."</f>
        <v>Ataque de presa de FUE 8. Se puede mantener pagando el coste de zeon.</v>
      </c>
      <c r="M178" s="6069"/>
      <c r="N178" s="6069"/>
      <c r="O178" s="6069"/>
      <c r="P178" s="6069"/>
      <c r="Q178" s="6069"/>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6069" t="str">
        <f>"Escudo de aguante "&amp;10*Sheele!N21&amp;", que dura máximo "&amp;Sheele!G16&amp;" asaltos."</f>
        <v>Escudo de aguante 250, que dura máximo 6 asaltos.</v>
      </c>
      <c r="M179" s="6069"/>
      <c r="N179" s="6069"/>
      <c r="O179" s="6069"/>
      <c r="P179" s="6069"/>
      <c r="Q179" s="6069"/>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6069" t="s">
        <v>3120</v>
      </c>
      <c r="M180" s="6069"/>
      <c r="N180" s="6069"/>
      <c r="O180" s="6069"/>
      <c r="P180" s="6069"/>
      <c r="Q180" s="6069"/>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6069" t="str">
        <f>"Cura "&amp;Sheele!N21*2&amp;" PV. 1 uso/ persona/ día."</f>
        <v>Cura 50 PV. 1 uso/ persona/ día.</v>
      </c>
      <c r="M181" s="6069"/>
      <c r="N181" s="6069"/>
      <c r="O181" s="6069"/>
      <c r="P181" s="6069"/>
      <c r="Q181" s="6069"/>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6069" t="s">
        <v>3122</v>
      </c>
      <c r="M182" s="6069"/>
      <c r="N182" s="6069"/>
      <c r="O182" s="6069"/>
      <c r="P182" s="6069"/>
      <c r="Q182" s="6069"/>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6070" t="s">
        <v>3124</v>
      </c>
      <c r="M183" s="6069"/>
      <c r="N183" s="6069"/>
      <c r="O183" s="6069"/>
      <c r="P183" s="6069"/>
      <c r="Q183" s="6069"/>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6069" t="s">
        <v>3126</v>
      </c>
      <c r="M184" s="6069"/>
      <c r="N184" s="6069"/>
      <c r="O184" s="6069"/>
      <c r="P184" s="6069"/>
      <c r="Q184" s="6069"/>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6070" t="s">
        <v>3042</v>
      </c>
      <c r="M185" s="6069"/>
      <c r="N185" s="6069"/>
      <c r="O185" s="6069"/>
      <c r="P185" s="6069"/>
      <c r="Q185" s="6069"/>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6069" t="s">
        <v>3128</v>
      </c>
      <c r="M186" s="6069"/>
      <c r="N186" s="6069"/>
      <c r="O186" s="6069"/>
      <c r="P186" s="6069"/>
      <c r="Q186" s="6069"/>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6072" t="s">
        <v>3130</v>
      </c>
      <c r="M187" s="6073"/>
      <c r="N187" s="6073"/>
      <c r="O187" s="6073"/>
      <c r="P187" s="6073"/>
      <c r="Q187" s="6073"/>
      <c r="R187" s="858" t="s">
        <v>1729</v>
      </c>
    </row>
    <row r="188" spans="2:18" x14ac:dyDescent="0.2">
      <c r="B188" s="411">
        <f t="shared" si="1"/>
        <v>0</v>
      </c>
      <c r="C188" s="850" t="s">
        <v>2963</v>
      </c>
      <c r="D188" s="425"/>
      <c r="E188" s="425"/>
      <c r="F188" s="417"/>
      <c r="G188" s="422"/>
      <c r="H188" s="421"/>
      <c r="I188" s="426" t="s">
        <v>3027</v>
      </c>
      <c r="J188" s="419" t="s">
        <v>3028</v>
      </c>
      <c r="K188" s="418" t="s">
        <v>1841</v>
      </c>
      <c r="L188" s="6074" t="s">
        <v>1824</v>
      </c>
      <c r="M188" s="6074"/>
      <c r="N188" s="6074"/>
      <c r="O188" s="6074"/>
      <c r="P188" s="6074"/>
      <c r="Q188" s="6074"/>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6069" t="s">
        <v>3132</v>
      </c>
      <c r="M189" s="6069"/>
      <c r="N189" s="6069"/>
      <c r="O189" s="6069"/>
      <c r="P189" s="6069"/>
      <c r="Q189" s="6069"/>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6069" t="s">
        <v>3134</v>
      </c>
      <c r="M190" s="6069"/>
      <c r="N190" s="6069"/>
      <c r="O190" s="6069"/>
      <c r="P190" s="6069"/>
      <c r="Q190" s="6069"/>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6069" t="s">
        <v>3136</v>
      </c>
      <c r="M191" s="6069"/>
      <c r="N191" s="6069"/>
      <c r="O191" s="6069"/>
      <c r="P191" s="6069"/>
      <c r="Q191" s="6069"/>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6069" t="str">
        <f>"Area automática 25m. RM "&amp;Sheele!N21*2+Sheele!H15&amp;" o -[fracaso] a hab. perceptivas y -0.5*[fracaso] ata."</f>
        <v>Area automática 25m. RM 60 o -[fracaso] a hab. perceptivas y -0.5*[fracaso] ata.</v>
      </c>
      <c r="M192" s="6069"/>
      <c r="N192" s="6069"/>
      <c r="O192" s="6069"/>
      <c r="P192" s="6069"/>
      <c r="Q192" s="6069"/>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6069" t="s">
        <v>3139</v>
      </c>
      <c r="M193" s="6069"/>
      <c r="N193" s="6069"/>
      <c r="O193" s="6069"/>
      <c r="P193" s="6069"/>
      <c r="Q193" s="6069"/>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6070" t="s">
        <v>3141</v>
      </c>
      <c r="M194" s="6069"/>
      <c r="N194" s="6069"/>
      <c r="O194" s="6069"/>
      <c r="P194" s="6069"/>
      <c r="Q194" s="6069"/>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6069" t="str">
        <f>"Defensa. Crea "&amp;Sheele!G15&amp;" copias. Se desvanece 1/ turno y 1/ defensa. Area las destruye todas."</f>
        <v>Defensa. Crea 8 copias. Se desvanece 1/ turno y 1/ defensa. Area las destruye todas.</v>
      </c>
      <c r="M195" s="6069"/>
      <c r="N195" s="6069"/>
      <c r="O195" s="6069"/>
      <c r="P195" s="6069"/>
      <c r="Q195" s="6069"/>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6069" t="s">
        <v>3144</v>
      </c>
      <c r="M196" s="6069"/>
      <c r="N196" s="6069"/>
      <c r="O196" s="6069"/>
      <c r="P196" s="6069"/>
      <c r="Q196" s="6069"/>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6070" t="s">
        <v>3042</v>
      </c>
      <c r="M197" s="6069"/>
      <c r="N197" s="6069"/>
      <c r="O197" s="6069"/>
      <c r="P197" s="6069"/>
      <c r="Q197" s="6069"/>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6071" t="str">
        <f>"Solo vulnerable a destrucción de sortilegios. Grado Base, valor zeonico "&amp;Sheele!P29</f>
        <v>Solo vulnerable a destrucción de sortilegios. Grado Base, valor zeonico 50</v>
      </c>
      <c r="M198" s="6071"/>
      <c r="N198" s="6071"/>
      <c r="O198" s="6071"/>
      <c r="P198" s="6071"/>
      <c r="Q198" s="6071"/>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6045" t="s">
        <v>3148</v>
      </c>
      <c r="C201" s="6046"/>
      <c r="D201" s="6046"/>
      <c r="E201" s="6046"/>
      <c r="F201" s="6046"/>
      <c r="G201" s="6046"/>
      <c r="H201" s="6046"/>
      <c r="I201" s="6046"/>
      <c r="J201" s="6046"/>
      <c r="K201" s="6046"/>
      <c r="L201" s="6046"/>
      <c r="M201" s="6047"/>
    </row>
    <row r="202" spans="2:18" x14ac:dyDescent="0.2">
      <c r="B202" s="6048"/>
      <c r="C202" s="6049"/>
      <c r="D202" s="6049"/>
      <c r="E202" s="6049"/>
      <c r="F202" s="6049"/>
      <c r="G202" s="6049"/>
      <c r="H202" s="6049"/>
      <c r="I202" s="6049"/>
      <c r="J202" s="6049"/>
      <c r="K202" s="6049"/>
      <c r="L202" s="6049"/>
      <c r="M202" s="6050"/>
    </row>
    <row r="203" spans="2:18" x14ac:dyDescent="0.2">
      <c r="B203" s="608"/>
      <c r="C203" s="594">
        <v>1</v>
      </c>
      <c r="D203" s="594">
        <v>2</v>
      </c>
      <c r="E203" s="594">
        <v>3</v>
      </c>
      <c r="F203" s="594">
        <v>4</v>
      </c>
      <c r="G203" s="594">
        <v>5</v>
      </c>
      <c r="H203" s="594">
        <v>6</v>
      </c>
      <c r="I203" s="594">
        <v>7</v>
      </c>
      <c r="J203" s="594">
        <v>8</v>
      </c>
      <c r="K203" s="605" t="s">
        <v>6898</v>
      </c>
      <c r="L203" s="6065" t="s">
        <v>3149</v>
      </c>
      <c r="M203" s="6066"/>
    </row>
    <row r="204" spans="2:18" x14ac:dyDescent="0.2">
      <c r="B204" s="604"/>
      <c r="C204" s="6058" t="s">
        <v>1878</v>
      </c>
      <c r="D204" s="6059"/>
      <c r="E204" s="607" t="str">
        <f t="array" ref="E204:H204">TRANSPOSE(C205:D208)</f>
        <v>Vuelo Místico 10</v>
      </c>
      <c r="F204" s="607" t="str">
        <v>Movimiento Defensivo</v>
      </c>
      <c r="G204" s="607" t="str">
        <v xml:space="preserve"> </v>
      </c>
      <c r="H204" s="607" t="str">
        <v xml:space="preserve"> </v>
      </c>
      <c r="I204" s="606"/>
      <c r="J204" s="603"/>
      <c r="K204" s="598"/>
      <c r="L204" s="6067"/>
      <c r="M204" s="6068"/>
    </row>
    <row r="205" spans="2:18" x14ac:dyDescent="0.2">
      <c r="B205" s="427"/>
      <c r="C205" s="6055" t="s">
        <v>3150</v>
      </c>
      <c r="D205" s="6056"/>
      <c r="E205" s="6060" t="s">
        <v>3151</v>
      </c>
      <c r="F205" s="6060"/>
      <c r="G205" s="6060"/>
      <c r="H205" s="6060"/>
      <c r="I205" s="6060"/>
      <c r="J205" s="6060"/>
      <c r="K205" s="410" t="s">
        <v>1729</v>
      </c>
      <c r="L205" s="6041">
        <v>10</v>
      </c>
      <c r="M205" s="6042"/>
    </row>
    <row r="206" spans="2:18" x14ac:dyDescent="0.2">
      <c r="B206" s="427"/>
      <c r="C206" s="6055" t="s">
        <v>3152</v>
      </c>
      <c r="D206" s="6056"/>
      <c r="E206" s="6060" t="s">
        <v>3153</v>
      </c>
      <c r="F206" s="6061"/>
      <c r="G206" s="6061"/>
      <c r="H206" s="6061"/>
      <c r="I206" s="6061"/>
      <c r="J206" s="6061"/>
      <c r="K206" s="410" t="s">
        <v>1729</v>
      </c>
      <c r="L206" s="6041"/>
      <c r="M206" s="6042"/>
    </row>
    <row r="207" spans="2:18" x14ac:dyDescent="0.2">
      <c r="B207" s="377"/>
      <c r="C207" s="6051" t="s">
        <v>3154</v>
      </c>
      <c r="D207" s="6057"/>
      <c r="E207" s="6060"/>
      <c r="F207" s="6061"/>
      <c r="G207" s="6061"/>
      <c r="H207" s="6061"/>
      <c r="I207" s="6061"/>
      <c r="J207" s="6061"/>
      <c r="K207" s="410"/>
      <c r="L207" s="6051"/>
      <c r="M207" s="6052"/>
    </row>
    <row r="208" spans="2:18" x14ac:dyDescent="0.2">
      <c r="B208" s="377"/>
      <c r="C208" s="6051" t="s">
        <v>3154</v>
      </c>
      <c r="D208" s="6057"/>
      <c r="E208" s="6060"/>
      <c r="F208" s="6061"/>
      <c r="G208" s="6061"/>
      <c r="H208" s="6061"/>
      <c r="I208" s="6061"/>
      <c r="J208" s="6061"/>
      <c r="K208" s="410"/>
      <c r="L208" s="6051"/>
      <c r="M208" s="6052"/>
    </row>
    <row r="209" spans="2:13" x14ac:dyDescent="0.2">
      <c r="B209" s="604"/>
      <c r="C209" s="6058" t="s">
        <v>1881</v>
      </c>
      <c r="D209" s="6059"/>
      <c r="E209" s="607" t="str">
        <f t="array" ref="E209:H209">TRANSPOSE(C210:D213)</f>
        <v>Vuelo Místico 4</v>
      </c>
      <c r="F209" s="607" t="str">
        <v>Movimiento Acuático</v>
      </c>
      <c r="G209" s="607" t="str">
        <v>Respiración Acuática</v>
      </c>
      <c r="H209" s="607" t="str">
        <v>Resistencia Física</v>
      </c>
      <c r="I209" s="602"/>
      <c r="J209" s="603"/>
      <c r="K209" s="601"/>
      <c r="L209" s="6053"/>
      <c r="M209" s="6054"/>
    </row>
    <row r="210" spans="2:13" x14ac:dyDescent="0.2">
      <c r="B210" s="427"/>
      <c r="C210" s="6055" t="s">
        <v>3155</v>
      </c>
      <c r="D210" s="6056"/>
      <c r="E210" s="6060" t="s">
        <v>3156</v>
      </c>
      <c r="F210" s="6060"/>
      <c r="G210" s="6060"/>
      <c r="H210" s="6060"/>
      <c r="I210" s="6060"/>
      <c r="J210" s="6060"/>
      <c r="K210" s="410" t="s">
        <v>1729</v>
      </c>
      <c r="L210" s="6041">
        <v>4</v>
      </c>
      <c r="M210" s="6042"/>
    </row>
    <row r="211" spans="2:13" x14ac:dyDescent="0.2">
      <c r="B211" s="427"/>
      <c r="C211" s="6055" t="s">
        <v>3157</v>
      </c>
      <c r="D211" s="6056"/>
      <c r="E211" s="6060" t="s">
        <v>3158</v>
      </c>
      <c r="F211" s="6061"/>
      <c r="G211" s="6061"/>
      <c r="H211" s="6061"/>
      <c r="I211" s="6061"/>
      <c r="J211" s="6061"/>
      <c r="K211" s="410" t="s">
        <v>1729</v>
      </c>
      <c r="L211" s="6041"/>
      <c r="M211" s="6042"/>
    </row>
    <row r="212" spans="2:13" x14ac:dyDescent="0.2">
      <c r="B212" s="377"/>
      <c r="C212" s="6051" t="s">
        <v>3159</v>
      </c>
      <c r="D212" s="6057"/>
      <c r="E212" s="6060" t="s">
        <v>3160</v>
      </c>
      <c r="F212" s="6061"/>
      <c r="G212" s="6061"/>
      <c r="H212" s="6061"/>
      <c r="I212" s="6061"/>
      <c r="J212" s="6061"/>
      <c r="K212" s="410" t="s">
        <v>1729</v>
      </c>
      <c r="L212" s="6041"/>
      <c r="M212" s="6042"/>
    </row>
    <row r="213" spans="2:13" x14ac:dyDescent="0.2">
      <c r="B213" s="377"/>
      <c r="C213" s="6051" t="s">
        <v>3161</v>
      </c>
      <c r="D213" s="6057"/>
      <c r="E213" s="6060" t="s">
        <v>3162</v>
      </c>
      <c r="F213" s="6061"/>
      <c r="G213" s="6061"/>
      <c r="H213" s="6061"/>
      <c r="I213" s="6061"/>
      <c r="J213" s="6061"/>
      <c r="K213" s="410" t="s">
        <v>1729</v>
      </c>
      <c r="L213" s="6041"/>
      <c r="M213" s="6042"/>
    </row>
    <row r="214" spans="2:13" x14ac:dyDescent="0.2">
      <c r="B214" s="604"/>
      <c r="C214" s="6058" t="s">
        <v>1885</v>
      </c>
      <c r="D214" s="6059"/>
      <c r="E214" s="607" t="str">
        <f t="array" ref="E214:H214">TRANSPOSE(C215:D218)</f>
        <v>Vuelo Místico 6</v>
      </c>
      <c r="F214" s="607" t="str">
        <v>Control de Llamas</v>
      </c>
      <c r="G214" s="607" t="str">
        <v xml:space="preserve"> </v>
      </c>
      <c r="H214" s="607" t="str">
        <v xml:space="preserve"> </v>
      </c>
      <c r="I214" s="602"/>
      <c r="J214" s="603"/>
      <c r="K214" s="601"/>
      <c r="L214" s="6053"/>
      <c r="M214" s="6054"/>
    </row>
    <row r="215" spans="2:13" x14ac:dyDescent="0.2">
      <c r="B215" s="427"/>
      <c r="C215" s="6055" t="s">
        <v>3163</v>
      </c>
      <c r="D215" s="6056"/>
      <c r="E215" s="6060" t="s">
        <v>3164</v>
      </c>
      <c r="F215" s="6060"/>
      <c r="G215" s="6060"/>
      <c r="H215" s="6060"/>
      <c r="I215" s="6060"/>
      <c r="J215" s="6060"/>
      <c r="K215" s="410" t="s">
        <v>1729</v>
      </c>
      <c r="L215" s="6041">
        <v>6</v>
      </c>
      <c r="M215" s="6042"/>
    </row>
    <row r="216" spans="2:13" x14ac:dyDescent="0.2">
      <c r="B216" s="427"/>
      <c r="C216" s="6055" t="s">
        <v>3165</v>
      </c>
      <c r="D216" s="6056"/>
      <c r="E216" s="6060" t="str">
        <f>"Controlar llamas de intensidades no superiores a "&amp;Sheele!G15/2&amp;". Puede atacar con ellas."</f>
        <v>Controlar llamas de intensidades no superiores a 4. Puede atacar con ellas.</v>
      </c>
      <c r="F216" s="6061"/>
      <c r="G216" s="6061"/>
      <c r="H216" s="6061"/>
      <c r="I216" s="6061"/>
      <c r="J216" s="6061"/>
      <c r="K216" s="410" t="s">
        <v>1729</v>
      </c>
      <c r="L216" s="6041"/>
      <c r="M216" s="6042"/>
    </row>
    <row r="217" spans="2:13" x14ac:dyDescent="0.2">
      <c r="B217" s="377"/>
      <c r="C217" s="6051" t="s">
        <v>3154</v>
      </c>
      <c r="D217" s="6057"/>
      <c r="E217" s="6060"/>
      <c r="F217" s="6061"/>
      <c r="G217" s="6061"/>
      <c r="H217" s="6061"/>
      <c r="I217" s="6061"/>
      <c r="J217" s="6061"/>
      <c r="K217" s="410"/>
      <c r="L217" s="6051"/>
      <c r="M217" s="6052"/>
    </row>
    <row r="218" spans="2:13" x14ac:dyDescent="0.2">
      <c r="B218" s="377"/>
      <c r="C218" s="6051" t="s">
        <v>3154</v>
      </c>
      <c r="D218" s="6057"/>
      <c r="E218" s="6060"/>
      <c r="F218" s="6061"/>
      <c r="G218" s="6061"/>
      <c r="H218" s="6061"/>
      <c r="I218" s="6061"/>
      <c r="J218" s="6061"/>
      <c r="K218" s="410"/>
      <c r="L218" s="6051"/>
      <c r="M218" s="6052"/>
    </row>
    <row r="219" spans="2:13" x14ac:dyDescent="0.2">
      <c r="B219" s="604"/>
      <c r="C219" s="6058" t="s">
        <v>1980</v>
      </c>
      <c r="D219" s="6059"/>
      <c r="E219" s="607" t="str">
        <f t="array" ref="E219:H219">TRANSPOSE(C220:D223)</f>
        <v>Vuelo Místico 4</v>
      </c>
      <c r="F219" s="607" t="str">
        <v>Resistencia</v>
      </c>
      <c r="G219" s="607" t="str">
        <v xml:space="preserve"> </v>
      </c>
      <c r="H219" s="607" t="str">
        <v xml:space="preserve"> </v>
      </c>
      <c r="I219" s="602"/>
      <c r="J219" s="603"/>
      <c r="K219" s="601"/>
      <c r="L219" s="6053"/>
      <c r="M219" s="6054"/>
    </row>
    <row r="220" spans="2:13" x14ac:dyDescent="0.2">
      <c r="B220" s="427"/>
      <c r="C220" s="6055" t="s">
        <v>3155</v>
      </c>
      <c r="D220" s="6056"/>
      <c r="E220" s="6060" t="s">
        <v>3156</v>
      </c>
      <c r="F220" s="6060"/>
      <c r="G220" s="6060"/>
      <c r="H220" s="6060"/>
      <c r="I220" s="6060"/>
      <c r="J220" s="6060"/>
      <c r="K220" s="410" t="s">
        <v>1729</v>
      </c>
      <c r="L220" s="6041">
        <v>4</v>
      </c>
      <c r="M220" s="6042"/>
    </row>
    <row r="221" spans="2:13" x14ac:dyDescent="0.2">
      <c r="B221" s="427"/>
      <c r="C221" s="6055" t="s">
        <v>3101</v>
      </c>
      <c r="D221" s="6056"/>
      <c r="E221" s="6060" t="s">
        <v>3166</v>
      </c>
      <c r="F221" s="6061"/>
      <c r="G221" s="6061"/>
      <c r="H221" s="6061"/>
      <c r="I221" s="6061"/>
      <c r="J221" s="6061"/>
      <c r="K221" s="410" t="s">
        <v>1729</v>
      </c>
      <c r="L221" s="6041"/>
      <c r="M221" s="6042"/>
    </row>
    <row r="222" spans="2:13" x14ac:dyDescent="0.2">
      <c r="B222" s="377"/>
      <c r="C222" s="6051" t="s">
        <v>3154</v>
      </c>
      <c r="D222" s="6057"/>
      <c r="E222" s="6060"/>
      <c r="F222" s="6061"/>
      <c r="G222" s="6061"/>
      <c r="H222" s="6061"/>
      <c r="I222" s="6061"/>
      <c r="J222" s="6061"/>
      <c r="K222" s="410"/>
      <c r="L222" s="6051"/>
      <c r="M222" s="6052"/>
    </row>
    <row r="223" spans="2:13" x14ac:dyDescent="0.2">
      <c r="B223" s="377"/>
      <c r="C223" s="6051" t="s">
        <v>3154</v>
      </c>
      <c r="D223" s="6057"/>
      <c r="E223" s="6060"/>
      <c r="F223" s="6061"/>
      <c r="G223" s="6061"/>
      <c r="H223" s="6061"/>
      <c r="I223" s="6061"/>
      <c r="J223" s="6061"/>
      <c r="K223" s="410"/>
      <c r="L223" s="6051"/>
      <c r="M223" s="6052"/>
    </row>
    <row r="224" spans="2:13" x14ac:dyDescent="0.2">
      <c r="B224" s="604"/>
      <c r="C224" s="6058" t="s">
        <v>1975</v>
      </c>
      <c r="D224" s="6059"/>
      <c r="E224" s="607" t="str">
        <f t="array" ref="E224:H224">TRANSPOSE(C225:D228)</f>
        <v>Vuelo  Místico 6</v>
      </c>
      <c r="F224" s="607" t="str">
        <v>Visión de Luz</v>
      </c>
      <c r="G224" s="607" t="str">
        <v>Luminosa</v>
      </c>
      <c r="H224" s="607" t="str">
        <v xml:space="preserve"> </v>
      </c>
      <c r="I224" s="602"/>
      <c r="J224" s="603"/>
      <c r="K224" s="601"/>
      <c r="L224" s="6053"/>
      <c r="M224" s="6054"/>
    </row>
    <row r="225" spans="2:13" x14ac:dyDescent="0.2">
      <c r="B225" s="427"/>
      <c r="C225" s="6055" t="s">
        <v>3167</v>
      </c>
      <c r="D225" s="6056"/>
      <c r="E225" s="6060" t="s">
        <v>3164</v>
      </c>
      <c r="F225" s="6060"/>
      <c r="G225" s="6060"/>
      <c r="H225" s="6060"/>
      <c r="I225" s="6060"/>
      <c r="J225" s="6060"/>
      <c r="K225" s="410" t="s">
        <v>1729</v>
      </c>
      <c r="L225" s="6041">
        <v>6</v>
      </c>
      <c r="M225" s="6042"/>
    </row>
    <row r="226" spans="2:13" x14ac:dyDescent="0.2">
      <c r="B226" s="427"/>
      <c r="C226" s="6055" t="s">
        <v>3168</v>
      </c>
      <c r="D226" s="6056"/>
      <c r="E226" s="6060" t="s">
        <v>3169</v>
      </c>
      <c r="F226" s="6061"/>
      <c r="G226" s="6061"/>
      <c r="H226" s="6061"/>
      <c r="I226" s="6061"/>
      <c r="J226" s="6061"/>
      <c r="K226" s="410" t="s">
        <v>1729</v>
      </c>
      <c r="L226" s="6041"/>
      <c r="M226" s="6042"/>
    </row>
    <row r="227" spans="2:13" x14ac:dyDescent="0.2">
      <c r="B227" s="377"/>
      <c r="C227" s="6051" t="s">
        <v>3170</v>
      </c>
      <c r="D227" s="6057"/>
      <c r="E227" s="6060" t="s">
        <v>3171</v>
      </c>
      <c r="F227" s="6061"/>
      <c r="G227" s="6061"/>
      <c r="H227" s="6061"/>
      <c r="I227" s="6061"/>
      <c r="J227" s="6061"/>
      <c r="K227" s="410" t="s">
        <v>1729</v>
      </c>
      <c r="L227" s="6041"/>
      <c r="M227" s="6042"/>
    </row>
    <row r="228" spans="2:13" x14ac:dyDescent="0.2">
      <c r="B228" s="377"/>
      <c r="C228" s="6051" t="s">
        <v>3154</v>
      </c>
      <c r="D228" s="6057"/>
      <c r="E228" s="6060"/>
      <c r="F228" s="6061"/>
      <c r="G228" s="6061"/>
      <c r="H228" s="6061"/>
      <c r="I228" s="6061"/>
      <c r="J228" s="6061"/>
      <c r="K228" s="410"/>
      <c r="L228" s="6051"/>
      <c r="M228" s="6052"/>
    </row>
    <row r="229" spans="2:13" x14ac:dyDescent="0.2">
      <c r="B229" s="604"/>
      <c r="C229" s="6058" t="s">
        <v>1976</v>
      </c>
      <c r="D229" s="6059"/>
      <c r="E229" s="607" t="str">
        <f t="array" ref="E229:H229">TRANSPOSE(C230:D233)</f>
        <v>Vuelo Místico 8</v>
      </c>
      <c r="F229" s="607" t="str">
        <v>Visión oscura</v>
      </c>
      <c r="G229" s="607" t="str">
        <v>Invisible en la Sombra</v>
      </c>
      <c r="H229" s="607" t="str">
        <v xml:space="preserve"> </v>
      </c>
      <c r="I229" s="602"/>
      <c r="J229" s="603"/>
      <c r="K229" s="601"/>
      <c r="L229" s="6053"/>
      <c r="M229" s="6054"/>
    </row>
    <row r="230" spans="2:13" x14ac:dyDescent="0.2">
      <c r="B230" s="427"/>
      <c r="C230" s="6055" t="s">
        <v>3172</v>
      </c>
      <c r="D230" s="6056"/>
      <c r="E230" s="6060" t="s">
        <v>3173</v>
      </c>
      <c r="F230" s="6060"/>
      <c r="G230" s="6060"/>
      <c r="H230" s="6060"/>
      <c r="I230" s="6060"/>
      <c r="J230" s="6060"/>
      <c r="K230" s="410" t="s">
        <v>1729</v>
      </c>
      <c r="L230" s="6041">
        <v>8</v>
      </c>
      <c r="M230" s="6042"/>
    </row>
    <row r="231" spans="2:13" x14ac:dyDescent="0.2">
      <c r="B231" s="427"/>
      <c r="C231" s="6055" t="s">
        <v>3174</v>
      </c>
      <c r="D231" s="6056"/>
      <c r="E231" s="6060" t="s">
        <v>3175</v>
      </c>
      <c r="F231" s="6061"/>
      <c r="G231" s="6061"/>
      <c r="H231" s="6061"/>
      <c r="I231" s="6061"/>
      <c r="J231" s="6061"/>
      <c r="K231" s="410" t="s">
        <v>1729</v>
      </c>
      <c r="L231" s="6041"/>
      <c r="M231" s="6042"/>
    </row>
    <row r="232" spans="2:13" x14ac:dyDescent="0.2">
      <c r="B232" s="377"/>
      <c r="C232" s="6051" t="s">
        <v>3176</v>
      </c>
      <c r="D232" s="6057"/>
      <c r="E232" s="6060" t="s">
        <v>3177</v>
      </c>
      <c r="F232" s="6061"/>
      <c r="G232" s="6061"/>
      <c r="H232" s="6061"/>
      <c r="I232" s="6061"/>
      <c r="J232" s="6061"/>
      <c r="K232" s="410" t="s">
        <v>1729</v>
      </c>
      <c r="L232" s="6041"/>
      <c r="M232" s="6042"/>
    </row>
    <row r="233" spans="2:13" x14ac:dyDescent="0.2">
      <c r="B233" s="377"/>
      <c r="C233" s="6051" t="s">
        <v>3154</v>
      </c>
      <c r="D233" s="6057"/>
      <c r="E233" s="6060"/>
      <c r="F233" s="6061"/>
      <c r="G233" s="6061"/>
      <c r="H233" s="6061"/>
      <c r="I233" s="6061"/>
      <c r="J233" s="6061"/>
      <c r="K233" s="410"/>
      <c r="L233" s="6051"/>
      <c r="M233" s="6052"/>
    </row>
    <row r="234" spans="2:13" x14ac:dyDescent="0.2">
      <c r="B234" s="604"/>
      <c r="C234" s="6058" t="s">
        <v>2958</v>
      </c>
      <c r="D234" s="6059"/>
      <c r="E234" s="607" t="str">
        <f t="array" ref="E234:H234">TRANSPOSE(C235:D238)</f>
        <v>Vuelo Místico 6</v>
      </c>
      <c r="F234" s="607" t="str">
        <v>Naturaleza Sanadora</v>
      </c>
      <c r="G234" s="607" t="str">
        <v xml:space="preserve"> </v>
      </c>
      <c r="H234" s="607" t="str">
        <v xml:space="preserve"> </v>
      </c>
      <c r="I234" s="602"/>
      <c r="J234" s="603"/>
      <c r="K234" s="601"/>
      <c r="L234" s="6053"/>
      <c r="M234" s="6054"/>
    </row>
    <row r="235" spans="2:13" x14ac:dyDescent="0.2">
      <c r="B235" s="427"/>
      <c r="C235" s="6055" t="s">
        <v>3163</v>
      </c>
      <c r="D235" s="6056"/>
      <c r="E235" s="6060" t="s">
        <v>3164</v>
      </c>
      <c r="F235" s="6060"/>
      <c r="G235" s="6060"/>
      <c r="H235" s="6060"/>
      <c r="I235" s="6060"/>
      <c r="J235" s="6060"/>
      <c r="K235" s="410" t="s">
        <v>1729</v>
      </c>
      <c r="L235" s="6041">
        <v>6</v>
      </c>
      <c r="M235" s="6042"/>
    </row>
    <row r="236" spans="2:13" x14ac:dyDescent="0.2">
      <c r="B236" s="427"/>
      <c r="C236" s="6055" t="s">
        <v>3178</v>
      </c>
      <c r="D236" s="6056"/>
      <c r="E236" s="6060" t="s">
        <v>3179</v>
      </c>
      <c r="F236" s="6061"/>
      <c r="G236" s="6061"/>
      <c r="H236" s="6061"/>
      <c r="I236" s="6061"/>
      <c r="J236" s="6061"/>
      <c r="K236" s="410" t="s">
        <v>1729</v>
      </c>
      <c r="L236" s="6041"/>
      <c r="M236" s="6042"/>
    </row>
    <row r="237" spans="2:13" x14ac:dyDescent="0.2">
      <c r="B237" s="377"/>
      <c r="C237" s="6051" t="s">
        <v>3154</v>
      </c>
      <c r="D237" s="6057"/>
      <c r="E237" s="6060"/>
      <c r="F237" s="6061"/>
      <c r="G237" s="6061"/>
      <c r="H237" s="6061"/>
      <c r="I237" s="6061"/>
      <c r="J237" s="6061"/>
      <c r="K237" s="410"/>
      <c r="L237" s="6051"/>
      <c r="M237" s="6052"/>
    </row>
    <row r="238" spans="2:13" x14ac:dyDescent="0.2">
      <c r="B238" s="377"/>
      <c r="C238" s="6051" t="s">
        <v>3154</v>
      </c>
      <c r="D238" s="6057"/>
      <c r="E238" s="6060"/>
      <c r="F238" s="6061"/>
      <c r="G238" s="6061"/>
      <c r="H238" s="6061"/>
      <c r="I238" s="6061"/>
      <c r="J238" s="6061"/>
      <c r="K238" s="410"/>
      <c r="L238" s="6051"/>
      <c r="M238" s="6052"/>
    </row>
    <row r="239" spans="2:13" x14ac:dyDescent="0.2">
      <c r="B239" s="604"/>
      <c r="C239" s="6058" t="s">
        <v>1987</v>
      </c>
      <c r="D239" s="6059"/>
      <c r="E239" s="607" t="str">
        <f t="array" ref="E239:H239">TRANSPOSE(C240:D243)</f>
        <v>Vuelo Místico 6</v>
      </c>
      <c r="F239" s="607" t="str">
        <v>La que Todo lo Ve</v>
      </c>
      <c r="G239" s="607" t="str">
        <v>Destellos de Ilusión</v>
      </c>
      <c r="H239" s="607" t="str">
        <v xml:space="preserve"> </v>
      </c>
      <c r="I239" s="602"/>
      <c r="J239" s="603"/>
      <c r="K239" s="601"/>
      <c r="L239" s="6053"/>
      <c r="M239" s="6054"/>
    </row>
    <row r="240" spans="2:13" x14ac:dyDescent="0.2">
      <c r="B240" s="427"/>
      <c r="C240" s="6055" t="s">
        <v>3163</v>
      </c>
      <c r="D240" s="6056"/>
      <c r="E240" s="6060" t="s">
        <v>3164</v>
      </c>
      <c r="F240" s="6060"/>
      <c r="G240" s="6060"/>
      <c r="H240" s="6060"/>
      <c r="I240" s="6060"/>
      <c r="J240" s="6060"/>
      <c r="K240" s="410" t="s">
        <v>1729</v>
      </c>
      <c r="L240" s="6041">
        <v>6</v>
      </c>
      <c r="M240" s="6042"/>
    </row>
    <row r="241" spans="2:13" x14ac:dyDescent="0.2">
      <c r="B241" s="427"/>
      <c r="C241" s="6055" t="s">
        <v>3180</v>
      </c>
      <c r="D241" s="6056"/>
      <c r="E241" s="6060" t="s">
        <v>3181</v>
      </c>
      <c r="F241" s="6061"/>
      <c r="G241" s="6061"/>
      <c r="H241" s="6061"/>
      <c r="I241" s="6061"/>
      <c r="J241" s="6061"/>
      <c r="K241" s="410" t="s">
        <v>1729</v>
      </c>
      <c r="L241" s="6041"/>
      <c r="M241" s="6042"/>
    </row>
    <row r="242" spans="2:13" x14ac:dyDescent="0.2">
      <c r="B242" s="377"/>
      <c r="C242" s="6051" t="s">
        <v>3182</v>
      </c>
      <c r="D242" s="6057"/>
      <c r="E242" s="6060" t="s">
        <v>3183</v>
      </c>
      <c r="F242" s="6061"/>
      <c r="G242" s="6061"/>
      <c r="H242" s="6061"/>
      <c r="I242" s="6061"/>
      <c r="J242" s="6061"/>
      <c r="K242" s="410" t="s">
        <v>1729</v>
      </c>
      <c r="L242" s="6041"/>
      <c r="M242" s="6042"/>
    </row>
    <row r="243" spans="2:13" ht="13.5" thickBot="1" x14ac:dyDescent="0.25">
      <c r="B243" s="599"/>
      <c r="C243" s="6043" t="s">
        <v>3154</v>
      </c>
      <c r="D243" s="6062"/>
      <c r="E243" s="6063"/>
      <c r="F243" s="6064"/>
      <c r="G243" s="6064"/>
      <c r="H243" s="6064"/>
      <c r="I243" s="6064"/>
      <c r="J243" s="6064"/>
      <c r="K243" s="600"/>
      <c r="L243" s="6043"/>
      <c r="M243" s="604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04" zoomScaleNormal="100" workbookViewId="0">
      <selection activeCell="AL121" sqref="AL121"/>
    </sheetView>
  </sheetViews>
  <sheetFormatPr baseColWidth="10"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092" t="s">
        <v>10230</v>
      </c>
      <c r="V3" s="6093"/>
      <c r="W3" s="6093"/>
      <c r="X3" s="6093"/>
      <c r="Y3" s="6093"/>
      <c r="Z3" s="6093"/>
      <c r="AA3" s="6093"/>
      <c r="AB3" s="6093"/>
      <c r="AC3" s="6093"/>
      <c r="AD3" s="6093"/>
      <c r="AE3" s="6093"/>
      <c r="AF3" s="6093"/>
      <c r="AG3" s="6093"/>
      <c r="AH3" s="6094"/>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95"/>
      <c r="V4" s="6096"/>
      <c r="W4" s="6096"/>
      <c r="X4" s="6096"/>
      <c r="Y4" s="6096"/>
      <c r="Z4" s="6096"/>
      <c r="AA4" s="6096"/>
      <c r="AB4" s="6096"/>
      <c r="AC4" s="6096"/>
      <c r="AD4" s="6096"/>
      <c r="AE4" s="6096"/>
      <c r="AF4" s="6096"/>
      <c r="AG4" s="6096"/>
      <c r="AH4" s="6097"/>
    </row>
    <row r="5" spans="1:34" ht="12.75" customHeight="1" x14ac:dyDescent="0.2">
      <c r="A5" s="1010">
        <v>5</v>
      </c>
      <c r="B5" s="6098"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98" t="s">
        <v>7739</v>
      </c>
      <c r="T5" s="491"/>
      <c r="U5" s="2989">
        <v>1</v>
      </c>
      <c r="V5" s="2990">
        <v>2</v>
      </c>
      <c r="W5" s="2990">
        <v>3</v>
      </c>
      <c r="X5" s="2990">
        <v>4</v>
      </c>
      <c r="Y5" s="2990">
        <v>5</v>
      </c>
      <c r="Z5" s="2990">
        <v>6</v>
      </c>
      <c r="AA5" s="2990">
        <v>7</v>
      </c>
      <c r="AB5" s="2990">
        <v>8</v>
      </c>
      <c r="AC5" s="2990">
        <v>9</v>
      </c>
      <c r="AD5" s="2990">
        <v>10</v>
      </c>
      <c r="AE5" s="2990">
        <v>11</v>
      </c>
      <c r="AF5" s="2990">
        <v>12</v>
      </c>
      <c r="AG5" s="2990">
        <v>13</v>
      </c>
      <c r="AH5" s="2991">
        <v>14</v>
      </c>
    </row>
    <row r="6" spans="1:34" ht="12.75" customHeight="1" thickBot="1" x14ac:dyDescent="0.25">
      <c r="A6" s="1010">
        <v>6</v>
      </c>
      <c r="B6" s="6099"/>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6099"/>
      <c r="U6" s="2992" t="s">
        <v>1715</v>
      </c>
      <c r="V6" s="2993" t="s">
        <v>10232</v>
      </c>
      <c r="W6" s="2993" t="s">
        <v>10233</v>
      </c>
      <c r="X6" s="2993" t="s">
        <v>7963</v>
      </c>
      <c r="Y6" s="2993" t="s">
        <v>7964</v>
      </c>
      <c r="Z6" s="2993" t="s">
        <v>7965</v>
      </c>
      <c r="AA6" s="2993" t="s">
        <v>7974</v>
      </c>
      <c r="AB6" s="2993" t="s">
        <v>7966</v>
      </c>
      <c r="AC6" s="2993" t="s">
        <v>7967</v>
      </c>
      <c r="AD6" s="2993" t="s">
        <v>7968</v>
      </c>
      <c r="AE6" s="2993" t="s">
        <v>7969</v>
      </c>
      <c r="AF6" s="2993" t="s">
        <v>7970</v>
      </c>
      <c r="AG6" s="2993" t="s">
        <v>7971</v>
      </c>
      <c r="AH6" s="2983" t="s">
        <v>10231</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84" t="s">
        <v>119</v>
      </c>
      <c r="V7" s="494"/>
      <c r="W7" s="494"/>
      <c r="X7" s="1170"/>
      <c r="Y7" s="1170"/>
      <c r="Z7" s="1170"/>
      <c r="AA7" s="1170"/>
      <c r="AB7" s="1170"/>
      <c r="AC7" s="1170"/>
      <c r="AD7" s="1170"/>
      <c r="AE7" s="1170"/>
      <c r="AF7" s="1170"/>
      <c r="AG7" s="1170"/>
      <c r="AH7" s="2985"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2984"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85">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2984" t="s">
        <v>121</v>
      </c>
      <c r="V9" s="494" t="str">
        <f t="shared" si="0"/>
        <v>MED</v>
      </c>
      <c r="W9" s="494" t="str">
        <f>IFERROR(VLOOKUP(U9,Psíquicos!$AD$11:$AK$64,8,FALSE),V9)</f>
        <v>MED</v>
      </c>
      <c r="X9" s="1170"/>
      <c r="Y9" s="1170"/>
      <c r="Z9" s="1170"/>
      <c r="AA9" s="1170"/>
      <c r="AB9" s="1170"/>
      <c r="AC9" s="1170"/>
      <c r="AD9" s="1170"/>
      <c r="AE9" s="1170"/>
      <c r="AF9" s="1170"/>
      <c r="AG9" s="1170"/>
      <c r="AH9" s="2985">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2984" t="s">
        <v>122</v>
      </c>
      <c r="V10" s="494" t="str">
        <f t="shared" si="0"/>
        <v>MED</v>
      </c>
      <c r="W10" s="494" t="str">
        <f>IFERROR(VLOOKUP(U10,Psíquicos!$AD$11:$AK$64,8,FALSE),V10)</f>
        <v>MED</v>
      </c>
      <c r="X10" s="1170"/>
      <c r="Y10" s="1170"/>
      <c r="Z10" s="1170"/>
      <c r="AA10" s="1170"/>
      <c r="AB10" s="1170"/>
      <c r="AC10" s="1170"/>
      <c r="AD10" s="1170"/>
      <c r="AE10" s="1170"/>
      <c r="AF10" s="1170"/>
      <c r="AG10" s="1170"/>
      <c r="AH10" s="2985">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2984" t="s">
        <v>123</v>
      </c>
      <c r="V11" s="494" t="str">
        <f t="shared" si="0"/>
        <v>MED</v>
      </c>
      <c r="W11" s="494" t="str">
        <f>IFERROR(VLOOKUP(U11,Psíquicos!$AD$11:$AK$64,8,FALSE),V11)</f>
        <v>MED</v>
      </c>
      <c r="X11" s="1170"/>
      <c r="Y11" s="1170"/>
      <c r="Z11" s="1170"/>
      <c r="AA11" s="1170"/>
      <c r="AB11" s="1170"/>
      <c r="AC11" s="1170"/>
      <c r="AD11" s="1170"/>
      <c r="AE11" s="1170"/>
      <c r="AF11" s="1170"/>
      <c r="AG11" s="1170"/>
      <c r="AH11" s="2985">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2984" t="s">
        <v>124</v>
      </c>
      <c r="V12" s="494" t="str">
        <f t="shared" si="0"/>
        <v>MED</v>
      </c>
      <c r="W12" s="494" t="str">
        <f>IFERROR(VLOOKUP(U12,Psíquicos!$AD$11:$AK$64,8,FALSE),V12)</f>
        <v>MED</v>
      </c>
      <c r="X12" s="1170"/>
      <c r="Y12" s="1170"/>
      <c r="Z12" s="1170"/>
      <c r="AA12" s="1170"/>
      <c r="AB12" s="1170"/>
      <c r="AC12" s="1170"/>
      <c r="AD12" s="1170"/>
      <c r="AE12" s="1170"/>
      <c r="AF12" s="1170"/>
      <c r="AG12" s="1170"/>
      <c r="AH12" s="2985">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2984" t="s">
        <v>125</v>
      </c>
      <c r="V13" s="494" t="str">
        <f t="shared" si="0"/>
        <v>MED</v>
      </c>
      <c r="W13" s="494" t="str">
        <f>IFERROR(VLOOKUP(U13,Psíquicos!$AD$11:$AK$64,8,FALSE),V13)</f>
        <v>MED</v>
      </c>
      <c r="X13" s="1170"/>
      <c r="Y13" s="1170"/>
      <c r="Z13" s="1170"/>
      <c r="AA13" s="1170"/>
      <c r="AB13" s="1170"/>
      <c r="AC13" s="1170"/>
      <c r="AD13" s="1170"/>
      <c r="AE13" s="1170"/>
      <c r="AF13" s="1170"/>
      <c r="AG13" s="1170"/>
      <c r="AH13" s="2985">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2984" t="s">
        <v>126</v>
      </c>
      <c r="V14" s="494" t="str">
        <f t="shared" si="0"/>
        <v>DIF</v>
      </c>
      <c r="W14" s="494" t="str">
        <f>IFERROR(VLOOKUP(U14,Psíquicos!$AD$11:$AK$64,8,FALSE),V14)</f>
        <v>DIF</v>
      </c>
      <c r="X14" s="1170"/>
      <c r="Y14" s="1170"/>
      <c r="Z14" s="1170"/>
      <c r="AA14" s="1170"/>
      <c r="AB14" s="1170"/>
      <c r="AC14" s="1170"/>
      <c r="AD14" s="1170"/>
      <c r="AE14" s="1170"/>
      <c r="AF14" s="1170"/>
      <c r="AG14" s="1170"/>
      <c r="AH14" s="2985">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2984"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85">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2984"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85">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2984"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85">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2984"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85">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2984"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85">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2984" t="s">
        <v>135</v>
      </c>
      <c r="V20" s="1170"/>
      <c r="W20" s="494"/>
      <c r="X20" s="1170"/>
      <c r="Y20" s="1170"/>
      <c r="Z20" s="1170"/>
      <c r="AA20" s="1170"/>
      <c r="AB20" s="1170"/>
      <c r="AC20" s="1170"/>
      <c r="AD20" s="1170"/>
      <c r="AE20" s="1170"/>
      <c r="AF20" s="1170"/>
      <c r="AG20" s="1170"/>
      <c r="AH20" s="2985"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2984"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85">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2984"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85">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84"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85">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2984"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85">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2984"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85">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2984"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85">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2984"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85">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2984"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85">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2984"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85">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2984" t="s">
        <v>150</v>
      </c>
      <c r="V30" s="1170"/>
      <c r="W30" s="494"/>
      <c r="X30" s="1170"/>
      <c r="Y30" s="1170"/>
      <c r="Z30" s="1170"/>
      <c r="AA30" s="1170"/>
      <c r="AB30" s="1170"/>
      <c r="AC30" s="1170"/>
      <c r="AD30" s="1170"/>
      <c r="AE30" s="1170"/>
      <c r="AF30" s="1170"/>
      <c r="AG30" s="1170"/>
      <c r="AH30" s="2985"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2984"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85">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2984"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85">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2984"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85">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2984"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85">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2984"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85">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2984"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85">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2984"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85">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84"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85">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2984" t="s">
        <v>162</v>
      </c>
      <c r="V39" s="1170"/>
      <c r="W39" s="494"/>
      <c r="X39" s="1170"/>
      <c r="Y39" s="1170"/>
      <c r="Z39" s="1170"/>
      <c r="AA39" s="1170"/>
      <c r="AB39" s="1170"/>
      <c r="AC39" s="1170"/>
      <c r="AD39" s="1170"/>
      <c r="AE39" s="1170"/>
      <c r="AF39" s="1170"/>
      <c r="AG39" s="1170"/>
      <c r="AH39" s="2985"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2984"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85">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2984"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85">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2984"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85">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2984"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85">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2984"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85">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2984" t="s">
        <v>170</v>
      </c>
      <c r="V45" s="494" t="str">
        <f t="shared" si="4"/>
        <v>DIF</v>
      </c>
      <c r="W45" s="494" t="str">
        <f>IFERROR(VLOOKUP(U45,Psíquicos!$AD$11:$AK$64,8,FALSE),V45)</f>
        <v>DIF</v>
      </c>
      <c r="X45" s="1170"/>
      <c r="Y45" s="1170"/>
      <c r="Z45" s="1170"/>
      <c r="AA45" s="1170"/>
      <c r="AB45" s="1170"/>
      <c r="AC45" s="1170"/>
      <c r="AD45" s="1170"/>
      <c r="AE45" s="1170"/>
      <c r="AF45" s="1170"/>
      <c r="AG45" s="1170"/>
      <c r="AH45" s="2985">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2984" t="s">
        <v>171</v>
      </c>
      <c r="V46" s="494" t="str">
        <f t="shared" si="4"/>
        <v>ABS</v>
      </c>
      <c r="W46" s="494" t="str">
        <f>IFERROR(VLOOKUP(U46,Psíquicos!$AD$11:$AK$64,8,FALSE),V46)</f>
        <v>ABS</v>
      </c>
      <c r="X46" s="1170"/>
      <c r="Y46" s="1170"/>
      <c r="Z46" s="1170"/>
      <c r="AA46" s="1170"/>
      <c r="AB46" s="1170"/>
      <c r="AC46" s="1170"/>
      <c r="AD46" s="1170"/>
      <c r="AE46" s="1170"/>
      <c r="AF46" s="1170"/>
      <c r="AG46" s="1170"/>
      <c r="AH46" s="2985">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2984" t="s">
        <v>172</v>
      </c>
      <c r="V47" s="494" t="str">
        <f t="shared" si="4"/>
        <v>DIF</v>
      </c>
      <c r="W47" s="494" t="str">
        <f>IFERROR(VLOOKUP(U47,Psíquicos!$AD$11:$AK$64,8,FALSE),V47)</f>
        <v>DIF</v>
      </c>
      <c r="X47" s="1170"/>
      <c r="Y47" s="1170"/>
      <c r="Z47" s="1170"/>
      <c r="AA47" s="1170"/>
      <c r="AB47" s="1170"/>
      <c r="AC47" s="1170"/>
      <c r="AD47" s="1170"/>
      <c r="AE47" s="1170"/>
      <c r="AF47" s="1170"/>
      <c r="AG47" s="1170"/>
      <c r="AH47" s="2985">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2984" t="s">
        <v>173</v>
      </c>
      <c r="V48" s="494" t="str">
        <f t="shared" si="4"/>
        <v>ABS</v>
      </c>
      <c r="W48" s="494" t="str">
        <f>IFERROR(VLOOKUP(U48,Psíquicos!$AD$11:$AK$64,8,FALSE),V48)</f>
        <v>ABS</v>
      </c>
      <c r="X48" s="1170"/>
      <c r="Y48" s="1170"/>
      <c r="Z48" s="1170"/>
      <c r="AA48" s="1170"/>
      <c r="AB48" s="1170"/>
      <c r="AC48" s="1170"/>
      <c r="AD48" s="1170"/>
      <c r="AE48" s="1170"/>
      <c r="AF48" s="1170"/>
      <c r="AG48" s="1170"/>
      <c r="AH48" s="2985">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2984" t="s">
        <v>174</v>
      </c>
      <c r="V49" s="494" t="str">
        <f t="shared" si="4"/>
        <v>ABS</v>
      </c>
      <c r="W49" s="494" t="str">
        <f>IFERROR(VLOOKUP(U49,Psíquicos!$AD$11:$AK$64,8,FALSE),V49)</f>
        <v>ABS</v>
      </c>
      <c r="X49" s="1170"/>
      <c r="Y49" s="1170"/>
      <c r="Z49" s="1170"/>
      <c r="AA49" s="1170"/>
      <c r="AB49" s="1170"/>
      <c r="AC49" s="1170"/>
      <c r="AD49" s="1170"/>
      <c r="AE49" s="1170"/>
      <c r="AF49" s="1170"/>
      <c r="AG49" s="1170"/>
      <c r="AH49" s="2985">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84" t="s">
        <v>175</v>
      </c>
      <c r="V50" s="494" t="str">
        <f t="shared" si="4"/>
        <v>CIM</v>
      </c>
      <c r="W50" s="494" t="str">
        <f>IFERROR(VLOOKUP(U50,Psíquicos!$AD$11:$AK$64,8,FALSE),V50)</f>
        <v>CIM</v>
      </c>
      <c r="X50" s="1170"/>
      <c r="Y50" s="1170"/>
      <c r="Z50" s="1170"/>
      <c r="AA50" s="1170"/>
      <c r="AB50" s="1170"/>
      <c r="AC50" s="1170"/>
      <c r="AD50" s="1170"/>
      <c r="AE50" s="1170"/>
      <c r="AF50" s="1170"/>
      <c r="AG50" s="1170"/>
      <c r="AH50" s="2985">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2984" t="s">
        <v>176</v>
      </c>
      <c r="V51" s="1170"/>
      <c r="W51" s="494"/>
      <c r="X51" s="1170"/>
      <c r="Y51" s="1170"/>
      <c r="Z51" s="1170"/>
      <c r="AA51" s="1170"/>
      <c r="AB51" s="1170"/>
      <c r="AC51" s="1170"/>
      <c r="AD51" s="1170"/>
      <c r="AE51" s="1170"/>
      <c r="AF51" s="1170"/>
      <c r="AG51" s="1170"/>
      <c r="AH51" s="2985"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2984"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85">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2984"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85">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2984"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85">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2984"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85">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2984"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85">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2984"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85">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2984"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85">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2984"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85">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2984"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85">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2984"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85">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2984"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85">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2984"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85">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84" t="s">
        <v>188</v>
      </c>
      <c r="V64" s="1170"/>
      <c r="W64" s="494"/>
      <c r="X64" s="1170"/>
      <c r="Y64" s="1170"/>
      <c r="Z64" s="1170"/>
      <c r="AA64" s="1170"/>
      <c r="AB64" s="1170"/>
      <c r="AC64" s="1170"/>
      <c r="AD64" s="1170"/>
      <c r="AE64" s="1170"/>
      <c r="AF64" s="1170"/>
      <c r="AG64" s="1170"/>
      <c r="AH64" s="2985"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2984"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85">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2984"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85">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2984"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85">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2984"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85">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2984"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85">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2984"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85">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2984"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85">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2984" t="s">
        <v>200</v>
      </c>
      <c r="V72" s="494"/>
      <c r="W72" s="494"/>
      <c r="X72" s="1170"/>
      <c r="Y72" s="1170"/>
      <c r="Z72" s="1170"/>
      <c r="AA72" s="1170"/>
      <c r="AB72" s="1170"/>
      <c r="AC72" s="1170"/>
      <c r="AD72" s="1170"/>
      <c r="AE72" s="1170"/>
      <c r="AF72" s="1170"/>
      <c r="AG72" s="1170"/>
      <c r="AH72" s="2985"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2984"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85">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2984"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85">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2984"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85">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2984"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85">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2984"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85">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84"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85">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2984"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85">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2984"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85">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2984" t="s">
        <v>210</v>
      </c>
      <c r="V81" s="494"/>
      <c r="W81" s="494"/>
      <c r="X81" s="1170"/>
      <c r="Y81" s="1170"/>
      <c r="Z81" s="1170"/>
      <c r="AA81" s="1170"/>
      <c r="AB81" s="1170"/>
      <c r="AC81" s="1170"/>
      <c r="AD81" s="1170"/>
      <c r="AE81" s="1170"/>
      <c r="AF81" s="1170"/>
      <c r="AG81" s="1170"/>
      <c r="AH81" s="2985"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2984"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85">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2984"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85">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2984"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85">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2984"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85">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2984"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85">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2984"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85">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2984" t="s">
        <v>221</v>
      </c>
      <c r="V88" s="1170"/>
      <c r="W88" s="494"/>
      <c r="X88" s="1170"/>
      <c r="Y88" s="1170"/>
      <c r="Z88" s="1170"/>
      <c r="AA88" s="1170"/>
      <c r="AB88" s="1170"/>
      <c r="AC88" s="1170"/>
      <c r="AD88" s="1170"/>
      <c r="AE88" s="1170"/>
      <c r="AF88" s="1170"/>
      <c r="AG88" s="1170"/>
      <c r="AH88" s="2985"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2984"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85">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84"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85">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2984"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85">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2984"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85">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2984"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85">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2984" t="s">
        <v>231</v>
      </c>
      <c r="V94" s="1170"/>
      <c r="W94" s="494"/>
      <c r="X94" s="1170"/>
      <c r="Y94" s="1170"/>
      <c r="Z94" s="1170"/>
      <c r="AA94" s="1170"/>
      <c r="AB94" s="1170"/>
      <c r="AC94" s="1170"/>
      <c r="AD94" s="1170"/>
      <c r="AE94" s="1170"/>
      <c r="AF94" s="1170"/>
      <c r="AG94" s="1170"/>
      <c r="AH94" s="2985"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2984"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85">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2984"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85">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2984" t="s">
        <v>238</v>
      </c>
      <c r="V97" s="1170"/>
      <c r="W97" s="494"/>
      <c r="X97" s="1170"/>
      <c r="Y97" s="1170"/>
      <c r="Z97" s="1170"/>
      <c r="AA97" s="1170"/>
      <c r="AB97" s="1170"/>
      <c r="AC97" s="1170"/>
      <c r="AD97" s="1170"/>
      <c r="AE97" s="1170"/>
      <c r="AF97" s="1170"/>
      <c r="AG97" s="1170"/>
      <c r="AH97" s="2985"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2984"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85">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2984"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85">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2984"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85">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84"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85">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2984" t="s">
        <v>245</v>
      </c>
      <c r="V102" s="1170"/>
      <c r="W102" s="494"/>
      <c r="X102" s="1170"/>
      <c r="Y102" s="1170"/>
      <c r="Z102" s="1170"/>
      <c r="AA102" s="1170"/>
      <c r="AB102" s="1170"/>
      <c r="AC102" s="1170"/>
      <c r="AD102" s="1170"/>
      <c r="AE102" s="1170"/>
      <c r="AF102" s="1170"/>
      <c r="AG102" s="1170"/>
      <c r="AH102" s="2985"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2984"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85">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2984"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85">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2984"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85">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84" t="s">
        <v>249</v>
      </c>
      <c r="V106" s="494"/>
      <c r="W106" s="494"/>
      <c r="X106" s="1170"/>
      <c r="Y106" s="1170"/>
      <c r="Z106" s="1170"/>
      <c r="AA106" s="1170"/>
      <c r="AB106" s="1170"/>
      <c r="AC106" s="1170"/>
      <c r="AD106" s="1170"/>
      <c r="AE106" s="1170"/>
      <c r="AF106" s="1170"/>
      <c r="AG106" s="1170"/>
      <c r="AH106" s="2985"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2984"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85">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2984"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85">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2984"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85">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2986" t="s">
        <v>253</v>
      </c>
      <c r="V110" s="520" t="str">
        <f>INDEX($I$6:$R$6,SUMPRODUCT(ISNUMBER(SEARCH("Fatiga",I145:R145))*1)+1)</f>
        <v>DIF</v>
      </c>
      <c r="W110" s="520" t="str">
        <f>IFERROR(VLOOKUP(U110,Psíquicos!$AD$11:$AK$64,8,FALSE),V110)</f>
        <v>DIF</v>
      </c>
      <c r="X110" s="2987"/>
      <c r="Y110" s="2987"/>
      <c r="Z110" s="2987"/>
      <c r="AA110" s="2987"/>
      <c r="AB110" s="2987"/>
      <c r="AC110" s="2987"/>
      <c r="AD110" s="2987"/>
      <c r="AE110" s="2987"/>
      <c r="AF110" s="2987"/>
      <c r="AG110" s="2987"/>
      <c r="AH110" s="2988">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04" t="s">
        <v>9570</v>
      </c>
      <c r="V112" s="6105"/>
      <c r="W112" s="6105"/>
      <c r="X112" s="6105"/>
      <c r="Y112" s="6105"/>
      <c r="Z112" s="6105"/>
      <c r="AA112" s="6105"/>
      <c r="AB112" s="6105"/>
      <c r="AC112" s="6105"/>
      <c r="AD112" s="6105"/>
      <c r="AE112" s="6105"/>
      <c r="AF112" s="6105"/>
      <c r="AG112" s="6105"/>
      <c r="AH112" s="6106"/>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c r="AE113" s="2298" t="s">
        <v>115</v>
      </c>
      <c r="AF113" s="2298" t="s">
        <v>1975</v>
      </c>
      <c r="AG113" s="2298" t="s">
        <v>116</v>
      </c>
      <c r="AH113" s="3041" t="s">
        <v>6860</v>
      </c>
    </row>
    <row r="114" spans="1:34"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42">
        <f>IF(ISNA(VLOOKUP(AH113,Psíquicos!$C$25:$E$36,1,0)),0,1)</f>
        <v>0</v>
      </c>
    </row>
    <row r="115" spans="1:34"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43" t="s">
        <v>250</v>
      </c>
    </row>
    <row r="116" spans="1:34"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43" t="s">
        <v>251</v>
      </c>
    </row>
    <row r="117" spans="1:34"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43" t="s">
        <v>252</v>
      </c>
    </row>
    <row r="118" spans="1:34"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43"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43"/>
    </row>
    <row r="120" spans="1:34"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43"/>
    </row>
    <row r="121" spans="1:34"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43"/>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43"/>
    </row>
    <row r="123" spans="1:34"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43"/>
    </row>
    <row r="124" spans="1:34"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43"/>
    </row>
    <row r="125" spans="1:34"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43"/>
    </row>
    <row r="126" spans="1:34"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43"/>
    </row>
    <row r="127" spans="1:34"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43"/>
    </row>
    <row r="128" spans="1:34"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43"/>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c r="AE129" s="2305"/>
      <c r="AF129" s="2305"/>
      <c r="AG129" s="2305"/>
      <c r="AH129" s="3044"/>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4"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4"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00" t="s">
        <v>7959</v>
      </c>
      <c r="D148" s="6101"/>
    </row>
    <row r="149" spans="1:19" ht="12.75" customHeight="1" thickBot="1" x14ac:dyDescent="0.25">
      <c r="A149" s="1010">
        <v>149</v>
      </c>
      <c r="C149" s="6102" t="str">
        <f>ADDRESS(ROW($D$153),COLUMN($D$153))&amp;":"&amp;ADDRESS(ROW($D$153)+COUNTIF(D153:D291,"?*")-1,COLUMN($D$153))</f>
        <v>$D$153:$D$157</v>
      </c>
      <c r="D149" s="6103"/>
    </row>
    <row r="150" spans="1:19" ht="12.75" customHeight="1" x14ac:dyDescent="0.2">
      <c r="A150" s="1010">
        <v>150</v>
      </c>
      <c r="C150" s="4646" t="s">
        <v>9637</v>
      </c>
      <c r="D150" s="4648"/>
    </row>
    <row r="151" spans="1:19" ht="12.75" customHeight="1" x14ac:dyDescent="0.2">
      <c r="A151" s="1010">
        <v>151</v>
      </c>
      <c r="C151" s="6087"/>
      <c r="D151" s="6089"/>
    </row>
    <row r="152" spans="1:19" ht="12.75" customHeight="1" thickBot="1" x14ac:dyDescent="0.25">
      <c r="A152" s="1010">
        <v>152</v>
      </c>
      <c r="C152" s="4697"/>
      <c r="D152" s="4699"/>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423" priority="1" stopIfTrue="1">
      <formula>$G7&lt;&gt;"No"</formula>
    </cfRule>
  </conditionalFormatting>
  <conditionalFormatting sqref="V15">
    <cfRule type="expression" dxfId="422" priority="6876" stopIfTrue="1">
      <formula>$G16&lt;&gt;"No"</formula>
    </cfRule>
  </conditionalFormatting>
  <conditionalFormatting sqref="V16:V18">
    <cfRule type="expression" dxfId="421" priority="6881" stopIfTrue="1">
      <formula>$G18&lt;&gt;"No"</formula>
    </cfRule>
  </conditionalFormatting>
  <conditionalFormatting sqref="V19 V21">
    <cfRule type="expression" dxfId="420" priority="6886" stopIfTrue="1">
      <formula>$G22&lt;&gt;"No"</formula>
    </cfRule>
  </conditionalFormatting>
  <conditionalFormatting sqref="V22:V24">
    <cfRule type="expression" dxfId="419" priority="6891" stopIfTrue="1">
      <formula>$G26&lt;&gt;"No"</formula>
    </cfRule>
  </conditionalFormatting>
  <conditionalFormatting sqref="V25:V26">
    <cfRule type="expression" dxfId="418" priority="6896" stopIfTrue="1">
      <formula>$G30&lt;&gt;"No"</formula>
    </cfRule>
  </conditionalFormatting>
  <conditionalFormatting sqref="V27:V28">
    <cfRule type="expression" dxfId="417" priority="6901" stopIfTrue="1">
      <formula>$G33&lt;&gt;"No"</formula>
    </cfRule>
  </conditionalFormatting>
  <conditionalFormatting sqref="V29">
    <cfRule type="expression" dxfId="416" priority="6906" stopIfTrue="1">
      <formula>$G36&lt;&gt;"No"</formula>
    </cfRule>
  </conditionalFormatting>
  <conditionalFormatting sqref="V31">
    <cfRule type="expression" dxfId="415" priority="6911" stopIfTrue="1">
      <formula>$G39&lt;&gt;"No"</formula>
    </cfRule>
  </conditionalFormatting>
  <conditionalFormatting sqref="V32">
    <cfRule type="expression" dxfId="414" priority="6916" stopIfTrue="1">
      <formula>$G41&lt;&gt;"No"</formula>
    </cfRule>
  </conditionalFormatting>
  <conditionalFormatting sqref="V33:V36">
    <cfRule type="expression" dxfId="413" priority="6921" stopIfTrue="1">
      <formula>$G43&lt;&gt;"No"</formula>
    </cfRule>
  </conditionalFormatting>
  <conditionalFormatting sqref="V37:V38 V40:V42">
    <cfRule type="expression" dxfId="412" priority="6926" stopIfTrue="1">
      <formula>$G48&lt;&gt;"No"</formula>
    </cfRule>
  </conditionalFormatting>
  <conditionalFormatting sqref="V43">
    <cfRule type="expression" dxfId="411" priority="6931" stopIfTrue="1">
      <formula>$G55&lt;&gt;"No"</formula>
    </cfRule>
  </conditionalFormatting>
  <conditionalFormatting sqref="V44:V50 V52:V61">
    <cfRule type="expression" dxfId="410" priority="6936" stopIfTrue="1">
      <formula>$G57&lt;&gt;"No"</formula>
    </cfRule>
  </conditionalFormatting>
  <conditionalFormatting sqref="V62:V63 V65:V68">
    <cfRule type="expression" dxfId="409" priority="6945" stopIfTrue="1">
      <formula>$G76&lt;&gt;"No"</formula>
    </cfRule>
  </conditionalFormatting>
  <conditionalFormatting sqref="V69:V70">
    <cfRule type="expression" dxfId="408" priority="6950" stopIfTrue="1">
      <formula>$G85&lt;&gt;"No"</formula>
    </cfRule>
  </conditionalFormatting>
  <conditionalFormatting sqref="V71:V76">
    <cfRule type="expression" dxfId="407" priority="6955" stopIfTrue="1">
      <formula>$G89&lt;&gt;"No"</formula>
    </cfRule>
  </conditionalFormatting>
  <conditionalFormatting sqref="V77:V79">
    <cfRule type="expression" dxfId="406" priority="6960" stopIfTrue="1">
      <formula>$G96&lt;&gt;"No"</formula>
    </cfRule>
  </conditionalFormatting>
  <conditionalFormatting sqref="V80:V82">
    <cfRule type="expression" dxfId="405" priority="6965" stopIfTrue="1">
      <formula>$G100&lt;&gt;"No"</formula>
    </cfRule>
  </conditionalFormatting>
  <conditionalFormatting sqref="V83:V86">
    <cfRule type="expression" dxfId="404" priority="6970" stopIfTrue="1">
      <formula>$G105&lt;&gt;"No"</formula>
    </cfRule>
  </conditionalFormatting>
  <conditionalFormatting sqref="V87">
    <cfRule type="expression" dxfId="403" priority="6975" stopIfTrue="1">
      <formula>$G110&lt;&gt;"No"</formula>
    </cfRule>
  </conditionalFormatting>
  <conditionalFormatting sqref="V89:V93">
    <cfRule type="expression" dxfId="402" priority="6980" stopIfTrue="1">
      <formula>$G114&lt;&gt;"No"</formula>
    </cfRule>
  </conditionalFormatting>
  <conditionalFormatting sqref="V95">
    <cfRule type="expression" dxfId="401" priority="6985" stopIfTrue="1">
      <formula>$G125&lt;&gt;"No"</formula>
    </cfRule>
  </conditionalFormatting>
  <conditionalFormatting sqref="V96">
    <cfRule type="expression" dxfId="400" priority="6990" stopIfTrue="1">
      <formula>$G127&lt;&gt;"No"</formula>
    </cfRule>
  </conditionalFormatting>
  <conditionalFormatting sqref="V98:V99">
    <cfRule type="expression" dxfId="399" priority="6995" stopIfTrue="1">
      <formula>$G131&lt;&gt;"No"</formula>
    </cfRule>
  </conditionalFormatting>
  <conditionalFormatting sqref="V100:V101">
    <cfRule type="expression" dxfId="398" priority="7000" stopIfTrue="1">
      <formula>$G134&lt;&gt;"No"</formula>
    </cfRule>
  </conditionalFormatting>
  <conditionalFormatting sqref="V103:V110">
    <cfRule type="expression" dxfId="397"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B832"/>
  <sheetViews>
    <sheetView tabSelected="1" zoomScaleNormal="100" workbookViewId="0">
      <selection activeCell="F662" sqref="F662"/>
    </sheetView>
  </sheetViews>
  <sheetFormatPr baseColWidth="10" defaultColWidth="11.42578125" defaultRowHeight="12" customHeight="1" x14ac:dyDescent="0.2"/>
  <cols>
    <col min="1" max="1" width="2.42578125" style="2892" customWidth="1"/>
    <col min="2" max="2" width="2.7109375" customWidth="1"/>
    <col min="3" max="3" width="9.5703125" style="2872" customWidth="1"/>
    <col min="4" max="4" width="10.7109375" style="2872" customWidth="1"/>
    <col min="5" max="6" width="10.7109375" style="124" customWidth="1"/>
    <col min="7" max="12" width="10.7109375" style="2872" customWidth="1"/>
    <col min="13" max="13" width="10.7109375" style="2903" customWidth="1"/>
    <col min="14" max="14" width="10.7109375" style="2872" customWidth="1"/>
    <col min="15" max="15" width="10.7109375" style="124" customWidth="1"/>
    <col min="16" max="16" width="10.7109375" style="2872" customWidth="1"/>
    <col min="17" max="21" width="10.7109375" style="124" customWidth="1"/>
    <col min="22" max="22" width="10.7109375" style="2872" customWidth="1"/>
    <col min="23" max="23" width="14.42578125" style="2872" customWidth="1"/>
    <col min="24" max="25" width="10.7109375" style="2872" customWidth="1"/>
    <col min="26" max="28" width="10.7109375" customWidth="1"/>
    <col min="29" max="36" width="10.7109375" style="2872" customWidth="1"/>
    <col min="37" max="16384" width="11.42578125" style="2872"/>
  </cols>
  <sheetData>
    <row r="2" spans="1:27" ht="12" customHeight="1" x14ac:dyDescent="0.2">
      <c r="A2" s="6112"/>
      <c r="B2" s="6113" t="s">
        <v>9671</v>
      </c>
      <c r="C2" s="6113"/>
      <c r="D2" s="6113"/>
      <c r="E2" s="6113"/>
      <c r="F2" s="6113"/>
      <c r="G2" s="6113"/>
      <c r="H2" s="6113"/>
      <c r="I2" s="6113"/>
      <c r="J2" s="6113"/>
      <c r="K2" s="6113"/>
      <c r="L2" s="6113"/>
      <c r="M2" s="6113"/>
      <c r="N2" s="6113"/>
      <c r="O2" s="6113"/>
      <c r="P2" s="6113"/>
      <c r="Q2" s="6113"/>
      <c r="R2" s="6113"/>
      <c r="S2" s="6113"/>
      <c r="T2" s="6113"/>
      <c r="U2" s="6113"/>
      <c r="V2" s="6113"/>
      <c r="W2" s="6113"/>
      <c r="X2" s="6113"/>
      <c r="Y2" s="6113"/>
      <c r="Z2" s="6113"/>
      <c r="AA2" s="6113"/>
    </row>
    <row r="3" spans="1:27" ht="12" customHeight="1" x14ac:dyDescent="0.2">
      <c r="A3" s="6112"/>
      <c r="B3" s="6113"/>
      <c r="C3" s="6113"/>
      <c r="D3" s="6113"/>
      <c r="E3" s="6113"/>
      <c r="F3" s="6113"/>
      <c r="G3" s="6113"/>
      <c r="H3" s="6113"/>
      <c r="I3" s="6113"/>
      <c r="J3" s="6113"/>
      <c r="K3" s="6113"/>
      <c r="L3" s="6113"/>
      <c r="M3" s="6113"/>
      <c r="N3" s="6113"/>
      <c r="O3" s="6113"/>
      <c r="P3" s="6113"/>
      <c r="Q3" s="6113"/>
      <c r="R3" s="6113"/>
      <c r="S3" s="6113"/>
      <c r="T3" s="6113"/>
      <c r="U3" s="6113"/>
      <c r="V3" s="6113"/>
      <c r="W3" s="6113"/>
      <c r="X3" s="6113"/>
      <c r="Y3" s="6113"/>
      <c r="Z3" s="6113"/>
      <c r="AA3" s="6113"/>
    </row>
    <row r="4" spans="1:27" ht="12" customHeight="1" x14ac:dyDescent="0.2">
      <c r="A4" s="6112"/>
      <c r="B4" s="6113"/>
      <c r="C4" s="6113"/>
      <c r="D4" s="6113"/>
      <c r="E4" s="6113"/>
      <c r="F4" s="6113"/>
      <c r="G4" s="6113"/>
      <c r="H4" s="6113"/>
      <c r="I4" s="6113"/>
      <c r="J4" s="6113"/>
      <c r="K4" s="6113"/>
      <c r="L4" s="6113"/>
      <c r="M4" s="6113"/>
      <c r="N4" s="6113"/>
      <c r="O4" s="6113"/>
      <c r="P4" s="6113"/>
      <c r="Q4" s="6113"/>
      <c r="R4" s="6113"/>
      <c r="S4" s="6113"/>
      <c r="T4" s="6113"/>
      <c r="U4" s="6113"/>
      <c r="V4" s="6113"/>
      <c r="W4" s="6113"/>
      <c r="X4" s="6113"/>
      <c r="Y4" s="6113"/>
      <c r="Z4" s="6113"/>
      <c r="AA4" s="6113"/>
    </row>
    <row r="5" spans="1:27" ht="12" customHeight="1" thickBot="1" x14ac:dyDescent="0.25">
      <c r="A5" s="6112"/>
      <c r="C5"/>
      <c r="D5" s="2871"/>
      <c r="E5"/>
      <c r="F5"/>
      <c r="G5"/>
      <c r="H5"/>
      <c r="I5"/>
      <c r="J5"/>
      <c r="L5" s="2874"/>
      <c r="M5" s="2899"/>
      <c r="N5" s="2874"/>
      <c r="O5" s="2873"/>
      <c r="Q5" s="2873"/>
      <c r="R5" s="2873"/>
      <c r="S5" s="2873"/>
      <c r="T5" s="2873"/>
      <c r="U5" s="2873"/>
      <c r="V5"/>
      <c r="W5"/>
    </row>
    <row r="6" spans="1:27" ht="12" customHeight="1" x14ac:dyDescent="0.2">
      <c r="A6" s="6112"/>
      <c r="B6" s="6114"/>
      <c r="C6" s="6215" t="s">
        <v>9672</v>
      </c>
      <c r="D6" s="6117"/>
      <c r="E6" s="6117"/>
      <c r="F6" s="6117"/>
      <c r="G6" s="6117"/>
      <c r="H6" s="6117"/>
      <c r="I6" s="6117"/>
      <c r="J6" s="6117"/>
      <c r="K6" s="6117"/>
      <c r="L6" s="6118"/>
      <c r="N6" s="6121"/>
      <c r="O6" s="6117" t="s">
        <v>9673</v>
      </c>
      <c r="P6" s="6117"/>
      <c r="Q6" s="6117"/>
      <c r="R6" s="6117"/>
      <c r="S6" s="6117"/>
      <c r="T6" s="6117"/>
      <c r="U6" s="6117"/>
      <c r="V6" s="6117"/>
      <c r="W6" s="6117"/>
      <c r="X6" s="6118"/>
      <c r="Z6" s="3011" t="s">
        <v>6340</v>
      </c>
      <c r="AA6" s="2882" t="s">
        <v>10236</v>
      </c>
    </row>
    <row r="7" spans="1:27" ht="12" customHeight="1" x14ac:dyDescent="0.2">
      <c r="A7" s="6112"/>
      <c r="B7" s="6115"/>
      <c r="C7" s="6216"/>
      <c r="D7" s="6214"/>
      <c r="E7" s="6214"/>
      <c r="F7" s="6214"/>
      <c r="G7" s="6214"/>
      <c r="H7" s="6214"/>
      <c r="I7" s="6214"/>
      <c r="J7" s="6214"/>
      <c r="K7" s="6214"/>
      <c r="L7" s="6120"/>
      <c r="N7" s="6122"/>
      <c r="O7" s="6119"/>
      <c r="P7" s="6119"/>
      <c r="Q7" s="6119"/>
      <c r="R7" s="6119"/>
      <c r="S7" s="6119"/>
      <c r="T7" s="6119"/>
      <c r="U7" s="6119"/>
      <c r="V7" s="6119"/>
      <c r="W7" s="6119"/>
      <c r="X7" s="6120"/>
      <c r="Z7" s="3012" t="s">
        <v>1729</v>
      </c>
      <c r="AA7" s="2885" t="s">
        <v>1729</v>
      </c>
    </row>
    <row r="8" spans="1:27" ht="12" customHeight="1" thickBot="1" x14ac:dyDescent="0.25">
      <c r="A8" s="6112"/>
      <c r="B8" s="6115"/>
      <c r="C8" s="6217" t="s">
        <v>9674</v>
      </c>
      <c r="D8" s="6218" t="s">
        <v>9675</v>
      </c>
      <c r="E8" s="6219" t="s">
        <v>1672</v>
      </c>
      <c r="F8" s="6219" t="s">
        <v>1643</v>
      </c>
      <c r="G8" s="6218" t="s">
        <v>1637</v>
      </c>
      <c r="H8" s="6218" t="s">
        <v>10264</v>
      </c>
      <c r="I8" s="6218" t="s">
        <v>10265</v>
      </c>
      <c r="J8" s="6218" t="s">
        <v>10266</v>
      </c>
      <c r="K8" s="6218" t="s">
        <v>10267</v>
      </c>
      <c r="L8" s="2877" t="s">
        <v>10263</v>
      </c>
      <c r="N8" s="6122"/>
      <c r="O8" s="2900" t="s">
        <v>1506</v>
      </c>
      <c r="P8" s="2875" t="s">
        <v>3226</v>
      </c>
      <c r="Q8" s="2876" t="s">
        <v>9676</v>
      </c>
      <c r="R8" s="2926" t="s">
        <v>2127</v>
      </c>
      <c r="S8" s="2876" t="s">
        <v>1774</v>
      </c>
      <c r="T8" s="2876" t="s">
        <v>9677</v>
      </c>
      <c r="U8" s="2876" t="s">
        <v>3228</v>
      </c>
      <c r="V8" s="2876" t="s">
        <v>3229</v>
      </c>
      <c r="W8" s="2876" t="s">
        <v>3220</v>
      </c>
      <c r="X8" s="2878" t="s">
        <v>2568</v>
      </c>
      <c r="Z8" s="3013" t="s">
        <v>6340</v>
      </c>
      <c r="AA8" s="2885" t="s">
        <v>6340</v>
      </c>
    </row>
    <row r="9" spans="1:27" ht="12" customHeight="1" x14ac:dyDescent="0.2">
      <c r="A9" s="6112"/>
      <c r="B9" s="6115"/>
      <c r="C9" s="6220" t="s">
        <v>3217</v>
      </c>
      <c r="D9" s="6221" t="str">
        <f>IF(ISNUMBER(FIND("&gt;&gt;",C9)),"","'Tablas Técnicas'!"&amp;ADDRESS(ROW($P$9)+MATCH(C9,$O$10:$O$639,0),COLUMN($P$9))&amp;":"&amp;ADDRESS(ROW($P$9)+MATCH(C9,$O$10:$O$639,0)+COUNTIF($O$10:$O$639,C9)-1,COLUMN($P$9)))</f>
        <v/>
      </c>
      <c r="E9" s="6222" t="s">
        <v>1729</v>
      </c>
      <c r="F9" s="6222" t="s">
        <v>1729</v>
      </c>
      <c r="G9" s="6221" t="s">
        <v>1729</v>
      </c>
      <c r="H9" s="6221" t="s">
        <v>1729</v>
      </c>
      <c r="I9" s="6221"/>
      <c r="J9" s="6221"/>
      <c r="K9" s="6221"/>
      <c r="L9" s="2881"/>
      <c r="N9" s="6122"/>
      <c r="O9" s="2900">
        <f>Tablas!A1</f>
        <v>1</v>
      </c>
      <c r="P9" s="2875">
        <f>Tablas!B1</f>
        <v>2</v>
      </c>
      <c r="Q9" s="2876">
        <f>Tablas!C1</f>
        <v>3</v>
      </c>
      <c r="R9" s="2926">
        <f>Tablas!D1</f>
        <v>4</v>
      </c>
      <c r="S9" s="2876">
        <f>Tablas!E1</f>
        <v>5</v>
      </c>
      <c r="T9" s="2876">
        <f>Tablas!F1</f>
        <v>6</v>
      </c>
      <c r="U9" s="2876">
        <f>Tablas!G1</f>
        <v>7</v>
      </c>
      <c r="V9" s="2876">
        <f>Tablas!H1</f>
        <v>8</v>
      </c>
      <c r="W9" s="2876">
        <f>Tablas!I1</f>
        <v>9</v>
      </c>
      <c r="X9" s="2878">
        <f>Tablas!J1</f>
        <v>10</v>
      </c>
      <c r="Z9" s="3010"/>
      <c r="AA9" s="2885" t="s">
        <v>9687</v>
      </c>
    </row>
    <row r="10" spans="1:27" ht="12" customHeight="1" thickBot="1" x14ac:dyDescent="0.25">
      <c r="A10" s="6112"/>
      <c r="B10" s="6115"/>
      <c r="C10" s="6220" t="s">
        <v>9678</v>
      </c>
      <c r="D10" s="6221" t="str">
        <f>IF(ISNUMBER(FIND("&gt;&gt;",C10)),"","'Tablas Técnicas'!"&amp;ADDRESS(ROW($P$9)+MATCH(C10,$O$10:$O$639,0),COLUMN($P$9))&amp;":"&amp;ADDRESS(ROW($P$9)+MATCH(C10,$O$10:$O$639,0)+COUNTIF($O$10:$O$639,C10)-1,COLUMN($P$9)))</f>
        <v>'Tablas Técnicas'!$P$11:$P$21</v>
      </c>
      <c r="E10" s="6222" t="s">
        <v>3219</v>
      </c>
      <c r="F10" s="6222" t="s">
        <v>1504</v>
      </c>
      <c r="G10" s="6221" t="s">
        <v>9679</v>
      </c>
      <c r="H10" s="6221" t="s">
        <v>1878</v>
      </c>
      <c r="I10" s="6221" t="s">
        <v>1885</v>
      </c>
      <c r="J10" s="6221" t="s">
        <v>1976</v>
      </c>
      <c r="K10" s="6221" t="s">
        <v>9680</v>
      </c>
      <c r="L10" s="2881" t="b">
        <f>IFERROR(IF(VLOOKUP(H10,$Z$25:$AA$30,2,0),TRUE,IF(VLOOKUP(I10,$Z$25:$AA$30,2,0),TRUE,IF(VLOOKUP(J10,$Z$25:$AA$30,2,0),TRUE,FALSE))),FALSE)</f>
        <v>1</v>
      </c>
      <c r="N10" s="6122"/>
      <c r="O10" s="2901" t="s">
        <v>9681</v>
      </c>
      <c r="P10" s="2879"/>
      <c r="Q10" s="2883"/>
      <c r="R10" s="2927"/>
      <c r="S10" s="2883"/>
      <c r="T10" s="2883"/>
      <c r="U10" s="2883"/>
      <c r="V10" s="2883"/>
      <c r="W10" s="2883"/>
      <c r="X10" s="2884"/>
      <c r="Z10" s="3010"/>
      <c r="AA10" s="2886" t="s">
        <v>9690</v>
      </c>
    </row>
    <row r="11" spans="1:27" ht="12" customHeight="1" thickBot="1" x14ac:dyDescent="0.25">
      <c r="A11" s="6112"/>
      <c r="B11" s="6115"/>
      <c r="C11" s="6220" t="s">
        <v>9682</v>
      </c>
      <c r="D11" s="6221" t="str">
        <f>IF(ISNUMBER(FIND("&gt;&gt;",C11)),"","'Tablas Técnicas'!"&amp;ADDRESS(ROW($P$9)+MATCH(C11,$O$10:$O$639,0),COLUMN($P$9))&amp;":"&amp;ADDRESS(ROW($P$9)+MATCH(C11,$O$10:$O$639,0)+COUNTIF($O$10:$O$639,C11)-1,COLUMN($P$9)))</f>
        <v>'Tablas Técnicas'!$P$23:$P$29</v>
      </c>
      <c r="E11" s="6222" t="s">
        <v>3222</v>
      </c>
      <c r="F11" s="6222" t="s">
        <v>1504</v>
      </c>
      <c r="G11" s="6221" t="s">
        <v>9679</v>
      </c>
      <c r="H11" s="6221" t="s">
        <v>1878</v>
      </c>
      <c r="I11" s="6221" t="s">
        <v>1885</v>
      </c>
      <c r="J11" s="6221" t="s">
        <v>1976</v>
      </c>
      <c r="K11" s="6221" t="s">
        <v>9680</v>
      </c>
      <c r="L11" s="2881" t="b">
        <f>IFERROR(IF(VLOOKUP(H11,$Z$25:$AA$30,2,0),TRUE,IF(VLOOKUP(I11,$Z$25:$AA$30,2,0),TRUE,IF(VLOOKUP(J11,$Z$25:$AA$30,2,0),TRUE,FALSE))),FALSE)</f>
        <v>1</v>
      </c>
      <c r="N11" s="6122"/>
      <c r="O11" s="2901" t="s">
        <v>9683</v>
      </c>
      <c r="P11" s="2879" t="s">
        <v>8285</v>
      </c>
      <c r="Q11" s="2883">
        <v>2</v>
      </c>
      <c r="R11" s="2927">
        <v>4</v>
      </c>
      <c r="S11" s="2883">
        <v>5</v>
      </c>
      <c r="T11" s="2883">
        <v>1</v>
      </c>
      <c r="U11" s="2883">
        <v>2</v>
      </c>
      <c r="V11" s="2883">
        <v>4</v>
      </c>
      <c r="W11" s="2883">
        <v>1</v>
      </c>
      <c r="X11" s="2884" t="str">
        <f>O11&amp;P11</f>
        <v>Habilidad De Ataque+10</v>
      </c>
      <c r="AA11" s="2872"/>
    </row>
    <row r="12" spans="1:27" ht="12" customHeight="1" x14ac:dyDescent="0.2">
      <c r="A12" s="6112"/>
      <c r="B12" s="6115"/>
      <c r="C12" s="6220" t="s">
        <v>9684</v>
      </c>
      <c r="D12" s="6221" t="str">
        <f>IF(ISNUMBER(FIND("&gt;&gt;",C12)),"","'Tablas Técnicas'!"&amp;ADDRESS(ROW($P$9)+MATCH(C12,$O$10:$O$639,0),COLUMN($P$9))&amp;":"&amp;ADDRESS(ROW($P$9)+MATCH(C12,$O$10:$O$639,0)+COUNTIF($O$10:$O$639,C12)-1,COLUMN($P$9)))</f>
        <v>'Tablas Técnicas'!$P$31:$P$38</v>
      </c>
      <c r="E12" s="6222" t="s">
        <v>3219</v>
      </c>
      <c r="F12" s="6222" t="s">
        <v>1504</v>
      </c>
      <c r="G12" s="6221" t="s">
        <v>9685</v>
      </c>
      <c r="H12" s="6221" t="s">
        <v>1975</v>
      </c>
      <c r="I12" s="6221" t="s">
        <v>1976</v>
      </c>
      <c r="J12" s="6221" t="s">
        <v>1980</v>
      </c>
      <c r="K12" s="6221" t="s">
        <v>9686</v>
      </c>
      <c r="L12" s="2881" t="b">
        <f>IFERROR(IF(VLOOKUP(H12,$Z$25:$AA$30,2,0),TRUE,IF(VLOOKUP(I12,$Z$25:$AA$30,2,0),TRUE,IF(VLOOKUP(J12,$Z$25:$AA$30,2,0),TRUE,FALSE))),FALSE)</f>
        <v>0</v>
      </c>
      <c r="N12" s="6122"/>
      <c r="O12" s="2901" t="s">
        <v>9683</v>
      </c>
      <c r="P12" s="2879" t="s">
        <v>8439</v>
      </c>
      <c r="Q12" s="2883">
        <v>3</v>
      </c>
      <c r="R12" s="2927">
        <v>5</v>
      </c>
      <c r="S12" s="2883">
        <v>5</v>
      </c>
      <c r="T12" s="2883">
        <v>2</v>
      </c>
      <c r="U12" s="2883">
        <v>4</v>
      </c>
      <c r="V12" s="2883">
        <v>7</v>
      </c>
      <c r="W12" s="2883">
        <v>1</v>
      </c>
      <c r="X12" s="2884" t="str">
        <f>O12&amp;P12</f>
        <v>Habilidad De Ataque+25</v>
      </c>
      <c r="Z12" s="2882" t="s">
        <v>3194</v>
      </c>
      <c r="AA12" s="2872"/>
    </row>
    <row r="13" spans="1:27" ht="12" customHeight="1" x14ac:dyDescent="0.2">
      <c r="A13" s="6112"/>
      <c r="B13" s="6115"/>
      <c r="C13" s="6220" t="s">
        <v>9688</v>
      </c>
      <c r="D13" s="6221" t="str">
        <f>IF(ISNUMBER(FIND("&gt;&gt;",C13)),"","'Tablas Técnicas'!"&amp;ADDRESS(ROW($P$9)+MATCH(C13,$O$10:$O$639,0),COLUMN($P$9))&amp;":"&amp;ADDRESS(ROW($P$9)+MATCH(C13,$O$10:$O$639,0)+COUNTIF($O$10:$O$639,C13)-1,COLUMN($P$9)))</f>
        <v>'Tablas Técnicas'!$P$40:$P$50</v>
      </c>
      <c r="E13" s="6222" t="s">
        <v>3219</v>
      </c>
      <c r="F13" s="6222" t="s">
        <v>3313</v>
      </c>
      <c r="G13" s="6221" t="s">
        <v>9679</v>
      </c>
      <c r="H13" s="6221" t="s">
        <v>1881</v>
      </c>
      <c r="I13" s="6221" t="s">
        <v>1878</v>
      </c>
      <c r="J13" s="6221" t="s">
        <v>1980</v>
      </c>
      <c r="K13" s="6221" t="s">
        <v>9689</v>
      </c>
      <c r="L13" s="2881" t="b">
        <f>IFERROR(IF(VLOOKUP(H13,$Z$25:$AA$30,2,0),TRUE,IF(VLOOKUP(I13,$Z$25:$AA$30,2,0),TRUE,IF(VLOOKUP(J13,$Z$25:$AA$30,2,0),TRUE,FALSE))),FALSE)</f>
        <v>0</v>
      </c>
      <c r="N13" s="6122"/>
      <c r="O13" s="2901" t="s">
        <v>9683</v>
      </c>
      <c r="P13" s="2879" t="s">
        <v>8287</v>
      </c>
      <c r="Q13" s="2883">
        <v>4</v>
      </c>
      <c r="R13" s="2927">
        <v>6</v>
      </c>
      <c r="S13" s="2883">
        <v>10</v>
      </c>
      <c r="T13" s="2883">
        <v>3</v>
      </c>
      <c r="U13" s="2883">
        <v>6</v>
      </c>
      <c r="V13" s="2883">
        <v>11</v>
      </c>
      <c r="W13" s="2883">
        <v>1</v>
      </c>
      <c r="X13" s="2884" t="str">
        <f>O13&amp;P13</f>
        <v>Habilidad De Ataque+40</v>
      </c>
      <c r="Z13" s="2885" t="s">
        <v>9654</v>
      </c>
      <c r="AA13" s="2872"/>
    </row>
    <row r="14" spans="1:27" ht="12" customHeight="1" thickBot="1" x14ac:dyDescent="0.25">
      <c r="A14" s="6112"/>
      <c r="B14" s="6115"/>
      <c r="C14" s="6220" t="s">
        <v>9691</v>
      </c>
      <c r="D14" s="6221" t="str">
        <f>IF(ISNUMBER(FIND("&gt;&gt;",C14)),"","'Tablas Técnicas'!"&amp;ADDRESS(ROW($P$9)+MATCH(C14,$O$10:$O$639,0),COLUMN($P$9))&amp;":"&amp;ADDRESS(ROW($P$9)+MATCH(C14,$O$10:$O$639,0)+COUNTIF($O$10:$O$639,C14)-1,COLUMN($P$9)))</f>
        <v>'Tablas Técnicas'!$P$52:$P$57</v>
      </c>
      <c r="E14" s="6222" t="s">
        <v>3219</v>
      </c>
      <c r="F14" s="6222" t="s">
        <v>1504</v>
      </c>
      <c r="G14" s="6221" t="s">
        <v>9692</v>
      </c>
      <c r="H14" s="6221" t="s">
        <v>1878</v>
      </c>
      <c r="I14" s="6221" t="s">
        <v>7690</v>
      </c>
      <c r="J14" s="6221" t="s">
        <v>7690</v>
      </c>
      <c r="K14" s="6221" t="s">
        <v>1878</v>
      </c>
      <c r="L14" s="2881" t="b">
        <f>IFERROR(IF(VLOOKUP(H14,$Z$25:$AA$30,2,0),TRUE,IF(VLOOKUP(I14,$Z$25:$AA$30,2,0),TRUE,IF(VLOOKUP(J14,$Z$25:$AA$30,2,0),TRUE,FALSE))),FALSE)</f>
        <v>0</v>
      </c>
      <c r="N14" s="6122"/>
      <c r="O14" s="2901" t="s">
        <v>9683</v>
      </c>
      <c r="P14" s="2879" t="s">
        <v>8288</v>
      </c>
      <c r="Q14" s="2883">
        <v>5</v>
      </c>
      <c r="R14" s="2927">
        <v>8</v>
      </c>
      <c r="S14" s="2883">
        <v>15</v>
      </c>
      <c r="T14" s="2883">
        <v>4</v>
      </c>
      <c r="U14" s="2883">
        <v>8</v>
      </c>
      <c r="V14" s="2883">
        <v>14</v>
      </c>
      <c r="W14" s="2883">
        <v>1</v>
      </c>
      <c r="X14" s="2884" t="str">
        <f>O14&amp;P14</f>
        <v>Habilidad De Ataque+50</v>
      </c>
      <c r="Z14" s="2886" t="s">
        <v>790</v>
      </c>
      <c r="AA14" s="2872"/>
    </row>
    <row r="15" spans="1:27" ht="12" customHeight="1" thickBot="1" x14ac:dyDescent="0.25">
      <c r="A15" s="6112"/>
      <c r="B15" s="6115"/>
      <c r="C15" s="6220" t="s">
        <v>9693</v>
      </c>
      <c r="D15" s="6221" t="str">
        <f>IF(ISNUMBER(FIND("&gt;&gt;",C15)),"","'Tablas Técnicas'!"&amp;ADDRESS(ROW($P$9)+MATCH(C15,$O$10:$O$639,0),COLUMN($P$9))&amp;":"&amp;ADDRESS(ROW($P$9)+MATCH(C15,$O$10:$O$639,0)+COUNTIF($O$10:$O$639,C15)-1,COLUMN($P$9)))</f>
        <v>'Tablas Técnicas'!$P$59:$P$61</v>
      </c>
      <c r="E15" s="6222" t="s">
        <v>3222</v>
      </c>
      <c r="F15" s="6222" t="s">
        <v>1504</v>
      </c>
      <c r="G15" s="6221" t="s">
        <v>9692</v>
      </c>
      <c r="H15" s="6221" t="s">
        <v>1878</v>
      </c>
      <c r="I15" s="6221" t="s">
        <v>7690</v>
      </c>
      <c r="J15" s="6221" t="s">
        <v>7690</v>
      </c>
      <c r="K15" s="6221" t="s">
        <v>1878</v>
      </c>
      <c r="L15" s="2881" t="b">
        <f>IFERROR(IF(VLOOKUP(H15,$Z$25:$AA$30,2,0),TRUE,IF(VLOOKUP(I15,$Z$25:$AA$30,2,0),TRUE,IF(VLOOKUP(J15,$Z$25:$AA$30,2,0),TRUE,FALSE))),FALSE)</f>
        <v>0</v>
      </c>
      <c r="N15" s="6122"/>
      <c r="O15" s="2901" t="s">
        <v>9683</v>
      </c>
      <c r="P15" s="2879" t="s">
        <v>9694</v>
      </c>
      <c r="Q15" s="2883">
        <v>9</v>
      </c>
      <c r="R15" s="2927">
        <v>12</v>
      </c>
      <c r="S15" s="2883">
        <v>20</v>
      </c>
      <c r="T15" s="2883">
        <v>6</v>
      </c>
      <c r="U15" s="2883">
        <v>12</v>
      </c>
      <c r="V15" s="2883">
        <v>21</v>
      </c>
      <c r="W15" s="2883">
        <v>1</v>
      </c>
      <c r="X15" s="2884" t="str">
        <f>O15&amp;P15</f>
        <v>Habilidad De Ataque+75</v>
      </c>
      <c r="Z15" s="2872"/>
      <c r="AA15" s="2872"/>
    </row>
    <row r="16" spans="1:27" ht="12" customHeight="1" x14ac:dyDescent="0.2">
      <c r="A16" s="6112"/>
      <c r="B16" s="6115"/>
      <c r="C16" s="6220" t="s">
        <v>9695</v>
      </c>
      <c r="D16" s="6221" t="str">
        <f>IF(ISNUMBER(FIND("&gt;&gt;",C16)),"","'Tablas Técnicas'!"&amp;ADDRESS(ROW($P$9)+MATCH(C16,$O$10:$O$639,0),COLUMN($P$9))&amp;":"&amp;ADDRESS(ROW($P$9)+MATCH(C16,$O$10:$O$639,0)+COUNTIF($O$10:$O$639,C16)-1,COLUMN($P$9)))</f>
        <v>'Tablas Técnicas'!$P$63:$P$65</v>
      </c>
      <c r="E16" s="6222" t="s">
        <v>3219</v>
      </c>
      <c r="F16" s="6222" t="s">
        <v>1504</v>
      </c>
      <c r="G16" s="6221" t="s">
        <v>9696</v>
      </c>
      <c r="H16" s="6221" t="s">
        <v>1881</v>
      </c>
      <c r="I16" s="6221" t="s">
        <v>1878</v>
      </c>
      <c r="J16" s="6221" t="s">
        <v>1976</v>
      </c>
      <c r="K16" s="6221" t="s">
        <v>9697</v>
      </c>
      <c r="L16" s="2881" t="b">
        <f>IFERROR(IF(VLOOKUP(H16,$Z$25:$AA$30,2,0),TRUE,IF(VLOOKUP(I16,$Z$25:$AA$30,2,0),TRUE,IF(VLOOKUP(J16,$Z$25:$AA$30,2,0),TRUE,FALSE))),FALSE)</f>
        <v>0</v>
      </c>
      <c r="N16" s="6122"/>
      <c r="O16" s="2901" t="s">
        <v>9683</v>
      </c>
      <c r="P16" s="2879" t="s">
        <v>9698</v>
      </c>
      <c r="Q16" s="2883">
        <v>12</v>
      </c>
      <c r="R16" s="2927">
        <v>15</v>
      </c>
      <c r="S16" s="2883">
        <v>25</v>
      </c>
      <c r="T16" s="2883">
        <v>8</v>
      </c>
      <c r="U16" s="2883">
        <v>16</v>
      </c>
      <c r="V16" s="2883">
        <v>28</v>
      </c>
      <c r="W16" s="2883">
        <v>1</v>
      </c>
      <c r="X16" s="2884" t="str">
        <f>O16&amp;P16</f>
        <v>Habilidad De Ataque+90</v>
      </c>
      <c r="Z16" s="2882" t="s">
        <v>9705</v>
      </c>
      <c r="AA16" s="2882" t="s">
        <v>10239</v>
      </c>
    </row>
    <row r="17" spans="1:27" ht="12" customHeight="1" x14ac:dyDescent="0.2">
      <c r="A17" s="6112"/>
      <c r="B17" s="6115"/>
      <c r="C17" s="6220" t="s">
        <v>9699</v>
      </c>
      <c r="D17" s="6221" t="str">
        <f>IF(ISNUMBER(FIND("&gt;&gt;",C17)),"","'Tablas Técnicas'!"&amp;ADDRESS(ROW($P$9)+MATCH(C17,$O$10:$O$639,0),COLUMN($P$9))&amp;":"&amp;ADDRESS(ROW($P$9)+MATCH(C17,$O$10:$O$639,0)+COUNTIF($O$10:$O$639,C17)-1,COLUMN($P$9)))</f>
        <v>'Tablas Técnicas'!$P$67:$P$74</v>
      </c>
      <c r="E17" s="6222" t="s">
        <v>3219</v>
      </c>
      <c r="F17" s="6222" t="s">
        <v>1504</v>
      </c>
      <c r="G17" s="6221" t="s">
        <v>9700</v>
      </c>
      <c r="H17" s="6221" t="s">
        <v>1881</v>
      </c>
      <c r="I17" s="6221" t="s">
        <v>1878</v>
      </c>
      <c r="J17" s="6221" t="s">
        <v>1976</v>
      </c>
      <c r="K17" s="6221" t="s">
        <v>9697</v>
      </c>
      <c r="L17" s="2881" t="b">
        <f>IFERROR(IF(VLOOKUP(H17,$Z$25:$AA$30,2,0),TRUE,IF(VLOOKUP(I17,$Z$25:$AA$30,2,0),TRUE,IF(VLOOKUP(J17,$Z$25:$AA$30,2,0),TRUE,FALSE))),FALSE)</f>
        <v>0</v>
      </c>
      <c r="N17" s="6122"/>
      <c r="O17" s="2901" t="s">
        <v>9683</v>
      </c>
      <c r="P17" s="2879" t="s">
        <v>9701</v>
      </c>
      <c r="Q17" s="2883">
        <v>14</v>
      </c>
      <c r="R17" s="2927">
        <v>18</v>
      </c>
      <c r="S17" s="2883">
        <v>30</v>
      </c>
      <c r="T17" s="2883">
        <v>10</v>
      </c>
      <c r="U17" s="2883">
        <v>20</v>
      </c>
      <c r="V17" s="2883">
        <v>35</v>
      </c>
      <c r="W17" s="2883">
        <v>1</v>
      </c>
      <c r="X17" s="2884" t="str">
        <f>O17&amp;P17</f>
        <v>Habilidad De Ataque+100</v>
      </c>
      <c r="Z17" s="2885">
        <v>0</v>
      </c>
      <c r="AA17" s="2885">
        <v>0</v>
      </c>
    </row>
    <row r="18" spans="1:27" ht="12" customHeight="1" x14ac:dyDescent="0.2">
      <c r="A18" s="6112"/>
      <c r="B18" s="6115"/>
      <c r="C18" s="6220" t="s">
        <v>3225</v>
      </c>
      <c r="D18" s="6221" t="str">
        <f>IF(ISNUMBER(FIND("&gt;&gt;",C18)),"","'Tablas Técnicas'!"&amp;ADDRESS(ROW($P$9)+MATCH(C18,$O$10:$O$639,0),COLUMN($P$9))&amp;":"&amp;ADDRESS(ROW($P$9)+MATCH(C18,$O$10:$O$639,0)+COUNTIF($O$10:$O$639,C18)-1,COLUMN($P$9)))</f>
        <v/>
      </c>
      <c r="E18" s="6222"/>
      <c r="F18" s="6222"/>
      <c r="G18" s="6221"/>
      <c r="H18" s="6221"/>
      <c r="I18" s="6221" t="s">
        <v>7690</v>
      </c>
      <c r="J18" s="6221" t="s">
        <v>7690</v>
      </c>
      <c r="K18" s="6221" t="s">
        <v>7690</v>
      </c>
      <c r="L18" s="2881" t="b">
        <f>IFERROR(IF(VLOOKUP(H18,$Z$25:$AA$30,2,0),TRUE,IF(VLOOKUP(I18,$Z$25:$AA$30,2,0),TRUE,IF(VLOOKUP(J18,$Z$25:$AA$30,2,0),TRUE,FALSE))),FALSE)</f>
        <v>0</v>
      </c>
      <c r="N18" s="6122"/>
      <c r="O18" s="2901" t="s">
        <v>9683</v>
      </c>
      <c r="P18" s="2879" t="s">
        <v>9702</v>
      </c>
      <c r="Q18" s="2883">
        <v>18</v>
      </c>
      <c r="R18" s="2927">
        <v>22</v>
      </c>
      <c r="S18" s="2883">
        <v>35</v>
      </c>
      <c r="T18" s="2883">
        <v>12</v>
      </c>
      <c r="U18" s="2883">
        <v>24</v>
      </c>
      <c r="V18" s="2883">
        <v>42</v>
      </c>
      <c r="W18" s="2883">
        <v>2</v>
      </c>
      <c r="X18" s="2884" t="str">
        <f>O18&amp;P18</f>
        <v>Habilidad De Ataque+125</v>
      </c>
      <c r="Z18" s="2885">
        <v>-5</v>
      </c>
      <c r="AA18" s="2885">
        <v>-1</v>
      </c>
    </row>
    <row r="19" spans="1:27" ht="12" customHeight="1" x14ac:dyDescent="0.2">
      <c r="A19" s="6112"/>
      <c r="B19" s="6115"/>
      <c r="C19" s="6220" t="s">
        <v>3198</v>
      </c>
      <c r="D19" s="6221" t="str">
        <f>IF(ISNUMBER(FIND("&gt;&gt;",C19)),"","'Tablas Técnicas'!"&amp;ADDRESS(ROW($P$9)+MATCH(C19,$O$10:$O$639,0),COLUMN($P$9))&amp;":"&amp;ADDRESS(ROW($P$9)+MATCH(C19,$O$10:$O$639,0)+COUNTIF($O$10:$O$639,C19)-1,COLUMN($P$9)))</f>
        <v>'Tablas Técnicas'!$P$77:$P$87</v>
      </c>
      <c r="E19" s="6222" t="s">
        <v>3219</v>
      </c>
      <c r="F19" s="6222" t="s">
        <v>1840</v>
      </c>
      <c r="G19" s="6221" t="s">
        <v>9679</v>
      </c>
      <c r="H19" s="6221" t="s">
        <v>1881</v>
      </c>
      <c r="I19" s="6221" t="s">
        <v>1975</v>
      </c>
      <c r="J19" s="6221" t="s">
        <v>1980</v>
      </c>
      <c r="K19" s="6221" t="s">
        <v>9703</v>
      </c>
      <c r="L19" s="2881" t="b">
        <f>IFERROR(IF(VLOOKUP(H19,$Z$25:$AA$30,2,0),TRUE,IF(VLOOKUP(I19,$Z$25:$AA$30,2,0),TRUE,IF(VLOOKUP(J19,$Z$25:$AA$30,2,0),TRUE,FALSE))),FALSE)</f>
        <v>0</v>
      </c>
      <c r="N19" s="6122"/>
      <c r="O19" s="2901" t="s">
        <v>9683</v>
      </c>
      <c r="P19" s="2879" t="s">
        <v>9704</v>
      </c>
      <c r="Q19" s="2883">
        <v>22</v>
      </c>
      <c r="R19" s="2927">
        <v>26</v>
      </c>
      <c r="S19" s="2883">
        <v>40</v>
      </c>
      <c r="T19" s="2883">
        <v>14</v>
      </c>
      <c r="U19" s="2883">
        <v>28</v>
      </c>
      <c r="V19" s="2883">
        <v>49</v>
      </c>
      <c r="W19" s="2883">
        <v>2</v>
      </c>
      <c r="X19" s="2884" t="str">
        <f>O19&amp;P19</f>
        <v>Habilidad De Ataque+150</v>
      </c>
      <c r="Z19" s="2885">
        <v>-10</v>
      </c>
      <c r="AA19" s="2885">
        <v>-2</v>
      </c>
    </row>
    <row r="20" spans="1:27" ht="12" customHeight="1" x14ac:dyDescent="0.2">
      <c r="A20" s="6112"/>
      <c r="B20" s="6115"/>
      <c r="C20" s="6220" t="s">
        <v>9706</v>
      </c>
      <c r="D20" s="6221" t="str">
        <f>IF(ISNUMBER(FIND("&gt;&gt;",C20)),"","'Tablas Técnicas'!"&amp;ADDRESS(ROW($P$9)+MATCH(C20,$O$10:$O$639,0),COLUMN($P$9))&amp;":"&amp;ADDRESS(ROW($P$9)+MATCH(C20,$O$10:$O$639,0)+COUNTIF($O$10:$O$639,C20)-1,COLUMN($P$9)))</f>
        <v>'Tablas Técnicas'!$P$89:$P$95</v>
      </c>
      <c r="E20" s="6222" t="s">
        <v>3222</v>
      </c>
      <c r="F20" s="6222" t="s">
        <v>1840</v>
      </c>
      <c r="G20" s="6221" t="s">
        <v>9679</v>
      </c>
      <c r="H20" s="6221" t="s">
        <v>1881</v>
      </c>
      <c r="I20" s="6221" t="s">
        <v>1975</v>
      </c>
      <c r="J20" s="6221" t="s">
        <v>1980</v>
      </c>
      <c r="K20" s="6221" t="s">
        <v>9703</v>
      </c>
      <c r="L20" s="2881" t="b">
        <f>IFERROR(IF(VLOOKUP(H20,$Z$25:$AA$30,2,0),TRUE,IF(VLOOKUP(I20,$Z$25:$AA$30,2,0),TRUE,IF(VLOOKUP(J20,$Z$25:$AA$30,2,0),TRUE,FALSE))),FALSE)</f>
        <v>0</v>
      </c>
      <c r="N20" s="6122"/>
      <c r="O20" s="2901" t="s">
        <v>9683</v>
      </c>
      <c r="P20" s="2879" t="s">
        <v>9707</v>
      </c>
      <c r="Q20" s="2883">
        <v>26</v>
      </c>
      <c r="R20" s="2927">
        <v>32</v>
      </c>
      <c r="S20" s="2883">
        <v>45</v>
      </c>
      <c r="T20" s="2883">
        <v>16</v>
      </c>
      <c r="U20" s="2883">
        <v>32</v>
      </c>
      <c r="V20" s="2883">
        <v>56</v>
      </c>
      <c r="W20" s="2883">
        <v>3</v>
      </c>
      <c r="X20" s="2884" t="str">
        <f>O20&amp;P20</f>
        <v>Habilidad De Ataque+175</v>
      </c>
      <c r="Z20" s="2885">
        <v>-15</v>
      </c>
      <c r="AA20" s="2885">
        <v>-3</v>
      </c>
    </row>
    <row r="21" spans="1:27" ht="12" customHeight="1" thickBot="1" x14ac:dyDescent="0.25">
      <c r="A21" s="6112"/>
      <c r="B21" s="6115"/>
      <c r="C21" s="6220" t="s">
        <v>9708</v>
      </c>
      <c r="D21" s="6221" t="str">
        <f>IF(ISNUMBER(FIND("&gt;&gt;",C21)),"","'Tablas Técnicas'!"&amp;ADDRESS(ROW($P$9)+MATCH(C21,$O$10:$O$639,0),COLUMN($P$9))&amp;":"&amp;ADDRESS(ROW($P$9)+MATCH(C21,$O$10:$O$639,0)+COUNTIF($O$10:$O$639,C21)-1,COLUMN($P$9)))</f>
        <v>'Tablas Técnicas'!$P$97:$P$107</v>
      </c>
      <c r="E21" s="6222" t="s">
        <v>3219</v>
      </c>
      <c r="F21" s="6222" t="s">
        <v>1840</v>
      </c>
      <c r="G21" s="6221" t="s">
        <v>9679</v>
      </c>
      <c r="H21" s="6221" t="s">
        <v>1881</v>
      </c>
      <c r="I21" s="6221" t="s">
        <v>1975</v>
      </c>
      <c r="J21" s="6221" t="s">
        <v>1980</v>
      </c>
      <c r="K21" s="6221" t="s">
        <v>9703</v>
      </c>
      <c r="L21" s="2881" t="b">
        <f>IFERROR(IF(VLOOKUP(H21,$Z$25:$AA$30,2,0),TRUE,IF(VLOOKUP(I21,$Z$25:$AA$30,2,0),TRUE,IF(VLOOKUP(J21,$Z$25:$AA$30,2,0),TRUE,FALSE))),FALSE)</f>
        <v>0</v>
      </c>
      <c r="N21" s="6122"/>
      <c r="O21" s="2901" t="s">
        <v>9683</v>
      </c>
      <c r="P21" s="2879" t="s">
        <v>9709</v>
      </c>
      <c r="Q21" s="2883">
        <v>30</v>
      </c>
      <c r="R21" s="2927">
        <v>36</v>
      </c>
      <c r="S21" s="2883">
        <v>50</v>
      </c>
      <c r="T21" s="2883">
        <v>18</v>
      </c>
      <c r="U21" s="2883">
        <v>36</v>
      </c>
      <c r="V21" s="2883">
        <v>63</v>
      </c>
      <c r="W21" s="2883">
        <v>3</v>
      </c>
      <c r="X21" s="2884" t="str">
        <f>O21&amp;P21</f>
        <v>Habilidad De Ataque+200</v>
      </c>
      <c r="Z21" s="2886">
        <v>-20</v>
      </c>
      <c r="AA21" s="2885">
        <v>-4</v>
      </c>
    </row>
    <row r="22" spans="1:27" ht="12" customHeight="1" thickBot="1" x14ac:dyDescent="0.25">
      <c r="A22" s="6112"/>
      <c r="B22" s="6115"/>
      <c r="C22" s="6220" t="s">
        <v>3196</v>
      </c>
      <c r="D22" s="6221" t="str">
        <f>IF(ISNUMBER(FIND("&gt;&gt;",C22)),"","'Tablas Técnicas'!"&amp;ADDRESS(ROW($P$9)+MATCH(C22,$O$10:$O$639,0),COLUMN($P$9))&amp;":"&amp;ADDRESS(ROW($P$9)+MATCH(C22,$O$10:$O$639,0)+COUNTIF($O$10:$O$639,C22)-1,COLUMN($P$9)))</f>
        <v>'Tablas Técnicas'!$P$109:$P$119</v>
      </c>
      <c r="E22" s="6222" t="s">
        <v>3219</v>
      </c>
      <c r="F22" s="6222" t="s">
        <v>1840</v>
      </c>
      <c r="G22" s="6221" t="s">
        <v>9710</v>
      </c>
      <c r="H22" s="6221" t="s">
        <v>1881</v>
      </c>
      <c r="I22" s="6221" t="s">
        <v>1878</v>
      </c>
      <c r="J22" s="6221" t="s">
        <v>1975</v>
      </c>
      <c r="K22" s="6221" t="s">
        <v>9711</v>
      </c>
      <c r="L22" s="2881" t="b">
        <f>IFERROR(IF(VLOOKUP(H22,$Z$25:$AA$30,2,0),TRUE,IF(VLOOKUP(I22,$Z$25:$AA$30,2,0),TRUE,IF(VLOOKUP(J22,$Z$25:$AA$30,2,0),TRUE,FALSE))),FALSE)</f>
        <v>0</v>
      </c>
      <c r="N22" s="6122"/>
      <c r="O22" s="2901" t="s">
        <v>9712</v>
      </c>
      <c r="P22" s="2879"/>
      <c r="Q22" s="2883"/>
      <c r="R22" s="2927"/>
      <c r="S22" s="2883"/>
      <c r="T22" s="2883"/>
      <c r="U22" s="2883"/>
      <c r="V22" s="2883"/>
      <c r="W22" s="2883"/>
      <c r="X22" s="2884" t="str">
        <f>O22&amp;P22</f>
        <v>&gt; HABILIDAD DE ATAQUE COMPLETA</v>
      </c>
      <c r="Z22" s="2872"/>
      <c r="AA22" s="2886">
        <v>-5</v>
      </c>
    </row>
    <row r="23" spans="1:27" ht="12" customHeight="1" thickBot="1" x14ac:dyDescent="0.25">
      <c r="A23" s="6112"/>
      <c r="B23" s="6115"/>
      <c r="C23" s="6220" t="s">
        <v>9713</v>
      </c>
      <c r="D23" s="6221" t="str">
        <f>IF(ISNUMBER(FIND("&gt;&gt;",C23)),"","'Tablas Técnicas'!"&amp;ADDRESS(ROW($P$9)+MATCH(C23,$O$10:$O$639,0),COLUMN($P$9))&amp;":"&amp;ADDRESS(ROW($P$9)+MATCH(C23,$O$10:$O$639,0)+COUNTIF($O$10:$O$639,C23)-1,COLUMN($P$9)))</f>
        <v>'Tablas Técnicas'!$P$121:$P$127</v>
      </c>
      <c r="E23" s="6222" t="s">
        <v>3222</v>
      </c>
      <c r="F23" s="6222" t="s">
        <v>1840</v>
      </c>
      <c r="G23" s="6221" t="s">
        <v>9710</v>
      </c>
      <c r="H23" s="6221" t="s">
        <v>1881</v>
      </c>
      <c r="I23" s="6221" t="s">
        <v>1878</v>
      </c>
      <c r="J23" s="6221" t="s">
        <v>1975</v>
      </c>
      <c r="K23" s="6221" t="s">
        <v>9711</v>
      </c>
      <c r="L23" s="2881" t="b">
        <f>IFERROR(IF(VLOOKUP(H23,$Z$25:$AA$30,2,0),TRUE,IF(VLOOKUP(I23,$Z$25:$AA$30,2,0),TRUE,IF(VLOOKUP(J23,$Z$25:$AA$30,2,0),TRUE,FALSE))),FALSE)</f>
        <v>0</v>
      </c>
      <c r="N23" s="6122"/>
      <c r="O23" s="2901" t="s">
        <v>9714</v>
      </c>
      <c r="P23" s="2879" t="s">
        <v>8285</v>
      </c>
      <c r="Q23" s="2883">
        <v>4</v>
      </c>
      <c r="R23" s="2927">
        <v>6</v>
      </c>
      <c r="S23" s="2883">
        <v>10</v>
      </c>
      <c r="T23" s="2883">
        <v>2</v>
      </c>
      <c r="U23" s="2883">
        <v>4</v>
      </c>
      <c r="V23" s="2883">
        <v>7</v>
      </c>
      <c r="W23" s="2883">
        <v>1</v>
      </c>
      <c r="X23" s="2884" t="str">
        <f>O23&amp;P23</f>
        <v>Habilidad De Ataque Completa+10</v>
      </c>
      <c r="Z23" s="2872"/>
      <c r="AA23" s="2872"/>
    </row>
    <row r="24" spans="1:27" ht="12" customHeight="1" x14ac:dyDescent="0.2">
      <c r="A24" s="6112"/>
      <c r="B24" s="6115"/>
      <c r="C24" s="6220" t="s">
        <v>9715</v>
      </c>
      <c r="D24" s="6221" t="str">
        <f>IF(ISNUMBER(FIND("&gt;&gt;",C24)),"","'Tablas Técnicas'!"&amp;ADDRESS(ROW($P$9)+MATCH(C24,$O$10:$O$639,0),COLUMN($P$9))&amp;":"&amp;ADDRESS(ROW($P$9)+MATCH(C24,$O$10:$O$639,0)+COUNTIF($O$10:$O$639,C24)-1,COLUMN($P$9)))</f>
        <v>'Tablas Técnicas'!$P$129:$P$139</v>
      </c>
      <c r="E24" s="6222" t="s">
        <v>3219</v>
      </c>
      <c r="F24" s="6222" t="s">
        <v>1840</v>
      </c>
      <c r="G24" s="6221" t="s">
        <v>9710</v>
      </c>
      <c r="H24" s="6221" t="s">
        <v>1878</v>
      </c>
      <c r="I24" s="6221" t="s">
        <v>1975</v>
      </c>
      <c r="J24" s="6221" t="s">
        <v>1976</v>
      </c>
      <c r="K24" s="6221" t="s">
        <v>9716</v>
      </c>
      <c r="L24" s="2881" t="b">
        <f>IFERROR(IF(VLOOKUP(H24,$Z$25:$AA$30,2,0),TRUE,IF(VLOOKUP(I24,$Z$25:$AA$30,2,0),TRUE,IF(VLOOKUP(J24,$Z$25:$AA$30,2,0),TRUE,FALSE))),FALSE)</f>
        <v>0</v>
      </c>
      <c r="N24" s="6122"/>
      <c r="O24" s="2901" t="s">
        <v>9714</v>
      </c>
      <c r="P24" s="2879" t="s">
        <v>8439</v>
      </c>
      <c r="Q24" s="2883">
        <v>8</v>
      </c>
      <c r="R24" s="2927">
        <v>11</v>
      </c>
      <c r="S24" s="2883">
        <v>15</v>
      </c>
      <c r="T24" s="2883">
        <v>5</v>
      </c>
      <c r="U24" s="2883">
        <v>10</v>
      </c>
      <c r="V24" s="2883">
        <v>18</v>
      </c>
      <c r="W24" s="2883">
        <v>1</v>
      </c>
      <c r="X24" s="2884" t="str">
        <f>O24&amp;P24</f>
        <v>Habilidad De Ataque Completa+25</v>
      </c>
      <c r="Z24" s="2882" t="s">
        <v>9650</v>
      </c>
      <c r="AA24" s="2882" t="s">
        <v>10262</v>
      </c>
    </row>
    <row r="25" spans="1:27" ht="12" customHeight="1" x14ac:dyDescent="0.2">
      <c r="A25" s="6112"/>
      <c r="B25" s="6115"/>
      <c r="C25" s="6220" t="s">
        <v>9717</v>
      </c>
      <c r="D25" s="6221" t="str">
        <f>IF(ISNUMBER(FIND("&gt;&gt;",C25)),"","'Tablas Técnicas'!"&amp;ADDRESS(ROW($P$9)+MATCH(C25,$O$10:$O$639,0),COLUMN($P$9))&amp;":"&amp;ADDRESS(ROW($P$9)+MATCH(C25,$O$10:$O$639,0)+COUNTIF($O$10:$O$639,C25)-1,COLUMN($P$9)))</f>
        <v>'Tablas Técnicas'!$P$141:$P$148</v>
      </c>
      <c r="E25" s="6222" t="s">
        <v>3219</v>
      </c>
      <c r="F25" s="6222" t="s">
        <v>1840</v>
      </c>
      <c r="G25" s="6221" t="s">
        <v>9718</v>
      </c>
      <c r="H25" s="6221" t="s">
        <v>1881</v>
      </c>
      <c r="I25" s="6221" t="s">
        <v>1975</v>
      </c>
      <c r="J25" s="6221" t="s">
        <v>1980</v>
      </c>
      <c r="K25" s="6221" t="s">
        <v>9703</v>
      </c>
      <c r="L25" s="2881" t="b">
        <f>IFERROR(IF(VLOOKUP(H25,$Z$25:$AA$30,2,0),TRUE,IF(VLOOKUP(I25,$Z$25:$AA$30,2,0),TRUE,IF(VLOOKUP(J25,$Z$25:$AA$30,2,0),TRUE,FALSE))),FALSE)</f>
        <v>0</v>
      </c>
      <c r="N25" s="6122"/>
      <c r="O25" s="2901" t="s">
        <v>9714</v>
      </c>
      <c r="P25" s="2879" t="s">
        <v>8287</v>
      </c>
      <c r="Q25" s="2883">
        <v>10</v>
      </c>
      <c r="R25" s="2927">
        <v>13</v>
      </c>
      <c r="S25" s="2883">
        <v>20</v>
      </c>
      <c r="T25" s="2883">
        <v>8</v>
      </c>
      <c r="U25" s="2883">
        <v>16</v>
      </c>
      <c r="V25" s="2883">
        <v>28</v>
      </c>
      <c r="W25" s="2883">
        <v>1</v>
      </c>
      <c r="X25" s="2884" t="str">
        <f>O25&amp;P25</f>
        <v>Habilidad De Ataque Completa+40</v>
      </c>
      <c r="Z25" s="2885" t="s">
        <v>1878</v>
      </c>
      <c r="AA25" s="2885" t="b">
        <f>ISNUMBER(FIND("Empatía Elemental ("&amp;Z25&amp;")",Principal!$AF$30))</f>
        <v>0</v>
      </c>
    </row>
    <row r="26" spans="1:27" ht="12" customHeight="1" x14ac:dyDescent="0.2">
      <c r="A26" s="6112"/>
      <c r="B26" s="6115"/>
      <c r="C26" s="6220" t="s">
        <v>9719</v>
      </c>
      <c r="D26" s="6221" t="str">
        <f>IF(ISNUMBER(FIND("&gt;&gt;",C26)),"","'Tablas Técnicas'!"&amp;ADDRESS(ROW($P$9)+MATCH(C26,$O$10:$O$639,0),COLUMN($P$9))&amp;":"&amp;ADDRESS(ROW($P$9)+MATCH(C26,$O$10:$O$639,0)+COUNTIF($O$10:$O$639,C26)-1,COLUMN($P$9)))</f>
        <v>'Tablas Técnicas'!$P$151:$P$166</v>
      </c>
      <c r="E26" s="6222" t="s">
        <v>3219</v>
      </c>
      <c r="F26" s="6222" t="s">
        <v>1504</v>
      </c>
      <c r="G26" s="6221" t="s">
        <v>9720</v>
      </c>
      <c r="H26" s="6221" t="s">
        <v>1885</v>
      </c>
      <c r="I26" s="6221" t="s">
        <v>7690</v>
      </c>
      <c r="J26" s="6221" t="s">
        <v>7690</v>
      </c>
      <c r="K26" s="6221" t="s">
        <v>1885</v>
      </c>
      <c r="L26" s="2881" t="b">
        <f>IFERROR(IF(VLOOKUP(H26,$Z$25:$AA$30,2,0),TRUE,IF(VLOOKUP(I26,$Z$25:$AA$30,2,0),TRUE,IF(VLOOKUP(J26,$Z$25:$AA$30,2,0),TRUE,FALSE))),FALSE)</f>
        <v>1</v>
      </c>
      <c r="N26" s="6122"/>
      <c r="O26" s="2901" t="s">
        <v>9714</v>
      </c>
      <c r="P26" s="2879" t="s">
        <v>8288</v>
      </c>
      <c r="Q26" s="2883">
        <v>12</v>
      </c>
      <c r="R26" s="2927">
        <v>15</v>
      </c>
      <c r="S26" s="2883">
        <v>30</v>
      </c>
      <c r="T26" s="2883">
        <v>10</v>
      </c>
      <c r="U26" s="2883">
        <v>20</v>
      </c>
      <c r="V26" s="2883">
        <v>35</v>
      </c>
      <c r="W26" s="2883">
        <v>2</v>
      </c>
      <c r="X26" s="2884" t="str">
        <f>O26&amp;P26</f>
        <v>Habilidad De Ataque Completa+50</v>
      </c>
      <c r="Z26" s="2885" t="s">
        <v>1881</v>
      </c>
      <c r="AA26" s="2885" t="b">
        <f>ISNUMBER(FIND("Empatía Elemental ("&amp;Z26&amp;")",Principal!$AF$30))</f>
        <v>0</v>
      </c>
    </row>
    <row r="27" spans="1:27" ht="12" customHeight="1" x14ac:dyDescent="0.2">
      <c r="A27" s="6112"/>
      <c r="B27" s="6115"/>
      <c r="C27" s="6220" t="s">
        <v>9721</v>
      </c>
      <c r="D27" s="6221" t="str">
        <f>IF(ISNUMBER(FIND("&gt;&gt;",C27)),"","'Tablas Técnicas'!"&amp;ADDRESS(ROW($P$9)+MATCH(C27,$O$10:$O$639,0),COLUMN($P$9))&amp;":"&amp;ADDRESS(ROW($P$9)+MATCH(C27,$O$10:$O$639,0)+COUNTIF($O$10:$O$639,C27)-1,COLUMN($P$9)))</f>
        <v>'Tablas Técnicas'!$P$168:$P$174</v>
      </c>
      <c r="E27" s="6222" t="s">
        <v>3222</v>
      </c>
      <c r="F27" s="6222" t="s">
        <v>1504</v>
      </c>
      <c r="G27" s="6221" t="s">
        <v>9722</v>
      </c>
      <c r="H27" s="6221" t="s">
        <v>1885</v>
      </c>
      <c r="I27" s="6221" t="s">
        <v>7690</v>
      </c>
      <c r="J27" s="6221" t="s">
        <v>7690</v>
      </c>
      <c r="K27" s="6221" t="s">
        <v>1885</v>
      </c>
      <c r="L27" s="2881" t="b">
        <f>IFERROR(IF(VLOOKUP(H27,$Z$25:$AA$30,2,0),TRUE,IF(VLOOKUP(I27,$Z$25:$AA$30,2,0),TRUE,IF(VLOOKUP(J27,$Z$25:$AA$30,2,0),TRUE,FALSE))),FALSE)</f>
        <v>1</v>
      </c>
      <c r="N27" s="6122"/>
      <c r="O27" s="2901" t="s">
        <v>9714</v>
      </c>
      <c r="P27" s="2879" t="s">
        <v>9694</v>
      </c>
      <c r="Q27" s="2883">
        <v>18</v>
      </c>
      <c r="R27" s="2927">
        <v>22</v>
      </c>
      <c r="S27" s="2883">
        <v>50</v>
      </c>
      <c r="T27" s="2883">
        <v>14</v>
      </c>
      <c r="U27" s="2883">
        <v>28</v>
      </c>
      <c r="V27" s="2883">
        <v>49</v>
      </c>
      <c r="W27" s="2883">
        <v>2</v>
      </c>
      <c r="X27" s="2884" t="str">
        <f>O27&amp;P27</f>
        <v>Habilidad De Ataque Completa+75</v>
      </c>
      <c r="Z27" s="2885" t="s">
        <v>1885</v>
      </c>
      <c r="AA27" s="2885" t="b">
        <f>ISNUMBER(FIND("Empatía Elemental ("&amp;Z27&amp;")",Principal!$AF$30))</f>
        <v>1</v>
      </c>
    </row>
    <row r="28" spans="1:27" ht="12" customHeight="1" x14ac:dyDescent="0.2">
      <c r="A28" s="6112"/>
      <c r="B28" s="6115"/>
      <c r="C28" s="6220" t="s">
        <v>9723</v>
      </c>
      <c r="D28" s="6221" t="str">
        <f>IF(ISNUMBER(FIND("&gt;&gt;",C28)),"","'Tablas Técnicas'!"&amp;ADDRESS(ROW($P$9)+MATCH(C28,$O$10:$O$639,0),COLUMN($P$9))&amp;":"&amp;ADDRESS(ROW($P$9)+MATCH(C28,$O$10:$O$639,0)+COUNTIF($O$10:$O$639,C28)-1,COLUMN($P$9)))</f>
        <v>'Tablas Técnicas'!$P$176:$P$178</v>
      </c>
      <c r="E28" s="6222" t="s">
        <v>3219</v>
      </c>
      <c r="F28" s="6222" t="s">
        <v>1504</v>
      </c>
      <c r="G28" s="6221" t="s">
        <v>9724</v>
      </c>
      <c r="H28" s="6221" t="s">
        <v>1885</v>
      </c>
      <c r="I28" s="6221" t="s">
        <v>7690</v>
      </c>
      <c r="J28" s="6221" t="s">
        <v>7690</v>
      </c>
      <c r="K28" s="6221" t="s">
        <v>1885</v>
      </c>
      <c r="L28" s="2881" t="b">
        <f>IFERROR(IF(VLOOKUP(H28,$Z$25:$AA$30,2,0),TRUE,IF(VLOOKUP(I28,$Z$25:$AA$30,2,0),TRUE,IF(VLOOKUP(J28,$Z$25:$AA$30,2,0),TRUE,FALSE))),FALSE)</f>
        <v>1</v>
      </c>
      <c r="N28" s="6122"/>
      <c r="O28" s="2901" t="s">
        <v>9714</v>
      </c>
      <c r="P28" s="2879" t="s">
        <v>9698</v>
      </c>
      <c r="Q28" s="2883">
        <v>24</v>
      </c>
      <c r="R28" s="2927">
        <v>29</v>
      </c>
      <c r="S28" s="2883">
        <v>60</v>
      </c>
      <c r="T28" s="2883">
        <v>18</v>
      </c>
      <c r="U28" s="2883">
        <v>36</v>
      </c>
      <c r="V28" s="2883">
        <v>63</v>
      </c>
      <c r="W28" s="2883">
        <v>3</v>
      </c>
      <c r="X28" s="2884" t="str">
        <f>O28&amp;P28</f>
        <v>Habilidad De Ataque Completa+90</v>
      </c>
      <c r="Z28" s="2885" t="s">
        <v>1980</v>
      </c>
      <c r="AA28" s="2885" t="b">
        <f>ISNUMBER(FIND("Empatía Elemental ("&amp;Z28&amp;")",Principal!$AF$30))</f>
        <v>0</v>
      </c>
    </row>
    <row r="29" spans="1:27" ht="12" customHeight="1" x14ac:dyDescent="0.2">
      <c r="A29" s="6112"/>
      <c r="B29" s="6115"/>
      <c r="C29" s="6220" t="s">
        <v>9725</v>
      </c>
      <c r="D29" s="6221" t="str">
        <f>IF(ISNUMBER(FIND("&gt;&gt;",C29)),"","'Tablas Técnicas'!"&amp;ADDRESS(ROW($P$9)+MATCH(C29,$O$10:$O$639,0),COLUMN($P$9))&amp;":"&amp;ADDRESS(ROW($P$9)+MATCH(C29,$O$10:$O$639,0)+COUNTIF($O$10:$O$639,C29)-1,COLUMN($P$9)))</f>
        <v>'Tablas Técnicas'!$P$180:$P$182</v>
      </c>
      <c r="E29" s="6222" t="s">
        <v>3222</v>
      </c>
      <c r="F29" s="6222" t="s">
        <v>1504</v>
      </c>
      <c r="G29" s="6221" t="s">
        <v>9724</v>
      </c>
      <c r="H29" s="6221" t="s">
        <v>1885</v>
      </c>
      <c r="I29" s="6221" t="s">
        <v>7690</v>
      </c>
      <c r="J29" s="6221" t="s">
        <v>7690</v>
      </c>
      <c r="K29" s="6221" t="s">
        <v>1885</v>
      </c>
      <c r="L29" s="2881" t="b">
        <f>IFERROR(IF(VLOOKUP(H29,$Z$25:$AA$30,2,0),TRUE,IF(VLOOKUP(I29,$Z$25:$AA$30,2,0),TRUE,IF(VLOOKUP(J29,$Z$25:$AA$30,2,0),TRUE,FALSE))),FALSE)</f>
        <v>1</v>
      </c>
      <c r="N29" s="6122"/>
      <c r="O29" s="2901" t="s">
        <v>9714</v>
      </c>
      <c r="P29" s="2879" t="s">
        <v>9701</v>
      </c>
      <c r="Q29" s="2883">
        <v>28</v>
      </c>
      <c r="R29" s="2927">
        <v>32</v>
      </c>
      <c r="S29" s="2883">
        <v>70</v>
      </c>
      <c r="T29" s="2883">
        <v>20</v>
      </c>
      <c r="U29" s="2883">
        <v>40</v>
      </c>
      <c r="V29" s="2883">
        <v>70</v>
      </c>
      <c r="W29" s="2883">
        <v>3</v>
      </c>
      <c r="X29" s="2884" t="str">
        <f>O29&amp;P29</f>
        <v>Habilidad De Ataque Completa+100</v>
      </c>
      <c r="Z29" s="2885" t="s">
        <v>1975</v>
      </c>
      <c r="AA29" s="2885" t="b">
        <f>ISNUMBER(FIND("Empatía Elemental ("&amp;Z29&amp;")",Principal!$AF$30))</f>
        <v>0</v>
      </c>
    </row>
    <row r="30" spans="1:27" ht="12" customHeight="1" thickBot="1" x14ac:dyDescent="0.25">
      <c r="A30" s="6112"/>
      <c r="B30" s="6115"/>
      <c r="C30" s="6220" t="s">
        <v>9726</v>
      </c>
      <c r="D30" s="6221" t="str">
        <f>IF(ISNUMBER(FIND("&gt;&gt;",C30)),"","'Tablas Técnicas'!"&amp;ADDRESS(ROW($P$9)+MATCH(C30,$O$10:$O$639,0),COLUMN($P$9))&amp;":"&amp;ADDRESS(ROW($P$9)+MATCH(C30,$O$10:$O$639,0)+COUNTIF($O$10:$O$639,C30)-1,COLUMN($P$9)))</f>
        <v>'Tablas Técnicas'!$P$184:$P$190</v>
      </c>
      <c r="E30" s="6222" t="s">
        <v>3219</v>
      </c>
      <c r="F30" s="6222" t="s">
        <v>1504</v>
      </c>
      <c r="G30" s="6221" t="s">
        <v>9722</v>
      </c>
      <c r="H30" s="6221" t="s">
        <v>1885</v>
      </c>
      <c r="I30" s="6221" t="s">
        <v>7690</v>
      </c>
      <c r="J30" s="6221" t="s">
        <v>7690</v>
      </c>
      <c r="K30" s="6221" t="s">
        <v>1885</v>
      </c>
      <c r="L30" s="2881" t="b">
        <f>IFERROR(IF(VLOOKUP(H30,$Z$25:$AA$30,2,0),TRUE,IF(VLOOKUP(I30,$Z$25:$AA$30,2,0),TRUE,IF(VLOOKUP(J30,$Z$25:$AA$30,2,0),TRUE,FALSE))),FALSE)</f>
        <v>1</v>
      </c>
      <c r="N30" s="6122"/>
      <c r="O30" s="2901" t="s">
        <v>9727</v>
      </c>
      <c r="P30" s="2879"/>
      <c r="Q30" s="2883"/>
      <c r="R30" s="2927"/>
      <c r="S30" s="2883"/>
      <c r="T30" s="2883"/>
      <c r="U30" s="2883"/>
      <c r="V30" s="2883"/>
      <c r="W30" s="2883"/>
      <c r="X30" s="2884" t="str">
        <f>O30&amp;P30</f>
        <v>&gt; ATAQUE PREDETERMINADO</v>
      </c>
      <c r="Z30" s="2886" t="s">
        <v>1976</v>
      </c>
      <c r="AA30" s="2886" t="b">
        <f>ISNUMBER(FIND("Empatía Elemental ("&amp;Z30&amp;")",Principal!$AF$30))</f>
        <v>0</v>
      </c>
    </row>
    <row r="31" spans="1:27" ht="12" customHeight="1" x14ac:dyDescent="0.2">
      <c r="A31" s="6112"/>
      <c r="B31" s="6115"/>
      <c r="C31" s="6220" t="s">
        <v>9728</v>
      </c>
      <c r="D31" s="6221" t="str">
        <f>IF(ISNUMBER(FIND("&gt;&gt;",C31)),"","'Tablas Técnicas'!"&amp;ADDRESS(ROW($P$9)+MATCH(C31,$O$10:$O$639,0),COLUMN($P$9))&amp;":"&amp;ADDRESS(ROW($P$9)+MATCH(C31,$O$10:$O$639,0)+COUNTIF($O$10:$O$639,C31)-1,COLUMN($P$9)))</f>
        <v>'Tablas Técnicas'!$P$192:$P$197</v>
      </c>
      <c r="E31" s="6222" t="s">
        <v>3222</v>
      </c>
      <c r="F31" s="6222" t="s">
        <v>1504</v>
      </c>
      <c r="G31" s="6221" t="s">
        <v>9722</v>
      </c>
      <c r="H31" s="6221" t="s">
        <v>1885</v>
      </c>
      <c r="I31" s="6221" t="s">
        <v>7690</v>
      </c>
      <c r="J31" s="6221" t="s">
        <v>7690</v>
      </c>
      <c r="K31" s="6221" t="s">
        <v>1885</v>
      </c>
      <c r="L31" s="2881" t="b">
        <f>IFERROR(IF(VLOOKUP(H31,$Z$25:$AA$30,2,0),TRUE,IF(VLOOKUP(I31,$Z$25:$AA$30,2,0),TRUE,IF(VLOOKUP(J31,$Z$25:$AA$30,2,0),TRUE,FALSE))),FALSE)</f>
        <v>1</v>
      </c>
      <c r="N31" s="6122"/>
      <c r="O31" s="2901" t="s">
        <v>9684</v>
      </c>
      <c r="P31" s="2879" t="s">
        <v>9729</v>
      </c>
      <c r="Q31" s="2883">
        <v>2</v>
      </c>
      <c r="R31" s="2927">
        <v>4</v>
      </c>
      <c r="S31" s="2883">
        <v>5</v>
      </c>
      <c r="T31" s="2883">
        <v>1</v>
      </c>
      <c r="U31" s="2883">
        <v>2</v>
      </c>
      <c r="V31" s="2883">
        <v>4</v>
      </c>
      <c r="W31" s="2883">
        <v>1</v>
      </c>
      <c r="X31" s="2884" t="str">
        <f>O31&amp;P31</f>
        <v>Ataque PredeterminadoMedia (80)</v>
      </c>
      <c r="Z31" s="2872"/>
    </row>
    <row r="32" spans="1:27" ht="12" customHeight="1" x14ac:dyDescent="0.2">
      <c r="A32" s="6112"/>
      <c r="B32" s="6115"/>
      <c r="C32" s="6220" t="s">
        <v>3252</v>
      </c>
      <c r="D32" s="6221" t="str">
        <f>IF(ISNUMBER(FIND("&gt;&gt;",C32)),"","'Tablas Técnicas'!"&amp;ADDRESS(ROW($P$9)+MATCH(C32,$O$10:$O$639,0),COLUMN($P$9))&amp;":"&amp;ADDRESS(ROW($P$9)+MATCH(C32,$O$10:$O$639,0)+COUNTIF($O$10:$O$639,C32)-1,COLUMN($P$9)))</f>
        <v/>
      </c>
      <c r="E32" s="6222"/>
      <c r="F32" s="6222"/>
      <c r="G32" s="6221"/>
      <c r="H32" s="6221" t="s">
        <v>3154</v>
      </c>
      <c r="I32" s="6221" t="s">
        <v>7690</v>
      </c>
      <c r="J32" s="6221" t="s">
        <v>7690</v>
      </c>
      <c r="K32" s="6221" t="s">
        <v>3154</v>
      </c>
      <c r="L32" s="2881" t="b">
        <f>IFERROR(IF(VLOOKUP(H32,$Z$25:$AA$30,2,0),TRUE,IF(VLOOKUP(I32,$Z$25:$AA$30,2,0),TRUE,IF(VLOOKUP(J32,$Z$25:$AA$30,2,0),TRUE,FALSE))),FALSE)</f>
        <v>0</v>
      </c>
      <c r="N32" s="6122"/>
      <c r="O32" s="2901" t="s">
        <v>9684</v>
      </c>
      <c r="P32" s="2879" t="s">
        <v>9730</v>
      </c>
      <c r="Q32" s="2883">
        <v>4</v>
      </c>
      <c r="R32" s="2927">
        <v>6</v>
      </c>
      <c r="S32" s="2883">
        <v>5</v>
      </c>
      <c r="T32" s="2883">
        <v>2</v>
      </c>
      <c r="U32" s="2883">
        <v>4</v>
      </c>
      <c r="V32" s="2883">
        <v>7</v>
      </c>
      <c r="W32" s="2883">
        <v>1</v>
      </c>
      <c r="X32" s="2884" t="str">
        <f>O32&amp;P32</f>
        <v>Ataque PredeterminadoDifícil (120)</v>
      </c>
      <c r="Z32" s="2872"/>
    </row>
    <row r="33" spans="1:26" ht="12" customHeight="1" x14ac:dyDescent="0.2">
      <c r="A33" s="6112"/>
      <c r="B33" s="6115"/>
      <c r="C33" s="6220" t="s">
        <v>9731</v>
      </c>
      <c r="D33" s="6221" t="str">
        <f>IF(ISNUMBER(FIND("&gt;&gt;",C33)),"","'Tablas Técnicas'!"&amp;ADDRESS(ROW($P$9)+MATCH(C33,$O$10:$O$639,0),COLUMN($P$9))&amp;":"&amp;ADDRESS(ROW($P$9)+MATCH(C33,$O$10:$O$639,0)+COUNTIF($O$10:$O$639,C33)-1,COLUMN($P$9)))</f>
        <v>'Tablas Técnicas'!$P$200:$P$208</v>
      </c>
      <c r="E33" s="6222" t="s">
        <v>3219</v>
      </c>
      <c r="F33" s="6222" t="s">
        <v>1504</v>
      </c>
      <c r="G33" s="6221" t="s">
        <v>9732</v>
      </c>
      <c r="H33" s="6221" t="s">
        <v>1881</v>
      </c>
      <c r="I33" s="6221" t="s">
        <v>7690</v>
      </c>
      <c r="J33" s="6221" t="s">
        <v>7690</v>
      </c>
      <c r="K33" s="6221" t="s">
        <v>1881</v>
      </c>
      <c r="L33" s="2881" t="b">
        <f>IFERROR(IF(VLOOKUP(H33,$Z$25:$AA$30,2,0),TRUE,IF(VLOOKUP(I33,$Z$25:$AA$30,2,0),TRUE,IF(VLOOKUP(J33,$Z$25:$AA$30,2,0),TRUE,FALSE))),FALSE)</f>
        <v>0</v>
      </c>
      <c r="N33" s="6122"/>
      <c r="O33" s="2901" t="s">
        <v>9684</v>
      </c>
      <c r="P33" s="2879" t="s">
        <v>9733</v>
      </c>
      <c r="Q33" s="2883">
        <v>6</v>
      </c>
      <c r="R33" s="2927">
        <v>9</v>
      </c>
      <c r="S33" s="2883">
        <v>5</v>
      </c>
      <c r="T33" s="2883">
        <v>3</v>
      </c>
      <c r="U33" s="2883">
        <v>6</v>
      </c>
      <c r="V33" s="2883">
        <v>11</v>
      </c>
      <c r="W33" s="2883">
        <v>1</v>
      </c>
      <c r="X33" s="2884" t="str">
        <f>O33&amp;P33</f>
        <v>Ataque PredeterminadoMuy Difícil (140)</v>
      </c>
      <c r="Z33" s="2872"/>
    </row>
    <row r="34" spans="1:26" ht="12" customHeight="1" x14ac:dyDescent="0.2">
      <c r="A34" s="6112"/>
      <c r="B34" s="6115"/>
      <c r="C34" s="6220" t="s">
        <v>9734</v>
      </c>
      <c r="D34" s="6221" t="str">
        <f>IF(ISNUMBER(FIND("&gt;&gt;",C34)),"","'Tablas Técnicas'!"&amp;ADDRESS(ROW($P$9)+MATCH(C34,$O$10:$O$639,0),COLUMN($P$9))&amp;":"&amp;ADDRESS(ROW($P$9)+MATCH(C34,$O$10:$O$639,0)+COUNTIF($O$10:$O$639,C34)-1,COLUMN($P$9)))</f>
        <v>'Tablas Técnicas'!$P$210:$P$218</v>
      </c>
      <c r="E34" s="6222" t="s">
        <v>3219</v>
      </c>
      <c r="F34" s="6222" t="s">
        <v>1504</v>
      </c>
      <c r="G34" s="6221" t="s">
        <v>9732</v>
      </c>
      <c r="H34" s="6221" t="s">
        <v>1881</v>
      </c>
      <c r="I34" s="6221" t="s">
        <v>1878</v>
      </c>
      <c r="J34" s="6221" t="s">
        <v>1976</v>
      </c>
      <c r="K34" s="6221" t="s">
        <v>9697</v>
      </c>
      <c r="L34" s="2881" t="b">
        <f>IFERROR(IF(VLOOKUP(H34,$Z$25:$AA$30,2,0),TRUE,IF(VLOOKUP(I34,$Z$25:$AA$30,2,0),TRUE,IF(VLOOKUP(J34,$Z$25:$AA$30,2,0),TRUE,FALSE))),FALSE)</f>
        <v>0</v>
      </c>
      <c r="N34" s="6122"/>
      <c r="O34" s="2901" t="s">
        <v>9684</v>
      </c>
      <c r="P34" s="2879" t="s">
        <v>9735</v>
      </c>
      <c r="Q34" s="2883">
        <v>8</v>
      </c>
      <c r="R34" s="2927">
        <v>11</v>
      </c>
      <c r="S34" s="2883">
        <v>10</v>
      </c>
      <c r="T34" s="2883">
        <v>4</v>
      </c>
      <c r="U34" s="2883">
        <v>8</v>
      </c>
      <c r="V34" s="2883">
        <v>14</v>
      </c>
      <c r="W34" s="2883">
        <v>1</v>
      </c>
      <c r="X34" s="2884" t="str">
        <f>O34&amp;P34</f>
        <v>Ataque PredeterminadoAbsurdo (180)</v>
      </c>
      <c r="Z34" s="2872"/>
    </row>
    <row r="35" spans="1:26" ht="12" customHeight="1" x14ac:dyDescent="0.2">
      <c r="A35" s="6112"/>
      <c r="B35" s="6115"/>
      <c r="C35" s="6220" t="s">
        <v>9736</v>
      </c>
      <c r="D35" s="6221" t="str">
        <f>IF(ISNUMBER(FIND("&gt;&gt;",C35)),"","'Tablas Técnicas'!"&amp;ADDRESS(ROW($P$9)+MATCH(C35,$O$10:$O$639,0),COLUMN($P$9))&amp;":"&amp;ADDRESS(ROW($P$9)+MATCH(C35,$O$10:$O$639,0)+COUNTIF($O$10:$O$639,C35)-1,COLUMN($P$9)))</f>
        <v>'Tablas Técnicas'!$P$220:$P$228</v>
      </c>
      <c r="E35" s="6222" t="s">
        <v>3219</v>
      </c>
      <c r="F35" s="6222" t="s">
        <v>1840</v>
      </c>
      <c r="G35" s="6221" t="s">
        <v>9737</v>
      </c>
      <c r="H35" s="6221" t="s">
        <v>1975</v>
      </c>
      <c r="I35" s="6221" t="s">
        <v>7690</v>
      </c>
      <c r="J35" s="6221" t="s">
        <v>7690</v>
      </c>
      <c r="K35" s="6221" t="s">
        <v>1975</v>
      </c>
      <c r="L35" s="2881" t="b">
        <f>IFERROR(IF(VLOOKUP(H35,$Z$25:$AA$30,2,0),TRUE,IF(VLOOKUP(I35,$Z$25:$AA$30,2,0),TRUE,IF(VLOOKUP(J35,$Z$25:$AA$30,2,0),TRUE,FALSE))),FALSE)</f>
        <v>0</v>
      </c>
      <c r="N35" s="6122"/>
      <c r="O35" s="2901" t="s">
        <v>9684</v>
      </c>
      <c r="P35" s="2879" t="s">
        <v>9738</v>
      </c>
      <c r="Q35" s="2883">
        <v>12</v>
      </c>
      <c r="R35" s="2927">
        <v>15</v>
      </c>
      <c r="S35" s="2883">
        <v>15</v>
      </c>
      <c r="T35" s="2883">
        <v>6</v>
      </c>
      <c r="U35" s="2883">
        <v>12</v>
      </c>
      <c r="V35" s="2883">
        <v>21</v>
      </c>
      <c r="W35" s="2883">
        <v>1</v>
      </c>
      <c r="X35" s="2884" t="str">
        <f>O35&amp;P35</f>
        <v>Ataque PredeterminadoCasi Imposible (240)</v>
      </c>
      <c r="Z35" s="2872"/>
    </row>
    <row r="36" spans="1:26" ht="12" customHeight="1" x14ac:dyDescent="0.2">
      <c r="A36" s="6112"/>
      <c r="B36" s="6115"/>
      <c r="C36" s="6220" t="s">
        <v>9739</v>
      </c>
      <c r="D36" s="6221" t="str">
        <f>IF(ISNUMBER(FIND("&gt;&gt;",C36)),"","'Tablas Técnicas'!"&amp;ADDRESS(ROW($P$9)+MATCH(C36,$O$10:$O$639,0),COLUMN($P$9))&amp;":"&amp;ADDRESS(ROW($P$9)+MATCH(C36,$O$10:$O$639,0)+COUNTIF($O$10:$O$639,C36)-1,COLUMN($P$9)))</f>
        <v>'Tablas Técnicas'!$P$230:$P$238</v>
      </c>
      <c r="E36" s="6222" t="s">
        <v>3222</v>
      </c>
      <c r="F36" s="6222" t="s">
        <v>3710</v>
      </c>
      <c r="G36" s="6221" t="s">
        <v>9740</v>
      </c>
      <c r="H36" s="6221" t="s">
        <v>1878</v>
      </c>
      <c r="I36" s="6221" t="s">
        <v>7690</v>
      </c>
      <c r="J36" s="6221" t="s">
        <v>7690</v>
      </c>
      <c r="K36" s="6221" t="s">
        <v>1878</v>
      </c>
      <c r="L36" s="2881" t="b">
        <f>IFERROR(IF(VLOOKUP(H36,$Z$25:$AA$30,2,0),TRUE,IF(VLOOKUP(I36,$Z$25:$AA$30,2,0),TRUE,IF(VLOOKUP(J36,$Z$25:$AA$30,2,0),TRUE,FALSE))),FALSE)</f>
        <v>0</v>
      </c>
      <c r="N36" s="6122"/>
      <c r="O36" s="2901" t="s">
        <v>9684</v>
      </c>
      <c r="P36" s="2879" t="s">
        <v>9741</v>
      </c>
      <c r="Q36" s="2883">
        <v>16</v>
      </c>
      <c r="R36" s="2927">
        <v>20</v>
      </c>
      <c r="S36" s="2883">
        <v>25</v>
      </c>
      <c r="T36" s="2883">
        <v>8</v>
      </c>
      <c r="U36" s="2883">
        <v>16</v>
      </c>
      <c r="V36" s="2883">
        <v>28</v>
      </c>
      <c r="W36" s="2883">
        <v>2</v>
      </c>
      <c r="X36" s="2884" t="str">
        <f>O36&amp;P36</f>
        <v>Ataque PredeterminadoImposible (280)</v>
      </c>
      <c r="Z36" s="2872"/>
    </row>
    <row r="37" spans="1:26" ht="12" customHeight="1" x14ac:dyDescent="0.2">
      <c r="A37" s="6112"/>
      <c r="B37" s="6115"/>
      <c r="C37" s="6220" t="s">
        <v>3267</v>
      </c>
      <c r="D37" s="6221" t="str">
        <f>IF(ISNUMBER(FIND("&gt;&gt;",C37)),"","'Tablas Técnicas'!"&amp;ADDRESS(ROW($P$9)+MATCH(C37,$O$10:$O$639,0),COLUMN($P$9))&amp;":"&amp;ADDRESS(ROW($P$9)+MATCH(C37,$O$10:$O$639,0)+COUNTIF($O$10:$O$639,C37)-1,COLUMN($P$9)))</f>
        <v/>
      </c>
      <c r="E37" s="6222"/>
      <c r="F37" s="6222"/>
      <c r="G37" s="6221"/>
      <c r="H37" s="6221" t="s">
        <v>7690</v>
      </c>
      <c r="I37" s="6221" t="s">
        <v>7690</v>
      </c>
      <c r="J37" s="6221" t="s">
        <v>7690</v>
      </c>
      <c r="K37" s="6221" t="s">
        <v>7690</v>
      </c>
      <c r="L37" s="2881" t="b">
        <f>IFERROR(IF(VLOOKUP(H37,$Z$25:$AA$30,2,0),TRUE,IF(VLOOKUP(I37,$Z$25:$AA$30,2,0),TRUE,IF(VLOOKUP(J37,$Z$25:$AA$30,2,0),TRUE,FALSE))),FALSE)</f>
        <v>0</v>
      </c>
      <c r="N37" s="6122"/>
      <c r="O37" s="2901" t="s">
        <v>9684</v>
      </c>
      <c r="P37" s="2879" t="s">
        <v>9742</v>
      </c>
      <c r="Q37" s="2883">
        <v>20</v>
      </c>
      <c r="R37" s="2927">
        <v>24</v>
      </c>
      <c r="S37" s="2883">
        <v>35</v>
      </c>
      <c r="T37" s="2883">
        <v>10</v>
      </c>
      <c r="U37" s="2883">
        <v>20</v>
      </c>
      <c r="V37" s="2883">
        <v>35</v>
      </c>
      <c r="W37" s="2883">
        <v>2</v>
      </c>
      <c r="X37" s="2884" t="str">
        <f>O37&amp;P37</f>
        <v>Ataque PredeterminadoInhumano (320)</v>
      </c>
      <c r="Z37" s="2872"/>
    </row>
    <row r="38" spans="1:26" ht="12" customHeight="1" x14ac:dyDescent="0.2">
      <c r="A38" s="6112"/>
      <c r="B38" s="6115"/>
      <c r="C38" s="6220" t="s">
        <v>9743</v>
      </c>
      <c r="D38" s="6221" t="str">
        <f>IF(ISNUMBER(FIND("&gt;&gt;",C38)),"","'Tablas Técnicas'!"&amp;ADDRESS(ROW($P$9)+MATCH(C38,$O$10:$O$639,0),COLUMN($P$9))&amp;":"&amp;ADDRESS(ROW($P$9)+MATCH(C38,$O$10:$O$639,0)+COUNTIF($O$10:$O$639,C38)-1,COLUMN($P$9)))</f>
        <v>'Tablas Técnicas'!$P$241:$P$248</v>
      </c>
      <c r="E38" s="6222" t="s">
        <v>3222</v>
      </c>
      <c r="F38" s="6222" t="s">
        <v>3710</v>
      </c>
      <c r="G38" s="6221" t="s">
        <v>9737</v>
      </c>
      <c r="H38" s="6221" t="s">
        <v>1878</v>
      </c>
      <c r="I38" s="6221" t="s">
        <v>7690</v>
      </c>
      <c r="J38" s="6221" t="s">
        <v>7690</v>
      </c>
      <c r="K38" s="6221" t="s">
        <v>1878</v>
      </c>
      <c r="L38" s="2881" t="b">
        <f>IFERROR(IF(VLOOKUP(H38,$Z$25:$AA$30,2,0),TRUE,IF(VLOOKUP(I38,$Z$25:$AA$30,2,0),TRUE,IF(VLOOKUP(J38,$Z$25:$AA$30,2,0),TRUE,FALSE))),FALSE)</f>
        <v>0</v>
      </c>
      <c r="N38" s="6122"/>
      <c r="O38" s="2901" t="s">
        <v>9684</v>
      </c>
      <c r="P38" s="2879" t="s">
        <v>9744</v>
      </c>
      <c r="Q38" s="2883">
        <v>26</v>
      </c>
      <c r="R38" s="2927">
        <v>32</v>
      </c>
      <c r="S38" s="2883">
        <v>45</v>
      </c>
      <c r="T38" s="2883">
        <v>12</v>
      </c>
      <c r="U38" s="2883">
        <v>24</v>
      </c>
      <c r="V38" s="2883">
        <v>42</v>
      </c>
      <c r="W38" s="2883">
        <v>3</v>
      </c>
      <c r="X38" s="2884" t="str">
        <f>O38&amp;P38</f>
        <v>Ataque PredeterminadoZen (440)</v>
      </c>
      <c r="Z38" s="2872"/>
    </row>
    <row r="39" spans="1:26" ht="12" customHeight="1" x14ac:dyDescent="0.2">
      <c r="A39" s="6112"/>
      <c r="B39" s="6115"/>
      <c r="C39" s="6220" t="s">
        <v>3711</v>
      </c>
      <c r="D39" s="6221" t="str">
        <f>IF(ISNUMBER(FIND("&gt;&gt;",C39)),"","'Tablas Técnicas'!"&amp;ADDRESS(ROW($P$9)+MATCH(C39,$O$10:$O$639,0),COLUMN($P$9))&amp;":"&amp;ADDRESS(ROW($P$9)+MATCH(C39,$O$10:$O$639,0)+COUNTIF($O$10:$O$639,C39)-1,COLUMN($P$9)))</f>
        <v>'Tablas Técnicas'!$P$250:$P$250</v>
      </c>
      <c r="E39" s="6222" t="s">
        <v>3219</v>
      </c>
      <c r="F39" s="6222" t="s">
        <v>3710</v>
      </c>
      <c r="G39" s="6221" t="s">
        <v>9745</v>
      </c>
      <c r="H39" s="6221" t="s">
        <v>1878</v>
      </c>
      <c r="I39" s="6221" t="s">
        <v>1975</v>
      </c>
      <c r="J39" s="6221" t="s">
        <v>1881</v>
      </c>
      <c r="K39" s="6221" t="s">
        <v>9746</v>
      </c>
      <c r="L39" s="2881" t="b">
        <f>IFERROR(IF(VLOOKUP(H39,$Z$25:$AA$30,2,0),TRUE,IF(VLOOKUP(I39,$Z$25:$AA$30,2,0),TRUE,IF(VLOOKUP(J39,$Z$25:$AA$30,2,0),TRUE,FALSE))),FALSE)</f>
        <v>0</v>
      </c>
      <c r="N39" s="6122"/>
      <c r="O39" s="2901" t="s">
        <v>9747</v>
      </c>
      <c r="P39" s="2879"/>
      <c r="Q39" s="2883"/>
      <c r="R39" s="2927"/>
      <c r="S39" s="2883"/>
      <c r="T39" s="2883"/>
      <c r="U39" s="2883"/>
      <c r="V39" s="2883"/>
      <c r="W39" s="2883"/>
      <c r="X39" s="2884" t="str">
        <f>O39&amp;P39</f>
        <v>&gt; HABILIDAD DE CONTRAATAQUE</v>
      </c>
      <c r="Z39" s="2872"/>
    </row>
    <row r="40" spans="1:26" ht="12" customHeight="1" x14ac:dyDescent="0.2">
      <c r="A40" s="6112"/>
      <c r="B40" s="6115"/>
      <c r="C40" s="6220" t="s">
        <v>3277</v>
      </c>
      <c r="D40" s="6221" t="str">
        <f>IF(ISNUMBER(FIND("&gt;&gt;",C40)),"","'Tablas Técnicas'!"&amp;ADDRESS(ROW($P$9)+MATCH(C40,$O$10:$O$639,0),COLUMN($P$9))&amp;":"&amp;ADDRESS(ROW($P$9)+MATCH(C40,$O$10:$O$639,0)+COUNTIF($O$10:$O$639,C40)-1,COLUMN($P$9)))</f>
        <v>'Tablas Técnicas'!$P$252:$P$253</v>
      </c>
      <c r="E40" s="6222" t="s">
        <v>3222</v>
      </c>
      <c r="F40" s="6222" t="s">
        <v>3710</v>
      </c>
      <c r="G40" s="6221" t="s">
        <v>9748</v>
      </c>
      <c r="H40" s="6221" t="s">
        <v>1878</v>
      </c>
      <c r="I40" s="6221" t="s">
        <v>1885</v>
      </c>
      <c r="J40" s="6221" t="s">
        <v>1975</v>
      </c>
      <c r="K40" s="6221" t="s">
        <v>9749</v>
      </c>
      <c r="L40" s="2881" t="b">
        <f>IFERROR(IF(VLOOKUP(H40,$Z$25:$AA$30,2,0),TRUE,IF(VLOOKUP(I40,$Z$25:$AA$30,2,0),TRUE,IF(VLOOKUP(J40,$Z$25:$AA$30,2,0),TRUE,FALSE))),FALSE)</f>
        <v>1</v>
      </c>
      <c r="N40" s="6122"/>
      <c r="O40" s="2901" t="s">
        <v>9750</v>
      </c>
      <c r="P40" s="2879" t="s">
        <v>8285</v>
      </c>
      <c r="Q40" s="2883">
        <v>1</v>
      </c>
      <c r="R40" s="2927">
        <v>2</v>
      </c>
      <c r="S40" s="2883">
        <v>5</v>
      </c>
      <c r="T40" s="2883">
        <v>1</v>
      </c>
      <c r="U40" s="2883">
        <v>2</v>
      </c>
      <c r="V40" s="2883">
        <v>4</v>
      </c>
      <c r="W40" s="2883">
        <v>1</v>
      </c>
      <c r="X40" s="2884" t="str">
        <f>O40&amp;P40</f>
        <v>Habilidad De Contraataque+10</v>
      </c>
      <c r="Z40" s="2872"/>
    </row>
    <row r="41" spans="1:26" ht="12" customHeight="1" x14ac:dyDescent="0.2">
      <c r="A41" s="6112"/>
      <c r="B41" s="6115"/>
      <c r="C41" s="6220" t="s">
        <v>3281</v>
      </c>
      <c r="D41" s="6221" t="str">
        <f>IF(ISNUMBER(FIND("&gt;&gt;",C41)),"","'Tablas Técnicas'!"&amp;ADDRESS(ROW($P$9)+MATCH(C41,$O$10:$O$639,0),COLUMN($P$9))&amp;":"&amp;ADDRESS(ROW($P$9)+MATCH(C41,$O$10:$O$639,0)+COUNTIF($O$10:$O$639,C41)-1,COLUMN($P$9)))</f>
        <v/>
      </c>
      <c r="E41" s="6222"/>
      <c r="F41" s="6222"/>
      <c r="G41" s="6221"/>
      <c r="H41" s="6221" t="s">
        <v>7690</v>
      </c>
      <c r="I41" s="6221" t="s">
        <v>7690</v>
      </c>
      <c r="J41" s="6221" t="s">
        <v>7690</v>
      </c>
      <c r="K41" s="6221" t="s">
        <v>7690</v>
      </c>
      <c r="L41" s="2881" t="b">
        <f>IFERROR(IF(VLOOKUP(H41,$Z$25:$AA$30,2,0),TRUE,IF(VLOOKUP(I41,$Z$25:$AA$30,2,0),TRUE,IF(VLOOKUP(J41,$Z$25:$AA$30,2,0),TRUE,FALSE))),FALSE)</f>
        <v>0</v>
      </c>
      <c r="N41" s="6122"/>
      <c r="O41" s="2901" t="s">
        <v>9750</v>
      </c>
      <c r="P41" s="2879" t="s">
        <v>8439</v>
      </c>
      <c r="Q41" s="2883">
        <v>2</v>
      </c>
      <c r="R41" s="2927">
        <v>4</v>
      </c>
      <c r="S41" s="2883">
        <v>5</v>
      </c>
      <c r="T41" s="2883">
        <v>2</v>
      </c>
      <c r="U41" s="2883">
        <v>4</v>
      </c>
      <c r="V41" s="2883">
        <v>7</v>
      </c>
      <c r="W41" s="2883">
        <v>1</v>
      </c>
      <c r="X41" s="2884" t="str">
        <f>O41&amp;P41</f>
        <v>Habilidad De Contraataque+25</v>
      </c>
      <c r="Z41" s="2872"/>
    </row>
    <row r="42" spans="1:26" ht="12" customHeight="1" x14ac:dyDescent="0.2">
      <c r="A42" s="6112"/>
      <c r="B42" s="6115"/>
      <c r="C42" s="6220" t="s">
        <v>9751</v>
      </c>
      <c r="D42" s="6221" t="str">
        <f>IF(ISNUMBER(FIND("&gt;&gt;",C42)),"","'Tablas Técnicas'!"&amp;ADDRESS(ROW($P$9)+MATCH(C42,$O$10:$O$639,0),COLUMN($P$9))&amp;":"&amp;ADDRESS(ROW($P$9)+MATCH(C42,$O$10:$O$639,0)+COUNTIF($O$10:$O$639,C42)-1,COLUMN($P$9)))</f>
        <v>'Tablas Técnicas'!$P$256:$P$268</v>
      </c>
      <c r="E42" s="6222" t="s">
        <v>3219</v>
      </c>
      <c r="F42" s="6222" t="s">
        <v>1504</v>
      </c>
      <c r="G42" s="6221" t="s">
        <v>9752</v>
      </c>
      <c r="H42" s="6221" t="s">
        <v>1881</v>
      </c>
      <c r="I42" s="6221" t="s">
        <v>1878</v>
      </c>
      <c r="J42" s="6221" t="s">
        <v>1885</v>
      </c>
      <c r="K42" s="6221" t="s">
        <v>9753</v>
      </c>
      <c r="L42" s="2881" t="b">
        <f>IFERROR(IF(VLOOKUP(H42,$Z$25:$AA$30,2,0),TRUE,IF(VLOOKUP(I42,$Z$25:$AA$30,2,0),TRUE,IF(VLOOKUP(J42,$Z$25:$AA$30,2,0),TRUE,FALSE))),FALSE)</f>
        <v>1</v>
      </c>
      <c r="N42" s="6122"/>
      <c r="O42" s="2901" t="s">
        <v>9750</v>
      </c>
      <c r="P42" s="2879" t="s">
        <v>8287</v>
      </c>
      <c r="Q42" s="2883">
        <v>3</v>
      </c>
      <c r="R42" s="2927">
        <v>5</v>
      </c>
      <c r="S42" s="2883">
        <v>10</v>
      </c>
      <c r="T42" s="2883">
        <v>3</v>
      </c>
      <c r="U42" s="2883">
        <v>6</v>
      </c>
      <c r="V42" s="2883">
        <v>11</v>
      </c>
      <c r="W42" s="2883">
        <v>1</v>
      </c>
      <c r="X42" s="2884" t="str">
        <f>O42&amp;P42</f>
        <v>Habilidad De Contraataque+40</v>
      </c>
      <c r="Z42" s="2872"/>
    </row>
    <row r="43" spans="1:26" ht="12" customHeight="1" x14ac:dyDescent="0.2">
      <c r="A43" s="6112"/>
      <c r="B43" s="6115"/>
      <c r="C43" s="6220" t="s">
        <v>9754</v>
      </c>
      <c r="D43" s="6221" t="str">
        <f>IF(ISNUMBER(FIND("&gt;&gt;",C43)),"","'Tablas Técnicas'!"&amp;ADDRESS(ROW($P$9)+MATCH(C43,$O$10:$O$639,0),COLUMN($P$9))&amp;":"&amp;ADDRESS(ROW($P$9)+MATCH(C43,$O$10:$O$639,0)+COUNTIF($O$10:$O$639,C43)-1,COLUMN($P$9)))</f>
        <v>'Tablas Técnicas'!$P$270:$P$277</v>
      </c>
      <c r="E43" s="6222" t="s">
        <v>3222</v>
      </c>
      <c r="F43" s="6222" t="s">
        <v>1504</v>
      </c>
      <c r="G43" s="6221" t="s">
        <v>9752</v>
      </c>
      <c r="H43" s="6221" t="s">
        <v>1881</v>
      </c>
      <c r="I43" s="6221" t="s">
        <v>1878</v>
      </c>
      <c r="J43" s="6221" t="s">
        <v>1885</v>
      </c>
      <c r="K43" s="6221" t="s">
        <v>9753</v>
      </c>
      <c r="L43" s="2881" t="b">
        <f>IFERROR(IF(VLOOKUP(H43,$Z$25:$AA$30,2,0),TRUE,IF(VLOOKUP(I43,$Z$25:$AA$30,2,0),TRUE,IF(VLOOKUP(J43,$Z$25:$AA$30,2,0),TRUE,FALSE))),FALSE)</f>
        <v>1</v>
      </c>
      <c r="N43" s="6122"/>
      <c r="O43" s="2901" t="s">
        <v>9750</v>
      </c>
      <c r="P43" s="2879" t="s">
        <v>8288</v>
      </c>
      <c r="Q43" s="2883">
        <v>4</v>
      </c>
      <c r="R43" s="2927">
        <v>6</v>
      </c>
      <c r="S43" s="2883">
        <v>10</v>
      </c>
      <c r="T43" s="2883">
        <v>4</v>
      </c>
      <c r="U43" s="2883">
        <v>8</v>
      </c>
      <c r="V43" s="2883">
        <v>14</v>
      </c>
      <c r="W43" s="2883">
        <v>1</v>
      </c>
      <c r="X43" s="2884" t="str">
        <f>O43&amp;P43</f>
        <v>Habilidad De Contraataque+50</v>
      </c>
      <c r="Z43" s="2872"/>
    </row>
    <row r="44" spans="1:26" ht="12" customHeight="1" x14ac:dyDescent="0.2">
      <c r="A44" s="6112"/>
      <c r="B44" s="6115"/>
      <c r="C44" s="6220" t="s">
        <v>9755</v>
      </c>
      <c r="D44" s="6221" t="str">
        <f>IF(ISNUMBER(FIND("&gt;&gt;",C44)),"","'Tablas Técnicas'!"&amp;ADDRESS(ROW($P$9)+MATCH(C44,$O$10:$O$639,0),COLUMN($P$9))&amp;":"&amp;ADDRESS(ROW($P$9)+MATCH(C44,$O$10:$O$639,0)+COUNTIF($O$10:$O$639,C44)-1,COLUMN($P$9)))</f>
        <v>'Tablas Técnicas'!$P$279:$P$288</v>
      </c>
      <c r="E44" s="6222" t="s">
        <v>3219</v>
      </c>
      <c r="F44" s="6222" t="s">
        <v>1504</v>
      </c>
      <c r="G44" s="6221" t="s">
        <v>9756</v>
      </c>
      <c r="H44" s="6221" t="s">
        <v>1885</v>
      </c>
      <c r="I44" s="6221" t="s">
        <v>1975</v>
      </c>
      <c r="J44" s="6221" t="s">
        <v>1976</v>
      </c>
      <c r="K44" s="6221" t="s">
        <v>9757</v>
      </c>
      <c r="L44" s="2881" t="b">
        <f>IFERROR(IF(VLOOKUP(H44,$Z$25:$AA$30,2,0),TRUE,IF(VLOOKUP(I44,$Z$25:$AA$30,2,0),TRUE,IF(VLOOKUP(J44,$Z$25:$AA$30,2,0),TRUE,FALSE))),FALSE)</f>
        <v>1</v>
      </c>
      <c r="N44" s="6122"/>
      <c r="O44" s="2901" t="s">
        <v>9750</v>
      </c>
      <c r="P44" s="2879" t="s">
        <v>9694</v>
      </c>
      <c r="Q44" s="2883">
        <v>6</v>
      </c>
      <c r="R44" s="2927">
        <v>9</v>
      </c>
      <c r="S44" s="2883">
        <v>15</v>
      </c>
      <c r="T44" s="2883">
        <v>6</v>
      </c>
      <c r="U44" s="2883">
        <v>12</v>
      </c>
      <c r="V44" s="2883">
        <v>21</v>
      </c>
      <c r="W44" s="2883">
        <v>1</v>
      </c>
      <c r="X44" s="2884" t="str">
        <f>O44&amp;P44</f>
        <v>Habilidad De Contraataque+75</v>
      </c>
      <c r="Z44" s="2872"/>
    </row>
    <row r="45" spans="1:26" ht="12" customHeight="1" x14ac:dyDescent="0.2">
      <c r="A45" s="6112"/>
      <c r="B45" s="6115"/>
      <c r="C45" s="6220" t="s">
        <v>9758</v>
      </c>
      <c r="D45" s="6221" t="str">
        <f>IF(ISNUMBER(FIND("&gt;&gt;",C45)),"","'Tablas Técnicas'!"&amp;ADDRESS(ROW($P$9)+MATCH(C45,$O$10:$O$639,0),COLUMN($P$9))&amp;":"&amp;ADDRESS(ROW($P$9)+MATCH(C45,$O$10:$O$639,0)+COUNTIF($O$10:$O$639,C45)-1,COLUMN($P$9)))</f>
        <v>'Tablas Técnicas'!$P$290:$P$296</v>
      </c>
      <c r="E45" s="6222" t="s">
        <v>3222</v>
      </c>
      <c r="F45" s="6222" t="s">
        <v>1504</v>
      </c>
      <c r="G45" s="6221" t="s">
        <v>9756</v>
      </c>
      <c r="H45" s="6221" t="s">
        <v>1885</v>
      </c>
      <c r="I45" s="6221" t="s">
        <v>1975</v>
      </c>
      <c r="J45" s="6221" t="s">
        <v>1976</v>
      </c>
      <c r="K45" s="6221" t="s">
        <v>9757</v>
      </c>
      <c r="L45" s="2881" t="b">
        <f>IFERROR(IF(VLOOKUP(H45,$Z$25:$AA$30,2,0),TRUE,IF(VLOOKUP(I45,$Z$25:$AA$30,2,0),TRUE,IF(VLOOKUP(J45,$Z$25:$AA$30,2,0),TRUE,FALSE))),FALSE)</f>
        <v>1</v>
      </c>
      <c r="N45" s="6122"/>
      <c r="O45" s="2901" t="s">
        <v>9750</v>
      </c>
      <c r="P45" s="2879" t="s">
        <v>9698</v>
      </c>
      <c r="Q45" s="2883">
        <v>9</v>
      </c>
      <c r="R45" s="2927">
        <v>12</v>
      </c>
      <c r="S45" s="2883">
        <v>20</v>
      </c>
      <c r="T45" s="2883">
        <v>8</v>
      </c>
      <c r="U45" s="2883">
        <v>16</v>
      </c>
      <c r="V45" s="2883">
        <v>28</v>
      </c>
      <c r="W45" s="2883">
        <v>1</v>
      </c>
      <c r="X45" s="2884" t="str">
        <f>O45&amp;P45</f>
        <v>Habilidad De Contraataque+90</v>
      </c>
      <c r="Z45" s="2872"/>
    </row>
    <row r="46" spans="1:26" ht="12" customHeight="1" x14ac:dyDescent="0.2">
      <c r="A46" s="6112"/>
      <c r="B46" s="6115"/>
      <c r="C46" s="6220" t="s">
        <v>9759</v>
      </c>
      <c r="D46" s="6221" t="str">
        <f>IF(ISNUMBER(FIND("&gt;&gt;",C46)),"","'Tablas Técnicas'!"&amp;ADDRESS(ROW($P$9)+MATCH(C46,$O$10:$O$639,0),COLUMN($P$9))&amp;":"&amp;ADDRESS(ROW($P$9)+MATCH(C46,$O$10:$O$639,0)+COUNTIF($O$10:$O$639,C46)-1,COLUMN($P$9)))</f>
        <v>'Tablas Técnicas'!$P$298:$P$305</v>
      </c>
      <c r="E46" s="6222" t="s">
        <v>3219</v>
      </c>
      <c r="F46" s="6222" t="s">
        <v>1840</v>
      </c>
      <c r="G46" s="6221" t="s">
        <v>9760</v>
      </c>
      <c r="H46" s="6221" t="s">
        <v>1975</v>
      </c>
      <c r="I46" s="6221" t="s">
        <v>1980</v>
      </c>
      <c r="J46" s="6221" t="s">
        <v>1881</v>
      </c>
      <c r="K46" s="6221" t="s">
        <v>9761</v>
      </c>
      <c r="L46" s="2881" t="b">
        <f>IFERROR(IF(VLOOKUP(H46,$Z$25:$AA$30,2,0),TRUE,IF(VLOOKUP(I46,$Z$25:$AA$30,2,0),TRUE,IF(VLOOKUP(J46,$Z$25:$AA$30,2,0),TRUE,FALSE))),FALSE)</f>
        <v>0</v>
      </c>
      <c r="N46" s="6122"/>
      <c r="O46" s="2901" t="s">
        <v>9750</v>
      </c>
      <c r="P46" s="2879" t="s">
        <v>9701</v>
      </c>
      <c r="Q46" s="2883">
        <v>12</v>
      </c>
      <c r="R46" s="2927">
        <v>15</v>
      </c>
      <c r="S46" s="2883">
        <v>25</v>
      </c>
      <c r="T46" s="2883">
        <v>10</v>
      </c>
      <c r="U46" s="2883">
        <v>20</v>
      </c>
      <c r="V46" s="2883">
        <v>35</v>
      </c>
      <c r="W46" s="2883">
        <v>1</v>
      </c>
      <c r="X46" s="2884" t="str">
        <f>O46&amp;P46</f>
        <v>Habilidad De Contraataque+100</v>
      </c>
      <c r="Z46" s="2872"/>
    </row>
    <row r="47" spans="1:26" ht="12" customHeight="1" x14ac:dyDescent="0.2">
      <c r="A47" s="6112"/>
      <c r="B47" s="6115"/>
      <c r="C47" s="6220" t="s">
        <v>9762</v>
      </c>
      <c r="D47" s="6221" t="str">
        <f>IF(ISNUMBER(FIND("&gt;&gt;",C47)),"","'Tablas Técnicas'!"&amp;ADDRESS(ROW($P$9)+MATCH(C47,$O$10:$O$639,0),COLUMN($P$9))&amp;":"&amp;ADDRESS(ROW($P$9)+MATCH(C47,$O$10:$O$639,0)+COUNTIF($O$10:$O$639,C47)-1,COLUMN($P$9)))</f>
        <v>'Tablas Técnicas'!$P$307:$P$316</v>
      </c>
      <c r="E47" s="6222" t="s">
        <v>3219</v>
      </c>
      <c r="F47" s="6222" t="s">
        <v>3710</v>
      </c>
      <c r="G47" s="6221" t="s">
        <v>9763</v>
      </c>
      <c r="H47" s="6221" t="s">
        <v>1878</v>
      </c>
      <c r="I47" s="6221" t="s">
        <v>1975</v>
      </c>
      <c r="J47" s="6221" t="s">
        <v>1976</v>
      </c>
      <c r="K47" s="6221" t="s">
        <v>9716</v>
      </c>
      <c r="L47" s="2881" t="b">
        <f>IFERROR(IF(VLOOKUP(H47,$Z$25:$AA$30,2,0),TRUE,IF(VLOOKUP(I47,$Z$25:$AA$30,2,0),TRUE,IF(VLOOKUP(J47,$Z$25:$AA$30,2,0),TRUE,FALSE))),FALSE)</f>
        <v>0</v>
      </c>
      <c r="N47" s="6122"/>
      <c r="O47" s="2901" t="s">
        <v>9750</v>
      </c>
      <c r="P47" s="2879" t="s">
        <v>9702</v>
      </c>
      <c r="Q47" s="2883">
        <v>14</v>
      </c>
      <c r="R47" s="2927">
        <v>18</v>
      </c>
      <c r="S47" s="2883">
        <v>30</v>
      </c>
      <c r="T47" s="2883">
        <v>12</v>
      </c>
      <c r="U47" s="2883">
        <v>24</v>
      </c>
      <c r="V47" s="2883">
        <v>42</v>
      </c>
      <c r="W47" s="2883">
        <v>2</v>
      </c>
      <c r="X47" s="2884" t="str">
        <f>O47&amp;P47</f>
        <v>Habilidad De Contraataque+125</v>
      </c>
      <c r="Z47" s="2872"/>
    </row>
    <row r="48" spans="1:26" ht="12" customHeight="1" x14ac:dyDescent="0.2">
      <c r="A48" s="6112"/>
      <c r="B48" s="6115"/>
      <c r="C48" s="6220" t="s">
        <v>3302</v>
      </c>
      <c r="D48" s="6221" t="str">
        <f>IF(ISNUMBER(FIND("&gt;&gt;",C48)),"","'Tablas Técnicas'!"&amp;ADDRESS(ROW($P$9)+MATCH(C48,$O$10:$O$639,0),COLUMN($P$9))&amp;":"&amp;ADDRESS(ROW($P$9)+MATCH(C48,$O$10:$O$639,0)+COUNTIF($O$10:$O$639,C48)-1,COLUMN($P$9)))</f>
        <v/>
      </c>
      <c r="E48" s="6222"/>
      <c r="F48" s="6222"/>
      <c r="G48" s="6221"/>
      <c r="H48" s="6221" t="s">
        <v>7690</v>
      </c>
      <c r="I48" s="6221" t="s">
        <v>7690</v>
      </c>
      <c r="J48" s="6221" t="s">
        <v>7690</v>
      </c>
      <c r="K48" s="6221" t="s">
        <v>7690</v>
      </c>
      <c r="L48" s="2881" t="b">
        <f>IFERROR(IF(VLOOKUP(H48,$Z$25:$AA$30,2,0),TRUE,IF(VLOOKUP(I48,$Z$25:$AA$30,2,0),TRUE,IF(VLOOKUP(J48,$Z$25:$AA$30,2,0),TRUE,FALSE))),FALSE)</f>
        <v>0</v>
      </c>
      <c r="N48" s="6122"/>
      <c r="O48" s="2901" t="s">
        <v>9750</v>
      </c>
      <c r="P48" s="2879" t="s">
        <v>9704</v>
      </c>
      <c r="Q48" s="2883">
        <v>18</v>
      </c>
      <c r="R48" s="2927">
        <v>22</v>
      </c>
      <c r="S48" s="2883">
        <v>35</v>
      </c>
      <c r="T48" s="2883">
        <v>14</v>
      </c>
      <c r="U48" s="2883">
        <v>28</v>
      </c>
      <c r="V48" s="2883">
        <v>49</v>
      </c>
      <c r="W48" s="2883">
        <v>2</v>
      </c>
      <c r="X48" s="2884" t="str">
        <f>O48&amp;P48</f>
        <v>Habilidad De Contraataque+150</v>
      </c>
      <c r="Z48" s="2872"/>
    </row>
    <row r="49" spans="1:26" ht="12" customHeight="1" x14ac:dyDescent="0.2">
      <c r="A49" s="6112"/>
      <c r="B49" s="6115"/>
      <c r="C49" s="6220" t="s">
        <v>9764</v>
      </c>
      <c r="D49" s="6221" t="str">
        <f>IF(ISNUMBER(FIND("&gt;&gt;",C49)),"","'Tablas Técnicas'!"&amp;ADDRESS(ROW($P$9)+MATCH(C49,$O$10:$O$639,0),COLUMN($P$9))&amp;":"&amp;ADDRESS(ROW($P$9)+MATCH(C49,$O$10:$O$639,0)+COUNTIF($O$10:$O$639,C49)-1,COLUMN($P$9)))</f>
        <v>'Tablas Técnicas'!$P$319:$P$326</v>
      </c>
      <c r="E49" s="6222" t="s">
        <v>3222</v>
      </c>
      <c r="F49" s="6222" t="s">
        <v>1504</v>
      </c>
      <c r="G49" s="6221" t="s">
        <v>9765</v>
      </c>
      <c r="H49" s="6221" t="s">
        <v>1885</v>
      </c>
      <c r="I49" s="6221" t="s">
        <v>7690</v>
      </c>
      <c r="J49" s="6221" t="s">
        <v>7690</v>
      </c>
      <c r="K49" s="6221" t="s">
        <v>1885</v>
      </c>
      <c r="L49" s="2881" t="b">
        <f>IFERROR(IF(VLOOKUP(H49,$Z$25:$AA$30,2,0),TRUE,IF(VLOOKUP(I49,$Z$25:$AA$30,2,0),TRUE,IF(VLOOKUP(J49,$Z$25:$AA$30,2,0),TRUE,FALSE))),FALSE)</f>
        <v>1</v>
      </c>
      <c r="N49" s="6122"/>
      <c r="O49" s="2901" t="s">
        <v>9750</v>
      </c>
      <c r="P49" s="2879" t="s">
        <v>9707</v>
      </c>
      <c r="Q49" s="2883">
        <v>22</v>
      </c>
      <c r="R49" s="2927">
        <v>26</v>
      </c>
      <c r="S49" s="2883">
        <v>40</v>
      </c>
      <c r="T49" s="2883">
        <v>16</v>
      </c>
      <c r="U49" s="2883">
        <v>32</v>
      </c>
      <c r="V49" s="2883">
        <v>56</v>
      </c>
      <c r="W49" s="2883">
        <v>3</v>
      </c>
      <c r="X49" s="2884" t="str">
        <f>O49&amp;P49</f>
        <v>Habilidad De Contraataque+175</v>
      </c>
      <c r="Z49" s="2872"/>
    </row>
    <row r="50" spans="1:26" ht="12" customHeight="1" x14ac:dyDescent="0.2">
      <c r="A50" s="6112"/>
      <c r="B50" s="6115"/>
      <c r="C50" s="6220" t="s">
        <v>9766</v>
      </c>
      <c r="D50" s="6221" t="str">
        <f>IF(ISNUMBER(FIND("&gt;&gt;",C50)),"","'Tablas Técnicas'!"&amp;ADDRESS(ROW($P$9)+MATCH(C50,$O$10:$O$639,0),COLUMN($P$9))&amp;":"&amp;ADDRESS(ROW($P$9)+MATCH(C50,$O$10:$O$639,0)+COUNTIF($O$10:$O$639,C50)-1,COLUMN($P$9)))</f>
        <v>'Tablas Técnicas'!$P$328:$P$334</v>
      </c>
      <c r="E50" s="6222" t="s">
        <v>3222</v>
      </c>
      <c r="F50" s="6222" t="s">
        <v>1840</v>
      </c>
      <c r="G50" s="6221" t="s">
        <v>9767</v>
      </c>
      <c r="H50" s="6221" t="s">
        <v>1885</v>
      </c>
      <c r="I50" s="6221" t="s">
        <v>1975</v>
      </c>
      <c r="J50" s="6221" t="s">
        <v>1980</v>
      </c>
      <c r="K50" s="6221" t="s">
        <v>9768</v>
      </c>
      <c r="L50" s="2881" t="b">
        <f>IFERROR(IF(VLOOKUP(H50,$Z$25:$AA$30,2,0),TRUE,IF(VLOOKUP(I50,$Z$25:$AA$30,2,0),TRUE,IF(VLOOKUP(J50,$Z$25:$AA$30,2,0),TRUE,FALSE))),FALSE)</f>
        <v>1</v>
      </c>
      <c r="N50" s="6122"/>
      <c r="O50" s="2901" t="s">
        <v>9750</v>
      </c>
      <c r="P50" s="2879" t="s">
        <v>9709</v>
      </c>
      <c r="Q50" s="2883">
        <v>26</v>
      </c>
      <c r="R50" s="2927">
        <v>32</v>
      </c>
      <c r="S50" s="2883">
        <v>45</v>
      </c>
      <c r="T50" s="2883">
        <v>18</v>
      </c>
      <c r="U50" s="2883">
        <v>36</v>
      </c>
      <c r="V50" s="2883">
        <v>63</v>
      </c>
      <c r="W50" s="2883">
        <v>3</v>
      </c>
      <c r="X50" s="2884" t="str">
        <f>O50&amp;P50</f>
        <v>Habilidad De Contraataque+200</v>
      </c>
      <c r="Z50" s="2872"/>
    </row>
    <row r="51" spans="1:26" ht="12" customHeight="1" x14ac:dyDescent="0.2">
      <c r="A51" s="6112"/>
      <c r="B51" s="6115"/>
      <c r="C51" s="6220" t="s">
        <v>9769</v>
      </c>
      <c r="D51" s="6221" t="str">
        <f>IF(ISNUMBER(FIND("&gt;&gt;",C51)),"","'Tablas Técnicas'!"&amp;ADDRESS(ROW($P$9)+MATCH(C51,$O$10:$O$639,0),COLUMN($P$9))&amp;":"&amp;ADDRESS(ROW($P$9)+MATCH(C51,$O$10:$O$639,0)+COUNTIF($O$10:$O$639,C51)-1,COLUMN($P$9)))</f>
        <v>'Tablas Técnicas'!$P$336:$P$344</v>
      </c>
      <c r="E51" s="6222" t="s">
        <v>3219</v>
      </c>
      <c r="F51" s="6222" t="s">
        <v>1504</v>
      </c>
      <c r="G51" s="6221" t="s">
        <v>9770</v>
      </c>
      <c r="H51" s="6221" t="s">
        <v>1885</v>
      </c>
      <c r="I51" s="6221" t="s">
        <v>1976</v>
      </c>
      <c r="J51" s="6221" t="s">
        <v>7690</v>
      </c>
      <c r="K51" s="6221" t="s">
        <v>10268</v>
      </c>
      <c r="L51" s="2881" t="b">
        <f>IFERROR(IF(VLOOKUP(H51,$Z$25:$AA$30,2,0),TRUE,IF(VLOOKUP(I51,$Z$25:$AA$30,2,0),TRUE,IF(VLOOKUP(J51,$Z$25:$AA$30,2,0),TRUE,FALSE))),FALSE)</f>
        <v>1</v>
      </c>
      <c r="N51" s="6122"/>
      <c r="O51" s="2901" t="s">
        <v>9771</v>
      </c>
      <c r="P51" s="2879"/>
      <c r="Q51" s="2883"/>
      <c r="R51" s="2927"/>
      <c r="S51" s="2883"/>
      <c r="T51" s="2883"/>
      <c r="U51" s="2883"/>
      <c r="V51" s="2883"/>
      <c r="W51" s="2883"/>
      <c r="X51" s="2884" t="str">
        <f>O51&amp;P51</f>
        <v>&gt; MANIOBRAS DE COMBATE Y APUNTAR</v>
      </c>
      <c r="Z51" s="2872"/>
    </row>
    <row r="52" spans="1:26" ht="12" customHeight="1" x14ac:dyDescent="0.2">
      <c r="A52" s="6112"/>
      <c r="B52" s="6115"/>
      <c r="C52" s="6220" t="s">
        <v>1823</v>
      </c>
      <c r="D52" s="6221" t="str">
        <f>IF(ISNUMBER(FIND("&gt;&gt;",C52)),"","'Tablas Técnicas'!"&amp;ADDRESS(ROW($P$9)+MATCH(C52,$O$10:$O$639,0),COLUMN($P$9))&amp;":"&amp;ADDRESS(ROW($P$9)+MATCH(C52,$O$10:$O$639,0)+COUNTIF($O$10:$O$639,C52)-1,COLUMN($P$9)))</f>
        <v>'Tablas Técnicas'!$P$346:$P$356</v>
      </c>
      <c r="E52" s="6222" t="s">
        <v>3222</v>
      </c>
      <c r="F52" s="6222" t="s">
        <v>1840</v>
      </c>
      <c r="G52" s="6221" t="s">
        <v>9772</v>
      </c>
      <c r="H52" s="6221" t="s">
        <v>1881</v>
      </c>
      <c r="I52" s="6221" t="s">
        <v>1975</v>
      </c>
      <c r="J52" s="6221" t="s">
        <v>1980</v>
      </c>
      <c r="K52" s="6221" t="s">
        <v>9703</v>
      </c>
      <c r="L52" s="2881" t="b">
        <f>IFERROR(IF(VLOOKUP(H52,$Z$25:$AA$30,2,0),TRUE,IF(VLOOKUP(I52,$Z$25:$AA$30,2,0),TRUE,IF(VLOOKUP(J52,$Z$25:$AA$30,2,0),TRUE,FALSE))),FALSE)</f>
        <v>0</v>
      </c>
      <c r="N52" s="6122"/>
      <c r="O52" s="2901" t="s">
        <v>9773</v>
      </c>
      <c r="P52" s="2879" t="s">
        <v>9774</v>
      </c>
      <c r="Q52" s="2883">
        <v>1</v>
      </c>
      <c r="R52" s="2927">
        <v>2</v>
      </c>
      <c r="S52" s="2883">
        <v>5</v>
      </c>
      <c r="T52" s="2883">
        <v>1</v>
      </c>
      <c r="U52" s="2883">
        <v>2</v>
      </c>
      <c r="V52" s="2883">
        <v>4</v>
      </c>
      <c r="W52" s="2883">
        <v>1</v>
      </c>
      <c r="X52" s="2884" t="str">
        <f>O52&amp;P52</f>
        <v>Maniobras De Combate Y Apuntar-10</v>
      </c>
      <c r="Z52" s="2872"/>
    </row>
    <row r="53" spans="1:26" ht="12" customHeight="1" x14ac:dyDescent="0.2">
      <c r="A53" s="6112"/>
      <c r="B53" s="6115"/>
      <c r="C53" s="6220" t="s">
        <v>3317</v>
      </c>
      <c r="D53" s="6221" t="str">
        <f>IF(ISNUMBER(FIND("&gt;&gt;",C53)),"","'Tablas Técnicas'!"&amp;ADDRESS(ROW($P$9)+MATCH(C53,$O$10:$O$639,0),COLUMN($P$9))&amp;":"&amp;ADDRESS(ROW($P$9)+MATCH(C53,$O$10:$O$639,0)+COUNTIF($O$10:$O$639,C53)-1,COLUMN($P$9)))</f>
        <v/>
      </c>
      <c r="E53" s="6222"/>
      <c r="F53" s="6222"/>
      <c r="G53" s="6221"/>
      <c r="H53" s="6221" t="s">
        <v>7690</v>
      </c>
      <c r="I53" s="6221" t="s">
        <v>7690</v>
      </c>
      <c r="J53" s="6221" t="s">
        <v>7690</v>
      </c>
      <c r="K53" s="6221" t="s">
        <v>7690</v>
      </c>
      <c r="L53" s="2881" t="b">
        <f>IFERROR(IF(VLOOKUP(H53,$Z$25:$AA$30,2,0),TRUE,IF(VLOOKUP(I53,$Z$25:$AA$30,2,0),TRUE,IF(VLOOKUP(J53,$Z$25:$AA$30,2,0),TRUE,FALSE))),FALSE)</f>
        <v>0</v>
      </c>
      <c r="N53" s="6122"/>
      <c r="O53" s="2901" t="s">
        <v>9773</v>
      </c>
      <c r="P53" s="2879" t="s">
        <v>9775</v>
      </c>
      <c r="Q53" s="2883">
        <v>2</v>
      </c>
      <c r="R53" s="2927">
        <v>4</v>
      </c>
      <c r="S53" s="2883">
        <v>5</v>
      </c>
      <c r="T53" s="2883">
        <v>1</v>
      </c>
      <c r="U53" s="2883">
        <v>2</v>
      </c>
      <c r="V53" s="2883">
        <v>4</v>
      </c>
      <c r="W53" s="2883">
        <v>1</v>
      </c>
      <c r="X53" s="2884" t="str">
        <f>O53&amp;P53</f>
        <v>Maniobras De Combate Y Apuntar-25</v>
      </c>
      <c r="Z53" s="2872"/>
    </row>
    <row r="54" spans="1:26" ht="12" customHeight="1" x14ac:dyDescent="0.2">
      <c r="A54" s="6112"/>
      <c r="B54" s="6115"/>
      <c r="C54" s="6220" t="s">
        <v>9776</v>
      </c>
      <c r="D54" s="6221" t="str">
        <f>IF(ISNUMBER(FIND("&gt;&gt;",C54)),"","'Tablas Técnicas'!"&amp;ADDRESS(ROW($P$9)+MATCH(C54,$O$10:$O$639,0),COLUMN($P$9))&amp;":"&amp;ADDRESS(ROW($P$9)+MATCH(C54,$O$10:$O$639,0)+COUNTIF($O$10:$O$639,C54)-1,COLUMN($P$9)))</f>
        <v>'Tablas Técnicas'!$P$359:$P$363</v>
      </c>
      <c r="E54" s="6222" t="s">
        <v>3222</v>
      </c>
      <c r="F54" s="6222" t="s">
        <v>3710</v>
      </c>
      <c r="G54" s="6221" t="s">
        <v>9777</v>
      </c>
      <c r="H54" s="6221" t="s">
        <v>1878</v>
      </c>
      <c r="I54" s="6221" t="s">
        <v>1885</v>
      </c>
      <c r="J54" s="6221" t="s">
        <v>1975</v>
      </c>
      <c r="K54" s="6221" t="s">
        <v>9749</v>
      </c>
      <c r="L54" s="2881" t="b">
        <f>IFERROR(IF(VLOOKUP(H54,$Z$25:$AA$30,2,0),TRUE,IF(VLOOKUP(I54,$Z$25:$AA$30,2,0),TRUE,IF(VLOOKUP(J54,$Z$25:$AA$30,2,0),TRUE,FALSE))),FALSE)</f>
        <v>1</v>
      </c>
      <c r="N54" s="6122"/>
      <c r="O54" s="2901" t="s">
        <v>9773</v>
      </c>
      <c r="P54" s="2879" t="s">
        <v>9778</v>
      </c>
      <c r="Q54" s="2883">
        <v>3</v>
      </c>
      <c r="R54" s="2927">
        <v>5</v>
      </c>
      <c r="S54" s="2883">
        <v>10</v>
      </c>
      <c r="T54" s="2883">
        <v>2</v>
      </c>
      <c r="U54" s="2883">
        <v>4</v>
      </c>
      <c r="V54" s="2883">
        <v>7</v>
      </c>
      <c r="W54" s="2883">
        <v>1</v>
      </c>
      <c r="X54" s="2884" t="str">
        <f>O54&amp;P54</f>
        <v>Maniobras De Combate Y Apuntar-50</v>
      </c>
      <c r="Z54" s="2872"/>
    </row>
    <row r="55" spans="1:26" ht="12" customHeight="1" x14ac:dyDescent="0.2">
      <c r="A55" s="6112"/>
      <c r="B55" s="6115"/>
      <c r="C55" s="6220" t="s">
        <v>9779</v>
      </c>
      <c r="D55" s="6221" t="str">
        <f>IF(ISNUMBER(FIND("&gt;&gt;",C55)),"","'Tablas Técnicas'!"&amp;ADDRESS(ROW($P$9)+MATCH(C55,$O$10:$O$639,0),COLUMN($P$9))&amp;":"&amp;ADDRESS(ROW($P$9)+MATCH(C55,$O$10:$O$639,0)+COUNTIF($O$10:$O$639,C55)-1,COLUMN($P$9)))</f>
        <v>'Tablas Técnicas'!$P$365:$P$370</v>
      </c>
      <c r="E55" s="6222" t="s">
        <v>3222</v>
      </c>
      <c r="F55" s="6222" t="s">
        <v>3710</v>
      </c>
      <c r="G55" s="6221" t="s">
        <v>9780</v>
      </c>
      <c r="H55" s="6221" t="s">
        <v>1878</v>
      </c>
      <c r="I55" s="6221" t="s">
        <v>1980</v>
      </c>
      <c r="J55" s="6221" t="s">
        <v>1975</v>
      </c>
      <c r="K55" s="6221" t="s">
        <v>9781</v>
      </c>
      <c r="L55" s="2881" t="b">
        <f>IFERROR(IF(VLOOKUP(H55,$Z$25:$AA$30,2,0),TRUE,IF(VLOOKUP(I55,$Z$25:$AA$30,2,0),TRUE,IF(VLOOKUP(J55,$Z$25:$AA$30,2,0),TRUE,FALSE))),FALSE)</f>
        <v>0</v>
      </c>
      <c r="N55" s="6122"/>
      <c r="O55" s="2901" t="s">
        <v>9773</v>
      </c>
      <c r="P55" s="2879" t="s">
        <v>9782</v>
      </c>
      <c r="Q55" s="2883">
        <v>4</v>
      </c>
      <c r="R55" s="2927">
        <v>6</v>
      </c>
      <c r="S55" s="2883">
        <v>10</v>
      </c>
      <c r="T55" s="2883">
        <v>2</v>
      </c>
      <c r="U55" s="2883">
        <v>4</v>
      </c>
      <c r="V55" s="2883">
        <v>7</v>
      </c>
      <c r="W55" s="2883">
        <v>2</v>
      </c>
      <c r="X55" s="2884" t="str">
        <f>O55&amp;P55</f>
        <v>Maniobras De Combate Y Apuntar-75</v>
      </c>
      <c r="Z55" s="2872"/>
    </row>
    <row r="56" spans="1:26" ht="12" customHeight="1" x14ac:dyDescent="0.2">
      <c r="A56" s="6112"/>
      <c r="B56" s="6115"/>
      <c r="C56" s="6220" t="s">
        <v>9783</v>
      </c>
      <c r="D56" s="6221" t="str">
        <f>IF(ISNUMBER(FIND("&gt;&gt;",C56)),"","'Tablas Técnicas'!"&amp;ADDRESS(ROW($P$9)+MATCH(C56,$O$10:$O$639,0),COLUMN($P$9))&amp;":"&amp;ADDRESS(ROW($P$9)+MATCH(C56,$O$10:$O$639,0)+COUNTIF($O$10:$O$639,C56)-1,COLUMN($P$9)))</f>
        <v>'Tablas Técnicas'!$P$372:$P$379</v>
      </c>
      <c r="E56" s="6222" t="s">
        <v>3219</v>
      </c>
      <c r="F56" s="6222" t="s">
        <v>3710</v>
      </c>
      <c r="G56" s="6221" t="s">
        <v>9784</v>
      </c>
      <c r="H56" s="6221" t="s">
        <v>1881</v>
      </c>
      <c r="I56" s="6221" t="s">
        <v>1885</v>
      </c>
      <c r="J56" s="6221" t="s">
        <v>1976</v>
      </c>
      <c r="K56" s="6221" t="s">
        <v>9785</v>
      </c>
      <c r="L56" s="2881" t="b">
        <f>IFERROR(IF(VLOOKUP(H56,$Z$25:$AA$30,2,0),TRUE,IF(VLOOKUP(I56,$Z$25:$AA$30,2,0),TRUE,IF(VLOOKUP(J56,$Z$25:$AA$30,2,0),TRUE,FALSE))),FALSE)</f>
        <v>1</v>
      </c>
      <c r="N56" s="6122"/>
      <c r="O56" s="2901" t="s">
        <v>9773</v>
      </c>
      <c r="P56" s="2879" t="s">
        <v>9786</v>
      </c>
      <c r="Q56" s="2883">
        <v>6</v>
      </c>
      <c r="R56" s="2927">
        <v>9</v>
      </c>
      <c r="S56" s="2883">
        <v>15</v>
      </c>
      <c r="T56" s="2883">
        <v>3</v>
      </c>
      <c r="U56" s="2883">
        <v>6</v>
      </c>
      <c r="V56" s="2883">
        <v>11</v>
      </c>
      <c r="W56" s="2883">
        <v>2</v>
      </c>
      <c r="X56" s="2884" t="str">
        <f>O56&amp;P56</f>
        <v>Maniobras De Combate Y Apuntar-100</v>
      </c>
      <c r="Z56" s="2872"/>
    </row>
    <row r="57" spans="1:26" ht="12" customHeight="1" x14ac:dyDescent="0.2">
      <c r="A57" s="6112"/>
      <c r="B57" s="6115"/>
      <c r="C57" s="6220" t="s">
        <v>9787</v>
      </c>
      <c r="D57" s="6221" t="str">
        <f>IF(ISNUMBER(FIND("&gt;&gt;",C57)),"","'Tablas Técnicas'!"&amp;ADDRESS(ROW($P$9)+MATCH(C57,$O$10:$O$639,0),COLUMN($P$9))&amp;":"&amp;ADDRESS(ROW($P$9)+MATCH(C57,$O$10:$O$639,0)+COUNTIF($O$10:$O$639,C57)-1,COLUMN($P$9)))</f>
        <v>'Tablas Técnicas'!$P$381:$P$388</v>
      </c>
      <c r="E57" s="6222" t="s">
        <v>3219</v>
      </c>
      <c r="F57" s="6222" t="s">
        <v>3710</v>
      </c>
      <c r="G57" s="6221" t="s">
        <v>9788</v>
      </c>
      <c r="H57" s="6221" t="s">
        <v>1881</v>
      </c>
      <c r="I57" s="6221" t="s">
        <v>1885</v>
      </c>
      <c r="J57" s="6221" t="s">
        <v>1976</v>
      </c>
      <c r="K57" s="6221" t="s">
        <v>9785</v>
      </c>
      <c r="L57" s="2881" t="b">
        <f>IFERROR(IF(VLOOKUP(H57,$Z$25:$AA$30,2,0),TRUE,IF(VLOOKUP(I57,$Z$25:$AA$30,2,0),TRUE,IF(VLOOKUP(J57,$Z$25:$AA$30,2,0),TRUE,FALSE))),FALSE)</f>
        <v>1</v>
      </c>
      <c r="N57" s="6122"/>
      <c r="O57" s="2901" t="s">
        <v>9773</v>
      </c>
      <c r="P57" s="2879" t="s">
        <v>9789</v>
      </c>
      <c r="Q57" s="2883">
        <v>8</v>
      </c>
      <c r="R57" s="2927">
        <v>11</v>
      </c>
      <c r="S57" s="2883">
        <v>20</v>
      </c>
      <c r="T57" s="2883">
        <v>3</v>
      </c>
      <c r="U57" s="2883">
        <v>6</v>
      </c>
      <c r="V57" s="2883">
        <v>11</v>
      </c>
      <c r="W57" s="2883">
        <v>3</v>
      </c>
      <c r="X57" s="2884" t="str">
        <f>O57&amp;P57</f>
        <v>Maniobras De Combate Y Apuntar-120</v>
      </c>
      <c r="Z57" s="2872"/>
    </row>
    <row r="58" spans="1:26" ht="12" customHeight="1" x14ac:dyDescent="0.2">
      <c r="A58" s="6112"/>
      <c r="B58" s="6115"/>
      <c r="C58" s="6220" t="s">
        <v>9790</v>
      </c>
      <c r="D58" s="6221" t="str">
        <f>IF(ISNUMBER(FIND("&gt;&gt;",C58)),"","'Tablas Técnicas'!"&amp;ADDRESS(ROW($P$9)+MATCH(C58,$O$10:$O$639,0),COLUMN($P$9))&amp;":"&amp;ADDRESS(ROW($P$9)+MATCH(C58,$O$10:$O$639,0)+COUNTIF($O$10:$O$639,C58)-1,COLUMN($P$9)))</f>
        <v>'Tablas Técnicas'!$P$390:$P$397</v>
      </c>
      <c r="E58" s="6222" t="s">
        <v>3219</v>
      </c>
      <c r="F58" s="6222" t="s">
        <v>3710</v>
      </c>
      <c r="G58" s="6221" t="s">
        <v>9791</v>
      </c>
      <c r="H58" s="6221" t="s">
        <v>1881</v>
      </c>
      <c r="I58" s="6221" t="s">
        <v>1885</v>
      </c>
      <c r="J58" s="6221" t="s">
        <v>1976</v>
      </c>
      <c r="K58" s="6221" t="s">
        <v>9785</v>
      </c>
      <c r="L58" s="2881" t="b">
        <f>IFERROR(IF(VLOOKUP(H58,$Z$25:$AA$30,2,0),TRUE,IF(VLOOKUP(I58,$Z$25:$AA$30,2,0),TRUE,IF(VLOOKUP(J58,$Z$25:$AA$30,2,0),TRUE,FALSE))),FALSE)</f>
        <v>1</v>
      </c>
      <c r="N58" s="6122"/>
      <c r="O58" s="2901" t="s">
        <v>9792</v>
      </c>
      <c r="P58" s="2879"/>
      <c r="Q58" s="2883"/>
      <c r="R58" s="2927"/>
      <c r="S58" s="2883"/>
      <c r="T58" s="2883"/>
      <c r="U58" s="2883"/>
      <c r="V58" s="2883"/>
      <c r="W58" s="2883"/>
      <c r="X58" s="2884" t="str">
        <f>O58&amp;P58</f>
        <v>&gt; MANIOBRAS DE COMBATE Y APUNTAR REALES</v>
      </c>
      <c r="Z58" s="2872"/>
    </row>
    <row r="59" spans="1:26" ht="12" customHeight="1" x14ac:dyDescent="0.2">
      <c r="A59" s="6112"/>
      <c r="B59" s="6115"/>
      <c r="C59" s="6220" t="s">
        <v>9793</v>
      </c>
      <c r="D59" s="6221" t="str">
        <f>IF(ISNUMBER(FIND("&gt;&gt;",C59)),"","'Tablas Técnicas'!"&amp;ADDRESS(ROW($P$9)+MATCH(C59,$O$10:$O$639,0),COLUMN($P$9))&amp;":"&amp;ADDRESS(ROW($P$9)+MATCH(C59,$O$10:$O$639,0)+COUNTIF($O$10:$O$639,C59)-1,COLUMN($P$9)))</f>
        <v>'Tablas Técnicas'!$P$399:$P$408</v>
      </c>
      <c r="E59" s="6222" t="s">
        <v>3222</v>
      </c>
      <c r="F59" s="6222" t="s">
        <v>3710</v>
      </c>
      <c r="G59" s="6221" t="s">
        <v>9794</v>
      </c>
      <c r="H59" s="6221" t="s">
        <v>1881</v>
      </c>
      <c r="I59" s="6221" t="s">
        <v>1975</v>
      </c>
      <c r="J59" s="6221" t="s">
        <v>1980</v>
      </c>
      <c r="K59" s="6221" t="s">
        <v>9703</v>
      </c>
      <c r="L59" s="2881" t="b">
        <f>IFERROR(IF(VLOOKUP(H59,$Z$25:$AA$30,2,0),TRUE,IF(VLOOKUP(I59,$Z$25:$AA$30,2,0),TRUE,IF(VLOOKUP(J59,$Z$25:$AA$30,2,0),TRUE,FALSE))),FALSE)</f>
        <v>0</v>
      </c>
      <c r="N59" s="6122"/>
      <c r="O59" s="2901" t="s">
        <v>9795</v>
      </c>
      <c r="P59" s="2879" t="s">
        <v>9774</v>
      </c>
      <c r="Q59" s="2883">
        <v>2</v>
      </c>
      <c r="R59" s="2927">
        <v>4</v>
      </c>
      <c r="S59" s="2883">
        <v>10</v>
      </c>
      <c r="T59" s="2883">
        <v>2</v>
      </c>
      <c r="U59" s="2883">
        <v>4</v>
      </c>
      <c r="V59" s="2883">
        <v>7</v>
      </c>
      <c r="W59" s="2883">
        <v>1</v>
      </c>
      <c r="X59" s="2884" t="str">
        <f>O59&amp;P59</f>
        <v>Maniobras De Combate Y Apuntar Reales-10</v>
      </c>
      <c r="Z59" s="2872"/>
    </row>
    <row r="60" spans="1:26" ht="12" customHeight="1" x14ac:dyDescent="0.2">
      <c r="A60" s="6112"/>
      <c r="B60" s="6115"/>
      <c r="C60" s="6220" t="s">
        <v>9796</v>
      </c>
      <c r="D60" s="6221" t="str">
        <f>IF(ISNUMBER(FIND("&gt;&gt;",C60)),"","'Tablas Técnicas'!"&amp;ADDRESS(ROW($P$9)+MATCH(C60,$O$10:$O$639,0),COLUMN($P$9))&amp;":"&amp;ADDRESS(ROW($P$9)+MATCH(C60,$O$10:$O$639,0)+COUNTIF($O$10:$O$639,C60)-1,COLUMN($P$9)))</f>
        <v>'Tablas Técnicas'!$P$410:$P$417</v>
      </c>
      <c r="E60" s="6222" t="s">
        <v>3222</v>
      </c>
      <c r="F60" s="6222" t="s">
        <v>3710</v>
      </c>
      <c r="G60" s="6221" t="s">
        <v>9797</v>
      </c>
      <c r="H60" s="6221" t="s">
        <v>1878</v>
      </c>
      <c r="I60" s="6221" t="s">
        <v>1885</v>
      </c>
      <c r="J60" s="6221" t="s">
        <v>1975</v>
      </c>
      <c r="K60" s="6221" t="s">
        <v>9749</v>
      </c>
      <c r="L60" s="2881" t="b">
        <f>IFERROR(IF(VLOOKUP(H60,$Z$25:$AA$30,2,0),TRUE,IF(VLOOKUP(I60,$Z$25:$AA$30,2,0),TRUE,IF(VLOOKUP(J60,$Z$25:$AA$30,2,0),TRUE,FALSE))),FALSE)</f>
        <v>1</v>
      </c>
      <c r="N60" s="6122"/>
      <c r="O60" s="2901" t="s">
        <v>9795</v>
      </c>
      <c r="P60" s="2879" t="s">
        <v>9775</v>
      </c>
      <c r="Q60" s="2883">
        <v>4</v>
      </c>
      <c r="R60" s="2927">
        <v>6</v>
      </c>
      <c r="S60" s="2883">
        <v>15</v>
      </c>
      <c r="T60" s="2883">
        <v>3</v>
      </c>
      <c r="U60" s="2883">
        <v>6</v>
      </c>
      <c r="V60" s="2883">
        <v>11</v>
      </c>
      <c r="W60" s="2883">
        <v>1</v>
      </c>
      <c r="X60" s="2884" t="str">
        <f>O60&amp;P60</f>
        <v>Maniobras De Combate Y Apuntar Reales-25</v>
      </c>
      <c r="Z60" s="2872"/>
    </row>
    <row r="61" spans="1:26" ht="12" customHeight="1" x14ac:dyDescent="0.2">
      <c r="A61" s="6112"/>
      <c r="B61" s="6115"/>
      <c r="C61" s="6220" t="s">
        <v>9798</v>
      </c>
      <c r="D61" s="6221" t="str">
        <f>IF(ISNUMBER(FIND("&gt;&gt;",C61)),"","'Tablas Técnicas'!"&amp;ADDRESS(ROW($P$9)+MATCH(C61,$O$10:$O$639,0),COLUMN($P$9))&amp;":"&amp;ADDRESS(ROW($P$9)+MATCH(C61,$O$10:$O$639,0)+COUNTIF($O$10:$O$639,C61)-1,COLUMN($P$9)))</f>
        <v>'Tablas Técnicas'!$P$419:$P$426</v>
      </c>
      <c r="E61" s="6222" t="s">
        <v>3222</v>
      </c>
      <c r="F61" s="6222" t="s">
        <v>3710</v>
      </c>
      <c r="G61" s="6221" t="s">
        <v>9799</v>
      </c>
      <c r="H61" s="6221" t="s">
        <v>1878</v>
      </c>
      <c r="I61" s="6221" t="s">
        <v>1881</v>
      </c>
      <c r="J61" s="6221" t="s">
        <v>1975</v>
      </c>
      <c r="K61" s="6221" t="s">
        <v>9800</v>
      </c>
      <c r="L61" s="2881" t="b">
        <f>IFERROR(IF(VLOOKUP(H61,$Z$25:$AA$30,2,0),TRUE,IF(VLOOKUP(I61,$Z$25:$AA$30,2,0),TRUE,IF(VLOOKUP(J61,$Z$25:$AA$30,2,0),TRUE,FALSE))),FALSE)</f>
        <v>0</v>
      </c>
      <c r="N61" s="6122"/>
      <c r="O61" s="2901" t="s">
        <v>9795</v>
      </c>
      <c r="P61" s="2879" t="s">
        <v>9778</v>
      </c>
      <c r="Q61" s="2883">
        <v>6</v>
      </c>
      <c r="R61" s="2927">
        <v>9</v>
      </c>
      <c r="S61" s="2883">
        <v>20</v>
      </c>
      <c r="T61" s="2883">
        <v>4</v>
      </c>
      <c r="U61" s="2883">
        <v>8</v>
      </c>
      <c r="V61" s="2883">
        <v>14</v>
      </c>
      <c r="W61" s="2883">
        <v>2</v>
      </c>
      <c r="X61" s="2884" t="str">
        <f>O61&amp;P61</f>
        <v>Maniobras De Combate Y Apuntar Reales-50</v>
      </c>
      <c r="Z61" s="2872"/>
    </row>
    <row r="62" spans="1:26" ht="12" customHeight="1" x14ac:dyDescent="0.2">
      <c r="A62" s="6112"/>
      <c r="B62" s="6115"/>
      <c r="C62" s="6220" t="s">
        <v>9801</v>
      </c>
      <c r="D62" s="6221" t="str">
        <f>IF(ISNUMBER(FIND("&gt;&gt;",C62)),"","'Tablas Técnicas'!"&amp;ADDRESS(ROW($P$9)+MATCH(C62,$O$10:$O$639,0),COLUMN($P$9))&amp;":"&amp;ADDRESS(ROW($P$9)+MATCH(C62,$O$10:$O$639,0)+COUNTIF($O$10:$O$639,C62)-1,COLUMN($P$9)))</f>
        <v>'Tablas Técnicas'!$P$428:$P$434</v>
      </c>
      <c r="E62" s="6222" t="s">
        <v>3222</v>
      </c>
      <c r="F62" s="6222" t="s">
        <v>3710</v>
      </c>
      <c r="G62" s="6221" t="s">
        <v>9802</v>
      </c>
      <c r="H62" s="6221" t="s">
        <v>1881</v>
      </c>
      <c r="I62" s="6221" t="s">
        <v>1878</v>
      </c>
      <c r="J62" s="6221" t="s">
        <v>1975</v>
      </c>
      <c r="K62" s="6221" t="s">
        <v>9711</v>
      </c>
      <c r="L62" s="2881" t="b">
        <f>IFERROR(IF(VLOOKUP(H62,$Z$25:$AA$30,2,0),TRUE,IF(VLOOKUP(I62,$Z$25:$AA$30,2,0),TRUE,IF(VLOOKUP(J62,$Z$25:$AA$30,2,0),TRUE,FALSE))),FALSE)</f>
        <v>0</v>
      </c>
      <c r="N62" s="6122"/>
      <c r="O62" s="2901" t="s">
        <v>9803</v>
      </c>
      <c r="P62" s="2879"/>
      <c r="Q62" s="2883"/>
      <c r="R62" s="2927"/>
      <c r="S62" s="2883"/>
      <c r="T62" s="2883"/>
      <c r="U62" s="2883"/>
      <c r="V62" s="2883"/>
      <c r="W62" s="2883"/>
      <c r="X62" s="2884" t="str">
        <f>O62&amp;P62</f>
        <v>&gt; ATAQUE INDIRECTO</v>
      </c>
      <c r="Z62" s="2872"/>
    </row>
    <row r="63" spans="1:26" ht="12" customHeight="1" x14ac:dyDescent="0.2">
      <c r="A63" s="6112"/>
      <c r="B63" s="6115"/>
      <c r="C63" s="6220" t="s">
        <v>3346</v>
      </c>
      <c r="D63" s="6221" t="str">
        <f>IF(ISNUMBER(FIND("&gt;&gt;",C63)),"","'Tablas Técnicas'!"&amp;ADDRESS(ROW($P$9)+MATCH(C63,$O$10:$O$639,0),COLUMN($P$9))&amp;":"&amp;ADDRESS(ROW($P$9)+MATCH(C63,$O$10:$O$639,0)+COUNTIF($O$10:$O$639,C63)-1,COLUMN($P$9)))</f>
        <v/>
      </c>
      <c r="E63" s="6222"/>
      <c r="F63" s="6222"/>
      <c r="G63" s="6221"/>
      <c r="H63" s="6221" t="s">
        <v>7690</v>
      </c>
      <c r="I63" s="6221" t="s">
        <v>7690</v>
      </c>
      <c r="J63" s="6221" t="s">
        <v>7690</v>
      </c>
      <c r="K63" s="6221" t="s">
        <v>7690</v>
      </c>
      <c r="L63" s="2881" t="b">
        <f>IFERROR(IF(VLOOKUP(H63,$Z$25:$AA$30,2,0),TRUE,IF(VLOOKUP(I63,$Z$25:$AA$30,2,0),TRUE,IF(VLOOKUP(J63,$Z$25:$AA$30,2,0),TRUE,FALSE))),FALSE)</f>
        <v>0</v>
      </c>
      <c r="N63" s="6122"/>
      <c r="O63" s="2901" t="s">
        <v>9695</v>
      </c>
      <c r="P63" s="2879" t="s">
        <v>9804</v>
      </c>
      <c r="Q63" s="2883">
        <v>3</v>
      </c>
      <c r="R63" s="2927">
        <v>5</v>
      </c>
      <c r="S63" s="2883">
        <v>10</v>
      </c>
      <c r="T63" s="2883">
        <v>2</v>
      </c>
      <c r="U63" s="2883">
        <v>4</v>
      </c>
      <c r="V63" s="2883">
        <v>7</v>
      </c>
      <c r="W63" s="2883">
        <v>1</v>
      </c>
      <c r="X63" s="2884" t="str">
        <f>O63&amp;P63</f>
        <v>Ataque IndirectoTécnica Nv 1</v>
      </c>
      <c r="Z63" s="2872"/>
    </row>
    <row r="64" spans="1:26" ht="12" customHeight="1" x14ac:dyDescent="0.2">
      <c r="A64" s="6112"/>
      <c r="B64" s="6115"/>
      <c r="C64" s="6220" t="s">
        <v>3718</v>
      </c>
      <c r="D64" s="6221" t="str">
        <f>IF(ISNUMBER(FIND("&gt;&gt;",C64)),"","'Tablas Técnicas'!"&amp;ADDRESS(ROW($P$9)+MATCH(C64,$O$10:$O$639,0),COLUMN($P$9))&amp;":"&amp;ADDRESS(ROW($P$9)+MATCH(C64,$O$10:$O$639,0)+COUNTIF($O$10:$O$639,C64)-1,COLUMN($P$9)))</f>
        <v>'Tablas Técnicas'!$P$437:$P$437</v>
      </c>
      <c r="E64" s="6222" t="s">
        <v>3219</v>
      </c>
      <c r="F64" s="6222" t="s">
        <v>1504</v>
      </c>
      <c r="G64" s="6221" t="s">
        <v>9805</v>
      </c>
      <c r="H64" s="6221" t="s">
        <v>1885</v>
      </c>
      <c r="I64" s="6221" t="s">
        <v>1975</v>
      </c>
      <c r="J64" s="6221" t="s">
        <v>1976</v>
      </c>
      <c r="K64" s="6221" t="s">
        <v>9757</v>
      </c>
      <c r="L64" s="2881" t="b">
        <f>IFERROR(IF(VLOOKUP(H64,$Z$25:$AA$30,2,0),TRUE,IF(VLOOKUP(I64,$Z$25:$AA$30,2,0),TRUE,IF(VLOOKUP(J64,$Z$25:$AA$30,2,0),TRUE,FALSE))),FALSE)</f>
        <v>1</v>
      </c>
      <c r="N64" s="6122"/>
      <c r="O64" s="2901" t="s">
        <v>9695</v>
      </c>
      <c r="P64" s="2879" t="s">
        <v>9806</v>
      </c>
      <c r="Q64" s="2883">
        <v>6</v>
      </c>
      <c r="R64" s="2927">
        <v>9</v>
      </c>
      <c r="S64" s="2883">
        <v>20</v>
      </c>
      <c r="T64" s="2883">
        <v>4</v>
      </c>
      <c r="U64" s="2883">
        <v>8</v>
      </c>
      <c r="V64" s="2883">
        <v>14</v>
      </c>
      <c r="W64" s="2883">
        <v>2</v>
      </c>
      <c r="X64" s="2884" t="str">
        <f>O64&amp;P64</f>
        <v>Ataque IndirectoTécnica Nv 2</v>
      </c>
      <c r="Z64" s="2872"/>
    </row>
    <row r="65" spans="1:26" ht="12" customHeight="1" x14ac:dyDescent="0.2">
      <c r="A65" s="6112"/>
      <c r="B65" s="6115"/>
      <c r="C65" s="6220" t="s">
        <v>9807</v>
      </c>
      <c r="D65" s="6221" t="str">
        <f>IF(ISNUMBER(FIND("&gt;&gt;",C65)),"","'Tablas Técnicas'!"&amp;ADDRESS(ROW($P$9)+MATCH(C65,$O$10:$O$639,0),COLUMN($P$9))&amp;":"&amp;ADDRESS(ROW($P$9)+MATCH(C65,$O$10:$O$639,0)+COUNTIF($O$10:$O$639,C65)-1,COLUMN($P$9)))</f>
        <v>'Tablas Técnicas'!$P$439:$P$444</v>
      </c>
      <c r="E65" s="6222" t="s">
        <v>3222</v>
      </c>
      <c r="F65" s="6222" t="s">
        <v>1504</v>
      </c>
      <c r="G65" s="6221" t="s">
        <v>9805</v>
      </c>
      <c r="H65" s="6221"/>
      <c r="I65" s="6221" t="s">
        <v>7690</v>
      </c>
      <c r="J65" s="6221" t="s">
        <v>7690</v>
      </c>
      <c r="K65" s="6221" t="s">
        <v>3710</v>
      </c>
      <c r="L65" s="2881" t="b">
        <f>IFERROR(IF(VLOOKUP(H65,$Z$25:$AA$30,2,0),TRUE,IF(VLOOKUP(I65,$Z$25:$AA$30,2,0),TRUE,IF(VLOOKUP(J65,$Z$25:$AA$30,2,0),TRUE,FALSE))),FALSE)</f>
        <v>0</v>
      </c>
      <c r="N65" s="6122"/>
      <c r="O65" s="2901" t="s">
        <v>9695</v>
      </c>
      <c r="P65" s="2879" t="s">
        <v>9808</v>
      </c>
      <c r="Q65" s="2883">
        <v>9</v>
      </c>
      <c r="R65" s="2927">
        <v>12</v>
      </c>
      <c r="S65" s="2883">
        <v>30</v>
      </c>
      <c r="T65" s="2883">
        <v>6</v>
      </c>
      <c r="U65" s="2883">
        <v>12</v>
      </c>
      <c r="V65" s="2883">
        <v>21</v>
      </c>
      <c r="W65" s="2883">
        <v>3</v>
      </c>
      <c r="X65" s="2884" t="str">
        <f>O65&amp;P65</f>
        <v>Ataque IndirectoTécnica Nv 3</v>
      </c>
      <c r="Z65" s="2872"/>
    </row>
    <row r="66" spans="1:26" ht="12" customHeight="1" x14ac:dyDescent="0.2">
      <c r="A66" s="6112"/>
      <c r="B66" s="6115"/>
      <c r="C66" s="6220" t="s">
        <v>9809</v>
      </c>
      <c r="D66" s="6221" t="str">
        <f>IF(ISNUMBER(FIND("&gt;&gt;",C66)),"","'Tablas Técnicas'!"&amp;ADDRESS(ROW($P$9)+MATCH(C66,$O$10:$O$639,0),COLUMN($P$9))&amp;":"&amp;ADDRESS(ROW($P$9)+MATCH(C66,$O$10:$O$639,0)+COUNTIF($O$10:$O$639,C66)-1,COLUMN($P$9)))</f>
        <v>'Tablas Técnicas'!$P$446:$P$455</v>
      </c>
      <c r="E66" s="6222" t="s">
        <v>3222</v>
      </c>
      <c r="F66" s="6222" t="s">
        <v>3710</v>
      </c>
      <c r="G66" s="6221" t="s">
        <v>9810</v>
      </c>
      <c r="H66" s="6221" t="s">
        <v>1975</v>
      </c>
      <c r="I66" s="6221" t="s">
        <v>1976</v>
      </c>
      <c r="J66" s="6221" t="s">
        <v>1980</v>
      </c>
      <c r="K66" s="6221" t="s">
        <v>9686</v>
      </c>
      <c r="L66" s="2881" t="b">
        <f>IFERROR(IF(VLOOKUP(H66,$Z$25:$AA$30,2,0),TRUE,IF(VLOOKUP(I66,$Z$25:$AA$30,2,0),TRUE,IF(VLOOKUP(J66,$Z$25:$AA$30,2,0),TRUE,FALSE))),FALSE)</f>
        <v>0</v>
      </c>
      <c r="N66" s="6122"/>
      <c r="O66" s="2901" t="s">
        <v>9811</v>
      </c>
      <c r="P66" s="2879"/>
      <c r="Q66" s="2883"/>
      <c r="R66" s="2927"/>
      <c r="S66" s="2883"/>
      <c r="T66" s="2883"/>
      <c r="U66" s="2883"/>
      <c r="V66" s="2883"/>
      <c r="W66" s="2883"/>
      <c r="X66" s="2884" t="str">
        <f>O66&amp;P66</f>
        <v>&gt; CAMUFLAR ATAQUE</v>
      </c>
      <c r="Z66" s="2872"/>
    </row>
    <row r="67" spans="1:26" ht="12" customHeight="1" x14ac:dyDescent="0.2">
      <c r="A67" s="6112"/>
      <c r="B67" s="6115"/>
      <c r="C67" s="6220" t="s">
        <v>3724</v>
      </c>
      <c r="D67" s="6221" t="str">
        <f>IF(ISNUMBER(FIND("&gt;&gt;",C67)),"","'Tablas Técnicas'!"&amp;ADDRESS(ROW($P$9)+MATCH(C67,$O$10:$O$639,0),COLUMN($P$9))&amp;":"&amp;ADDRESS(ROW($P$9)+MATCH(C67,$O$10:$O$639,0)+COUNTIF($O$10:$O$639,C67)-1,COLUMN($P$9)))</f>
        <v>'Tablas Técnicas'!$P$457:$P$457</v>
      </c>
      <c r="E67" s="6222" t="s">
        <v>3219</v>
      </c>
      <c r="F67" s="6222" t="s">
        <v>1504</v>
      </c>
      <c r="G67" s="6221" t="s">
        <v>9805</v>
      </c>
      <c r="H67" s="6221" t="s">
        <v>1975</v>
      </c>
      <c r="I67" s="6221" t="s">
        <v>1976</v>
      </c>
      <c r="J67" s="6221" t="s">
        <v>7690</v>
      </c>
      <c r="K67" s="6221" t="s">
        <v>9822</v>
      </c>
      <c r="L67" s="2881" t="b">
        <f>IFERROR(IF(VLOOKUP(H67,$Z$25:$AA$30,2,0),TRUE,IF(VLOOKUP(I67,$Z$25:$AA$30,2,0),TRUE,IF(VLOOKUP(J67,$Z$25:$AA$30,2,0),TRUE,FALSE))),FALSE)</f>
        <v>0</v>
      </c>
      <c r="N67" s="6122"/>
      <c r="O67" s="2901" t="s">
        <v>9699</v>
      </c>
      <c r="P67" s="2879" t="s">
        <v>9729</v>
      </c>
      <c r="Q67" s="2883">
        <v>1</v>
      </c>
      <c r="R67" s="2927">
        <v>2</v>
      </c>
      <c r="S67" s="2883">
        <v>5</v>
      </c>
      <c r="T67" s="2883">
        <v>1</v>
      </c>
      <c r="U67" s="2883">
        <v>2</v>
      </c>
      <c r="V67" s="2883">
        <v>4</v>
      </c>
      <c r="W67" s="2883">
        <v>1</v>
      </c>
      <c r="X67" s="2884" t="str">
        <f>O67&amp;P67</f>
        <v>Camuflar AtaqueMedia (80)</v>
      </c>
      <c r="Z67" s="2872"/>
    </row>
    <row r="68" spans="1:26" ht="12" customHeight="1" x14ac:dyDescent="0.2">
      <c r="A68" s="6112"/>
      <c r="B68" s="6115"/>
      <c r="C68" s="6220" t="s">
        <v>9812</v>
      </c>
      <c r="D68" s="6221" t="str">
        <f>IF(ISNUMBER(FIND("&gt;&gt;",C68)),"","'Tablas Técnicas'!"&amp;ADDRESS(ROW($P$9)+MATCH(C68,$O$10:$O$639,0),COLUMN($P$9))&amp;":"&amp;ADDRESS(ROW($P$9)+MATCH(C68,$O$10:$O$639,0)+COUNTIF($O$10:$O$639,C68)-1,COLUMN($P$9)))</f>
        <v>'Tablas Técnicas'!$P$459:$P$464</v>
      </c>
      <c r="E68" s="6222" t="s">
        <v>3219</v>
      </c>
      <c r="F68" s="6222" t="s">
        <v>1840</v>
      </c>
      <c r="G68" s="6221" t="s">
        <v>9813</v>
      </c>
      <c r="H68" s="6221" t="s">
        <v>1881</v>
      </c>
      <c r="I68" s="6221" t="s">
        <v>1878</v>
      </c>
      <c r="J68" s="6221" t="s">
        <v>1980</v>
      </c>
      <c r="K68" s="6221" t="s">
        <v>9689</v>
      </c>
      <c r="L68" s="2881" t="b">
        <f>IFERROR(IF(VLOOKUP(H68,$Z$25:$AA$30,2,0),TRUE,IF(VLOOKUP(I68,$Z$25:$AA$30,2,0),TRUE,IF(VLOOKUP(J68,$Z$25:$AA$30,2,0),TRUE,FALSE))),FALSE)</f>
        <v>0</v>
      </c>
      <c r="N68" s="6122"/>
      <c r="O68" s="2901" t="s">
        <v>9699</v>
      </c>
      <c r="P68" s="2879" t="s">
        <v>9730</v>
      </c>
      <c r="Q68" s="2883">
        <v>2</v>
      </c>
      <c r="R68" s="2927">
        <v>4</v>
      </c>
      <c r="S68" s="2883">
        <v>5</v>
      </c>
      <c r="T68" s="2883">
        <v>1</v>
      </c>
      <c r="U68" s="2883">
        <v>2</v>
      </c>
      <c r="V68" s="2883">
        <v>4</v>
      </c>
      <c r="W68" s="2883">
        <v>1</v>
      </c>
      <c r="X68" s="2884" t="str">
        <f>O68&amp;P68</f>
        <v>Camuflar AtaqueDifícil (120)</v>
      </c>
      <c r="Z68" s="2872"/>
    </row>
    <row r="69" spans="1:26" ht="12" customHeight="1" x14ac:dyDescent="0.2">
      <c r="A69" s="6112"/>
      <c r="B69" s="6115"/>
      <c r="C69" s="6220" t="s">
        <v>3366</v>
      </c>
      <c r="D69" s="6221" t="str">
        <f>IF(ISNUMBER(FIND("&gt;&gt;",C69)),"","'Tablas Técnicas'!"&amp;ADDRESS(ROW($P$9)+MATCH(C69,$O$10:$O$639,0),COLUMN($P$9))&amp;":"&amp;ADDRESS(ROW($P$9)+MATCH(C69,$O$10:$O$639,0)+COUNTIF($O$10:$O$639,C69)-1,COLUMN($P$9)))</f>
        <v>'Tablas Técnicas'!$P$466:$P$475</v>
      </c>
      <c r="E69" s="6222" t="s">
        <v>3219</v>
      </c>
      <c r="F69" s="6222" t="s">
        <v>1504</v>
      </c>
      <c r="G69" s="6221" t="s">
        <v>9814</v>
      </c>
      <c r="H69" s="6221" t="s">
        <v>1980</v>
      </c>
      <c r="I69" s="6221" t="s">
        <v>7690</v>
      </c>
      <c r="J69" s="6221" t="s">
        <v>7690</v>
      </c>
      <c r="K69" s="6221" t="s">
        <v>1980</v>
      </c>
      <c r="L69" s="2881" t="b">
        <f>IFERROR(IF(VLOOKUP(H69,$Z$25:$AA$30,2,0),TRUE,IF(VLOOKUP(I69,$Z$25:$AA$30,2,0),TRUE,IF(VLOOKUP(J69,$Z$25:$AA$30,2,0),TRUE,FALSE))),FALSE)</f>
        <v>0</v>
      </c>
      <c r="N69" s="6122"/>
      <c r="O69" s="2901" t="s">
        <v>9699</v>
      </c>
      <c r="P69" s="2879" t="s">
        <v>9733</v>
      </c>
      <c r="Q69" s="2883">
        <v>3</v>
      </c>
      <c r="R69" s="2927">
        <v>5</v>
      </c>
      <c r="S69" s="2883">
        <v>5</v>
      </c>
      <c r="T69" s="2883">
        <v>1</v>
      </c>
      <c r="U69" s="2883">
        <v>2</v>
      </c>
      <c r="V69" s="2883">
        <v>4</v>
      </c>
      <c r="W69" s="2883">
        <v>1</v>
      </c>
      <c r="X69" s="2884" t="str">
        <f>O69&amp;P69</f>
        <v>Camuflar AtaqueMuy Difícil (140)</v>
      </c>
      <c r="Z69" s="2872"/>
    </row>
    <row r="70" spans="1:26" ht="12" customHeight="1" x14ac:dyDescent="0.2">
      <c r="A70" s="6112"/>
      <c r="B70" s="6115"/>
      <c r="C70" s="6220" t="s">
        <v>3726</v>
      </c>
      <c r="D70" s="6221" t="str">
        <f>IF(ISNUMBER(FIND("&gt;&gt;",C70)),"","'Tablas Técnicas'!"&amp;ADDRESS(ROW($P$9)+MATCH(C70,$O$10:$O$639,0),COLUMN($P$9))&amp;":"&amp;ADDRESS(ROW($P$9)+MATCH(C70,$O$10:$O$639,0)+COUNTIF($O$10:$O$639,C70)-1,COLUMN($P$9)))</f>
        <v>'Tablas Técnicas'!$P$477:$P$477</v>
      </c>
      <c r="E70" s="6222" t="s">
        <v>3219</v>
      </c>
      <c r="F70" s="6222" t="s">
        <v>1504</v>
      </c>
      <c r="G70" s="6221" t="s">
        <v>9815</v>
      </c>
      <c r="H70" s="6221" t="s">
        <v>1881</v>
      </c>
      <c r="I70" s="6221" t="s">
        <v>1975</v>
      </c>
      <c r="J70" s="6221" t="s">
        <v>1980</v>
      </c>
      <c r="K70" s="6221" t="s">
        <v>9703</v>
      </c>
      <c r="L70" s="2881" t="b">
        <f>IFERROR(IF(VLOOKUP(H70,$Z$25:$AA$30,2,0),TRUE,IF(VLOOKUP(I70,$Z$25:$AA$30,2,0),TRUE,IF(VLOOKUP(J70,$Z$25:$AA$30,2,0),TRUE,FALSE))),FALSE)</f>
        <v>0</v>
      </c>
      <c r="N70" s="6122"/>
      <c r="O70" s="2901" t="s">
        <v>9699</v>
      </c>
      <c r="P70" s="2879" t="s">
        <v>9735</v>
      </c>
      <c r="Q70" s="2883">
        <v>5</v>
      </c>
      <c r="R70" s="2927">
        <v>8</v>
      </c>
      <c r="S70" s="2883">
        <v>10</v>
      </c>
      <c r="T70" s="2883">
        <v>2</v>
      </c>
      <c r="U70" s="2883">
        <v>4</v>
      </c>
      <c r="V70" s="2883">
        <v>7</v>
      </c>
      <c r="W70" s="2883">
        <v>1</v>
      </c>
      <c r="X70" s="2884" t="str">
        <f>O70&amp;P70</f>
        <v>Camuflar AtaqueAbsurdo (180)</v>
      </c>
      <c r="Z70" s="2872"/>
    </row>
    <row r="71" spans="1:26" ht="12" customHeight="1" x14ac:dyDescent="0.2">
      <c r="A71" s="6112"/>
      <c r="B71" s="6115"/>
      <c r="C71" s="6220" t="s">
        <v>1961</v>
      </c>
      <c r="D71" s="6221" t="str">
        <f>IF(ISNUMBER(FIND("&gt;&gt;",C71)),"","'Tablas Técnicas'!"&amp;ADDRESS(ROW($P$9)+MATCH(C71,$O$10:$O$639,0),COLUMN($P$9))&amp;":"&amp;ADDRESS(ROW($P$9)+MATCH(C71,$O$10:$O$639,0)+COUNTIF($O$10:$O$639,C71)-1,COLUMN($P$9)))</f>
        <v>'Tablas Técnicas'!$P$479:$P$491</v>
      </c>
      <c r="E71" s="6222" t="s">
        <v>3222</v>
      </c>
      <c r="F71" s="6222" t="s">
        <v>1840</v>
      </c>
      <c r="G71" s="6221" t="s">
        <v>9816</v>
      </c>
      <c r="H71" s="6221" t="s">
        <v>1980</v>
      </c>
      <c r="I71" s="6221" t="s">
        <v>7690</v>
      </c>
      <c r="J71" s="6221" t="s">
        <v>7690</v>
      </c>
      <c r="K71" s="6221" t="s">
        <v>1980</v>
      </c>
      <c r="L71" s="2881" t="b">
        <f>IFERROR(IF(VLOOKUP(H71,$Z$25:$AA$30,2,0),TRUE,IF(VLOOKUP(I71,$Z$25:$AA$30,2,0),TRUE,IF(VLOOKUP(J71,$Z$25:$AA$30,2,0),TRUE,FALSE))),FALSE)</f>
        <v>0</v>
      </c>
      <c r="N71" s="6122"/>
      <c r="O71" s="2901" t="s">
        <v>9699</v>
      </c>
      <c r="P71" s="2879" t="s">
        <v>9738</v>
      </c>
      <c r="Q71" s="2883">
        <v>6</v>
      </c>
      <c r="R71" s="2927">
        <v>9</v>
      </c>
      <c r="S71" s="2883">
        <v>10</v>
      </c>
      <c r="T71" s="2883">
        <v>3</v>
      </c>
      <c r="U71" s="2883">
        <v>6</v>
      </c>
      <c r="V71" s="2883">
        <v>11</v>
      </c>
      <c r="W71" s="2883">
        <v>1</v>
      </c>
      <c r="X71" s="2884" t="str">
        <f>O71&amp;P71</f>
        <v>Camuflar AtaqueCasi Imposible (240)</v>
      </c>
      <c r="Z71" s="2872"/>
    </row>
    <row r="72" spans="1:26" ht="12" customHeight="1" x14ac:dyDescent="0.2">
      <c r="A72" s="6112"/>
      <c r="B72" s="6115"/>
      <c r="C72" s="6220" t="s">
        <v>3378</v>
      </c>
      <c r="D72" s="6221" t="str">
        <f>IF(ISNUMBER(FIND("&gt;&gt;",C72)),"","'Tablas Técnicas'!"&amp;ADDRESS(ROW($P$9)+MATCH(C72,$O$10:$O$639,0),COLUMN($P$9))&amp;":"&amp;ADDRESS(ROW($P$9)+MATCH(C72,$O$10:$O$639,0)+COUNTIF($O$10:$O$639,C72)-1,COLUMN($P$9)))</f>
        <v>'Tablas Técnicas'!$P$493:$P$513</v>
      </c>
      <c r="E72" s="6222" t="s">
        <v>3222</v>
      </c>
      <c r="F72" s="6222" t="s">
        <v>3710</v>
      </c>
      <c r="G72" s="6221" t="s">
        <v>9817</v>
      </c>
      <c r="H72" s="6221" t="s">
        <v>1881</v>
      </c>
      <c r="I72" s="6221" t="s">
        <v>7690</v>
      </c>
      <c r="J72" s="6221" t="s">
        <v>7690</v>
      </c>
      <c r="K72" s="6221" t="s">
        <v>1881</v>
      </c>
      <c r="L72" s="2881" t="b">
        <f>IFERROR(IF(VLOOKUP(H72,$Z$25:$AA$30,2,0),TRUE,IF(VLOOKUP(I72,$Z$25:$AA$30,2,0),TRUE,IF(VLOOKUP(J72,$Z$25:$AA$30,2,0),TRUE,FALSE))),FALSE)</f>
        <v>0</v>
      </c>
      <c r="N72" s="6122"/>
      <c r="O72" s="2901" t="s">
        <v>9699</v>
      </c>
      <c r="P72" s="2879" t="s">
        <v>9741</v>
      </c>
      <c r="Q72" s="2883">
        <v>7</v>
      </c>
      <c r="R72" s="2927">
        <v>10</v>
      </c>
      <c r="S72" s="2883">
        <v>15</v>
      </c>
      <c r="T72" s="2883">
        <v>4</v>
      </c>
      <c r="U72" s="2883">
        <v>8</v>
      </c>
      <c r="V72" s="2883">
        <v>14</v>
      </c>
      <c r="W72" s="2883">
        <v>2</v>
      </c>
      <c r="X72" s="2884" t="str">
        <f>O72&amp;P72</f>
        <v>Camuflar AtaqueImposible (280)</v>
      </c>
      <c r="Z72" s="2872"/>
    </row>
    <row r="73" spans="1:26" ht="12" customHeight="1" x14ac:dyDescent="0.2">
      <c r="A73" s="6112"/>
      <c r="B73" s="6115"/>
      <c r="C73" s="6220" t="s">
        <v>9818</v>
      </c>
      <c r="D73" s="6221" t="str">
        <f>IF(ISNUMBER(FIND("&gt;&gt;",C73)),"","'Tablas Técnicas'!"&amp;ADDRESS(ROW($P$9)+MATCH(C73,$O$10:$O$639,0),COLUMN($P$9))&amp;":"&amp;ADDRESS(ROW($P$9)+MATCH(C73,$O$10:$O$639,0)+COUNTIF($O$10:$O$639,C73)-1,COLUMN($P$9)))</f>
        <v>'Tablas Técnicas'!$P$515:$P$527</v>
      </c>
      <c r="E73" s="6222" t="s">
        <v>3222</v>
      </c>
      <c r="F73" s="6222" t="s">
        <v>1840</v>
      </c>
      <c r="G73" s="6221" t="s">
        <v>9819</v>
      </c>
      <c r="H73" s="6221" t="s">
        <v>1881</v>
      </c>
      <c r="I73" s="6221" t="s">
        <v>7690</v>
      </c>
      <c r="J73" s="6221" t="s">
        <v>7690</v>
      </c>
      <c r="K73" s="6221" t="s">
        <v>1881</v>
      </c>
      <c r="L73" s="2881" t="b">
        <f>IFERROR(IF(VLOOKUP(H73,$Z$25:$AA$30,2,0),TRUE,IF(VLOOKUP(I73,$Z$25:$AA$30,2,0),TRUE,IF(VLOOKUP(J73,$Z$25:$AA$30,2,0),TRUE,FALSE))),FALSE)</f>
        <v>0</v>
      </c>
      <c r="N73" s="6122"/>
      <c r="O73" s="2901" t="s">
        <v>9699</v>
      </c>
      <c r="P73" s="2879" t="s">
        <v>9742</v>
      </c>
      <c r="Q73" s="2883">
        <v>8</v>
      </c>
      <c r="R73" s="2927">
        <v>11</v>
      </c>
      <c r="S73" s="2883">
        <v>20</v>
      </c>
      <c r="T73" s="2883">
        <v>5</v>
      </c>
      <c r="U73" s="2883">
        <v>10</v>
      </c>
      <c r="V73" s="2883">
        <v>18</v>
      </c>
      <c r="W73" s="2883">
        <v>2</v>
      </c>
      <c r="X73" s="2884" t="str">
        <f>O73&amp;P73</f>
        <v>Camuflar AtaqueInhumano (320)</v>
      </c>
      <c r="Z73" s="2872"/>
    </row>
    <row r="74" spans="1:26" ht="12" customHeight="1" x14ac:dyDescent="0.2">
      <c r="A74" s="6112"/>
      <c r="B74" s="6115"/>
      <c r="C74" s="6220" t="s">
        <v>9820</v>
      </c>
      <c r="D74" s="6221" t="str">
        <f>IF(ISNUMBER(FIND("&gt;&gt;",C74)),"","'Tablas Técnicas'!"&amp;ADDRESS(ROW($P$9)+MATCH(C74,$O$10:$O$639,0),COLUMN($P$9))&amp;":"&amp;ADDRESS(ROW($P$9)+MATCH(C74,$O$10:$O$639,0)+COUNTIF($O$10:$O$639,C74)-1,COLUMN($P$9)))</f>
        <v>'Tablas Técnicas'!$P$529:$P$581</v>
      </c>
      <c r="E74" s="6222" t="s">
        <v>3219</v>
      </c>
      <c r="F74" s="6222" t="s">
        <v>1504</v>
      </c>
      <c r="G74" s="6221" t="s">
        <v>9821</v>
      </c>
      <c r="H74" s="6221" t="s">
        <v>1975</v>
      </c>
      <c r="I74" s="6221" t="s">
        <v>1976</v>
      </c>
      <c r="J74" s="6221" t="s">
        <v>7690</v>
      </c>
      <c r="K74" s="6221" t="s">
        <v>9822</v>
      </c>
      <c r="L74" s="2881" t="b">
        <f>IFERROR(IF(VLOOKUP(H74,$Z$25:$AA$30,2,0),TRUE,IF(VLOOKUP(I74,$Z$25:$AA$30,2,0),TRUE,IF(VLOOKUP(J74,$Z$25:$AA$30,2,0),TRUE,FALSE))),FALSE)</f>
        <v>0</v>
      </c>
      <c r="N74" s="6122"/>
      <c r="O74" s="2901" t="s">
        <v>9699</v>
      </c>
      <c r="P74" s="2879" t="s">
        <v>9744</v>
      </c>
      <c r="Q74" s="2883">
        <v>10</v>
      </c>
      <c r="R74" s="2927">
        <v>13</v>
      </c>
      <c r="S74" s="2883">
        <v>25</v>
      </c>
      <c r="T74" s="2883">
        <v>6</v>
      </c>
      <c r="U74" s="2883">
        <v>12</v>
      </c>
      <c r="V74" s="2883">
        <v>21</v>
      </c>
      <c r="W74" s="2883">
        <v>3</v>
      </c>
      <c r="X74" s="2884" t="str">
        <f>O74&amp;P74</f>
        <v>Camuflar AtaqueZen (440)</v>
      </c>
      <c r="Z74" s="2872"/>
    </row>
    <row r="75" spans="1:26" ht="12" customHeight="1" x14ac:dyDescent="0.2">
      <c r="A75" s="6112"/>
      <c r="B75" s="6115"/>
      <c r="C75" s="6220" t="s">
        <v>3388</v>
      </c>
      <c r="D75" s="6221" t="str">
        <f>IF(ISNUMBER(FIND("&gt;&gt;",C75)),"","'Tablas Técnicas'!"&amp;ADDRESS(ROW($P$9)+MATCH(C75,$O$10:$O$639,0),COLUMN($P$9))&amp;":"&amp;ADDRESS(ROW($P$9)+MATCH(C75,$O$10:$O$639,0)+COUNTIF($O$10:$O$639,C75)-1,COLUMN($P$9)))</f>
        <v>'Tablas Técnicas'!$P$583:$P$592</v>
      </c>
      <c r="E75" s="6222" t="s">
        <v>3219</v>
      </c>
      <c r="F75" s="6222" t="s">
        <v>1504</v>
      </c>
      <c r="G75" s="6221" t="s">
        <v>9724</v>
      </c>
      <c r="H75" s="6221" t="s">
        <v>1885</v>
      </c>
      <c r="I75" s="6221" t="s">
        <v>7690</v>
      </c>
      <c r="J75" s="6221" t="s">
        <v>7690</v>
      </c>
      <c r="K75" s="6221" t="s">
        <v>1885</v>
      </c>
      <c r="L75" s="2881" t="b">
        <f>IFERROR(IF(VLOOKUP(H75,$Z$25:$AA$30,2,0),TRUE,IF(VLOOKUP(I75,$Z$25:$AA$30,2,0),TRUE,IF(VLOOKUP(J75,$Z$25:$AA$30,2,0),TRUE,FALSE))),FALSE)</f>
        <v>1</v>
      </c>
      <c r="N75" s="6122"/>
      <c r="O75" s="2901" t="s">
        <v>3225</v>
      </c>
      <c r="P75" s="2879"/>
      <c r="Q75" s="2883"/>
      <c r="R75" s="2927"/>
      <c r="S75" s="2883"/>
      <c r="T75" s="2883"/>
      <c r="U75" s="2883"/>
      <c r="V75" s="2883"/>
      <c r="W75" s="2883"/>
      <c r="X75" s="2884" t="str">
        <f>O75&amp;P75</f>
        <v>&gt;&gt;EFECTOS DEFENSIVOS</v>
      </c>
      <c r="Z75" s="2872"/>
    </row>
    <row r="76" spans="1:26" ht="12" customHeight="1" x14ac:dyDescent="0.2">
      <c r="A76" s="6112"/>
      <c r="B76" s="6115"/>
      <c r="C76" s="6220" t="s">
        <v>3393</v>
      </c>
      <c r="D76" s="6221" t="str">
        <f>IF(ISNUMBER(FIND("&gt;&gt;",C76)),"","'Tablas Técnicas'!"&amp;ADDRESS(ROW($P$9)+MATCH(C76,$O$10:$O$639,0),COLUMN($P$9))&amp;":"&amp;ADDRESS(ROW($P$9)+MATCH(C76,$O$10:$O$639,0)+COUNTIF($O$10:$O$639,C76)-1,COLUMN($P$9)))</f>
        <v>'Tablas Técnicas'!$P$594:$P$603</v>
      </c>
      <c r="E76" s="6222" t="s">
        <v>3219</v>
      </c>
      <c r="F76" s="6222" t="s">
        <v>1504</v>
      </c>
      <c r="G76" s="6221" t="s">
        <v>9823</v>
      </c>
      <c r="H76" s="6221" t="s">
        <v>1881</v>
      </c>
      <c r="I76" s="6221" t="s">
        <v>1878</v>
      </c>
      <c r="J76" s="6221" t="s">
        <v>1975</v>
      </c>
      <c r="K76" s="6221" t="s">
        <v>9711</v>
      </c>
      <c r="L76" s="2881" t="b">
        <f>IFERROR(IF(VLOOKUP(H76,$Z$25:$AA$30,2,0),TRUE,IF(VLOOKUP(I76,$Z$25:$AA$30,2,0),TRUE,IF(VLOOKUP(J76,$Z$25:$AA$30,2,0),TRUE,FALSE))),FALSE)</f>
        <v>0</v>
      </c>
      <c r="N76" s="6122"/>
      <c r="O76" s="2901" t="s">
        <v>9824</v>
      </c>
      <c r="P76" s="2879"/>
      <c r="Q76" s="2883"/>
      <c r="R76" s="2927"/>
      <c r="S76" s="2883"/>
      <c r="T76" s="2883"/>
      <c r="U76" s="2883"/>
      <c r="V76" s="2883"/>
      <c r="W76" s="2883"/>
      <c r="X76" s="2884" t="str">
        <f>O76&amp;P76</f>
        <v>&gt; HABILIDAD DE PARADA</v>
      </c>
      <c r="Z76" s="2872"/>
    </row>
    <row r="77" spans="1:26" ht="12" customHeight="1" x14ac:dyDescent="0.2">
      <c r="A77" s="6112"/>
      <c r="B77" s="6115"/>
      <c r="C77" s="6220" t="s">
        <v>3397</v>
      </c>
      <c r="D77" s="6221" t="str">
        <f>IF(ISNUMBER(FIND("&gt;&gt;",C77)),"","'Tablas Técnicas'!"&amp;ADDRESS(ROW($P$9)+MATCH(C77,$O$10:$O$639,0),COLUMN($P$9))&amp;":"&amp;ADDRESS(ROW($P$9)+MATCH(C77,$O$10:$O$639,0)+COUNTIF($O$10:$O$639,C77)-1,COLUMN($P$9)))</f>
        <v>'Tablas Técnicas'!$P$605:$P$608</v>
      </c>
      <c r="E77" s="6222" t="s">
        <v>3222</v>
      </c>
      <c r="F77" s="6222" t="s">
        <v>3710</v>
      </c>
      <c r="G77" s="6221" t="s">
        <v>9825</v>
      </c>
      <c r="H77" s="6221" t="s">
        <v>1881</v>
      </c>
      <c r="I77" s="6221" t="s">
        <v>1975</v>
      </c>
      <c r="J77" s="6221" t="s">
        <v>1976</v>
      </c>
      <c r="K77" s="6221" t="s">
        <v>9826</v>
      </c>
      <c r="L77" s="2881" t="b">
        <f>IFERROR(IF(VLOOKUP(H77,$Z$25:$AA$30,2,0),TRUE,IF(VLOOKUP(I77,$Z$25:$AA$30,2,0),TRUE,IF(VLOOKUP(J77,$Z$25:$AA$30,2,0),TRUE,FALSE))),FALSE)</f>
        <v>0</v>
      </c>
      <c r="N77" s="6122"/>
      <c r="O77" s="2901" t="s">
        <v>9827</v>
      </c>
      <c r="P77" s="2879" t="s">
        <v>8285</v>
      </c>
      <c r="Q77" s="2883">
        <v>2</v>
      </c>
      <c r="R77" s="2927">
        <v>4</v>
      </c>
      <c r="S77" s="2883">
        <v>5</v>
      </c>
      <c r="T77" s="2883">
        <v>1</v>
      </c>
      <c r="U77" s="2883">
        <v>2</v>
      </c>
      <c r="V77" s="2883">
        <v>4</v>
      </c>
      <c r="W77" s="2883">
        <v>1</v>
      </c>
      <c r="X77" s="2884" t="str">
        <f>O77&amp;P77</f>
        <v>Habilidad De Parada+10</v>
      </c>
      <c r="Z77" s="2872"/>
    </row>
    <row r="78" spans="1:26" ht="12" customHeight="1" x14ac:dyDescent="0.2">
      <c r="A78" s="6112"/>
      <c r="B78" s="6115"/>
      <c r="C78" s="6220" t="s">
        <v>3402</v>
      </c>
      <c r="D78" s="6221" t="str">
        <f>IF(ISNUMBER(FIND("&gt;&gt;",C78)),"","'Tablas Técnicas'!"&amp;ADDRESS(ROW($P$9)+MATCH(C78,$O$10:$O$639,0),COLUMN($P$9))&amp;":"&amp;ADDRESS(ROW($P$9)+MATCH(C78,$O$10:$O$639,0)+COUNTIF($O$10:$O$639,C78)-1,COLUMN($P$9)))</f>
        <v>'Tablas Técnicas'!$P$610:$P$613</v>
      </c>
      <c r="E78" s="6222" t="s">
        <v>3219</v>
      </c>
      <c r="F78" s="6222" t="s">
        <v>1504</v>
      </c>
      <c r="G78" s="6221" t="s">
        <v>9805</v>
      </c>
      <c r="H78" s="6221" t="s">
        <v>1878</v>
      </c>
      <c r="I78" s="6221" t="s">
        <v>1975</v>
      </c>
      <c r="J78" s="6221" t="s">
        <v>1976</v>
      </c>
      <c r="K78" s="6221" t="s">
        <v>9716</v>
      </c>
      <c r="L78" s="2881" t="b">
        <f>IFERROR(IF(VLOOKUP(H78,$Z$25:$AA$30,2,0),TRUE,IF(VLOOKUP(I78,$Z$25:$AA$30,2,0),TRUE,IF(VLOOKUP(J78,$Z$25:$AA$30,2,0),TRUE,FALSE))),FALSE)</f>
        <v>0</v>
      </c>
      <c r="N78" s="6122"/>
      <c r="O78" s="2901" t="s">
        <v>9827</v>
      </c>
      <c r="P78" s="2879" t="s">
        <v>8439</v>
      </c>
      <c r="Q78" s="2883">
        <v>3</v>
      </c>
      <c r="R78" s="2927">
        <v>5</v>
      </c>
      <c r="S78" s="2883">
        <v>5</v>
      </c>
      <c r="T78" s="2883">
        <v>1</v>
      </c>
      <c r="U78" s="2883">
        <v>2</v>
      </c>
      <c r="V78" s="2883">
        <v>4</v>
      </c>
      <c r="W78" s="2883">
        <v>1</v>
      </c>
      <c r="X78" s="2884" t="str">
        <f>O78&amp;P78</f>
        <v>Habilidad De Parada+25</v>
      </c>
      <c r="Z78" s="2872"/>
    </row>
    <row r="79" spans="1:26" ht="12" customHeight="1" x14ac:dyDescent="0.2">
      <c r="A79" s="6112"/>
      <c r="B79" s="6115"/>
      <c r="C79" s="6220" t="s">
        <v>9828</v>
      </c>
      <c r="D79" s="6221" t="str">
        <f>IF(ISNUMBER(FIND("&gt;&gt;",C79)),"","'Tablas Técnicas'!"&amp;ADDRESS(ROW($P$9)+MATCH(C79,$O$10:$O$639,0),COLUMN($P$9))&amp;":"&amp;ADDRESS(ROW($P$9)+MATCH(C79,$O$10:$O$639,0)+COUNTIF($O$10:$O$639,C79)-1,COLUMN($P$9)))</f>
        <v>'Tablas Técnicas'!$P$615:$P$626</v>
      </c>
      <c r="E79" s="6222" t="s">
        <v>3219</v>
      </c>
      <c r="F79" s="6222" t="s">
        <v>1504</v>
      </c>
      <c r="G79" s="6221" t="s">
        <v>9829</v>
      </c>
      <c r="H79" s="6221" t="s">
        <v>1885</v>
      </c>
      <c r="I79" s="6221" t="s">
        <v>7690</v>
      </c>
      <c r="J79" s="6221" t="s">
        <v>7690</v>
      </c>
      <c r="K79" s="6221" t="s">
        <v>1885</v>
      </c>
      <c r="L79" s="2881" t="b">
        <f>IFERROR(IF(VLOOKUP(H79,$Z$25:$AA$30,2,0),TRUE,IF(VLOOKUP(I79,$Z$25:$AA$30,2,0),TRUE,IF(VLOOKUP(J79,$Z$25:$AA$30,2,0),TRUE,FALSE))),FALSE)</f>
        <v>1</v>
      </c>
      <c r="N79" s="6122"/>
      <c r="O79" s="2901" t="s">
        <v>9827</v>
      </c>
      <c r="P79" s="2879" t="s">
        <v>8287</v>
      </c>
      <c r="Q79" s="2883">
        <v>4</v>
      </c>
      <c r="R79" s="2927">
        <v>6</v>
      </c>
      <c r="S79" s="2883">
        <v>10</v>
      </c>
      <c r="T79" s="2883">
        <v>2</v>
      </c>
      <c r="U79" s="2883">
        <v>4</v>
      </c>
      <c r="V79" s="2883">
        <v>7</v>
      </c>
      <c r="W79" s="2883">
        <v>1</v>
      </c>
      <c r="X79" s="2884" t="str">
        <f>O79&amp;P79</f>
        <v>Habilidad De Parada+40</v>
      </c>
      <c r="Z79" s="2872"/>
    </row>
    <row r="80" spans="1:26" ht="12" customHeight="1" x14ac:dyDescent="0.2">
      <c r="A80" s="6112"/>
      <c r="B80" s="6115"/>
      <c r="C80" s="6220" t="s">
        <v>9830</v>
      </c>
      <c r="D80" s="6221" t="str">
        <f>IF(ISNUMBER(FIND("&gt;&gt;",C80)),"","'Tablas Técnicas'!"&amp;ADDRESS(ROW($P$9)+MATCH(C80,$O$10:$O$639,0),COLUMN($P$9))&amp;":"&amp;ADDRESS(ROW($P$9)+MATCH(C80,$O$10:$O$639,0)+COUNTIF($O$10:$O$639,C80)-1,COLUMN($P$9)))</f>
        <v>'Tablas Técnicas'!$P$628:$P$635</v>
      </c>
      <c r="E80" s="6222" t="s">
        <v>3222</v>
      </c>
      <c r="F80" s="6222" t="s">
        <v>1504</v>
      </c>
      <c r="G80" s="6221" t="s">
        <v>9829</v>
      </c>
      <c r="H80" s="6221" t="s">
        <v>1885</v>
      </c>
      <c r="I80" s="6221" t="s">
        <v>7690</v>
      </c>
      <c r="J80" s="6221" t="s">
        <v>7690</v>
      </c>
      <c r="K80" s="6221" t="s">
        <v>1885</v>
      </c>
      <c r="L80" s="2881" t="b">
        <f>IFERROR(IF(VLOOKUP(H80,$Z$25:$AA$30,2,0),TRUE,IF(VLOOKUP(I80,$Z$25:$AA$30,2,0),TRUE,IF(VLOOKUP(J80,$Z$25:$AA$30,2,0),TRUE,FALSE))),FALSE)</f>
        <v>1</v>
      </c>
      <c r="N80" s="6122"/>
      <c r="O80" s="2901" t="s">
        <v>9827</v>
      </c>
      <c r="P80" s="2879" t="s">
        <v>8288</v>
      </c>
      <c r="Q80" s="2883">
        <v>5</v>
      </c>
      <c r="R80" s="2927">
        <v>8</v>
      </c>
      <c r="S80" s="2883">
        <v>15</v>
      </c>
      <c r="T80" s="2883">
        <v>3</v>
      </c>
      <c r="U80" s="2883">
        <v>6</v>
      </c>
      <c r="V80" s="2883">
        <v>11</v>
      </c>
      <c r="W80" s="2883">
        <v>1</v>
      </c>
      <c r="X80" s="2884" t="str">
        <f>O80&amp;P80</f>
        <v>Habilidad De Parada+50</v>
      </c>
      <c r="Z80" s="2872"/>
    </row>
    <row r="81" spans="1:26" ht="12" customHeight="1" thickBot="1" x14ac:dyDescent="0.25">
      <c r="A81" s="6112"/>
      <c r="B81" s="6116"/>
      <c r="C81" s="6223" t="s">
        <v>3755</v>
      </c>
      <c r="D81" s="2887" t="str">
        <f>IF(ISNUMBER(FIND("&gt;&gt;",C81)),"","'Tablas Técnicas'!"&amp;ADDRESS(ROW($P$9)+MATCH(C81,$O$10:$O$639,0),COLUMN($P$9))&amp;":"&amp;ADDRESS(ROW($P$9)+MATCH(C81,$O$10:$O$639,0)+COUNTIF($O$10:$O$639,C81)-1,COLUMN($P$9)))</f>
        <v>'Tablas Técnicas'!$P$637:$P$639</v>
      </c>
      <c r="E81" s="2888" t="s">
        <v>3219</v>
      </c>
      <c r="F81" s="2888" t="s">
        <v>1840</v>
      </c>
      <c r="G81" s="2887" t="s">
        <v>9831</v>
      </c>
      <c r="H81" s="2887" t="s">
        <v>1881</v>
      </c>
      <c r="I81" s="2887" t="s">
        <v>1975</v>
      </c>
      <c r="J81" s="2887" t="s">
        <v>1976</v>
      </c>
      <c r="K81" s="2887" t="s">
        <v>9826</v>
      </c>
      <c r="L81" s="2889" t="b">
        <f>IFERROR(IF(VLOOKUP(H81,$Z$25:$AA$30,2,0),TRUE,IF(VLOOKUP(I81,$Z$25:$AA$30,2,0),TRUE,IF(VLOOKUP(J81,$Z$25:$AA$30,2,0),TRUE,FALSE))),FALSE)</f>
        <v>0</v>
      </c>
      <c r="N81" s="6122"/>
      <c r="O81" s="2901" t="s">
        <v>9827</v>
      </c>
      <c r="P81" s="2879" t="s">
        <v>9694</v>
      </c>
      <c r="Q81" s="2883">
        <v>9</v>
      </c>
      <c r="R81" s="2927">
        <v>12</v>
      </c>
      <c r="S81" s="2883">
        <v>20</v>
      </c>
      <c r="T81" s="2883">
        <v>4</v>
      </c>
      <c r="U81" s="2883">
        <v>8</v>
      </c>
      <c r="V81" s="2883">
        <v>14</v>
      </c>
      <c r="W81" s="2883">
        <v>1</v>
      </c>
      <c r="X81" s="2884" t="str">
        <f>O81&amp;P81</f>
        <v>Habilidad De Parada+75</v>
      </c>
      <c r="Z81" s="2872"/>
    </row>
    <row r="82" spans="1:26" ht="12" customHeight="1" thickBot="1" x14ac:dyDescent="0.25">
      <c r="A82" s="6112"/>
      <c r="B82" s="1212"/>
      <c r="C82" s="1212"/>
      <c r="E82" s="1212"/>
      <c r="N82" s="6122"/>
      <c r="O82" s="2901" t="s">
        <v>9827</v>
      </c>
      <c r="P82" s="2879" t="s">
        <v>9698</v>
      </c>
      <c r="Q82" s="2883">
        <v>12</v>
      </c>
      <c r="R82" s="2927">
        <v>15</v>
      </c>
      <c r="S82" s="2883">
        <v>25</v>
      </c>
      <c r="T82" s="2883">
        <v>5</v>
      </c>
      <c r="U82" s="2883">
        <v>10</v>
      </c>
      <c r="V82" s="2883">
        <v>18</v>
      </c>
      <c r="W82" s="2883">
        <v>1</v>
      </c>
      <c r="X82" s="2884" t="str">
        <f>O82&amp;P82</f>
        <v>Habilidad De Parada+90</v>
      </c>
      <c r="Z82" s="2872"/>
    </row>
    <row r="83" spans="1:26" ht="12" customHeight="1" x14ac:dyDescent="0.2">
      <c r="A83" s="6112"/>
      <c r="B83" s="6124"/>
      <c r="C83" s="6117" t="s">
        <v>9832</v>
      </c>
      <c r="D83" s="6117"/>
      <c r="E83" s="6118"/>
      <c r="F83"/>
      <c r="N83" s="6122"/>
      <c r="O83" s="2901" t="s">
        <v>9827</v>
      </c>
      <c r="P83" s="2879" t="s">
        <v>9701</v>
      </c>
      <c r="Q83" s="2883">
        <v>14</v>
      </c>
      <c r="R83" s="2927">
        <v>18</v>
      </c>
      <c r="S83" s="2883">
        <v>30</v>
      </c>
      <c r="T83" s="2883">
        <v>8</v>
      </c>
      <c r="U83" s="2883">
        <v>16</v>
      </c>
      <c r="V83" s="2883">
        <v>28</v>
      </c>
      <c r="W83" s="2883">
        <v>1</v>
      </c>
      <c r="X83" s="2884" t="str">
        <f>O83&amp;P83</f>
        <v>Habilidad De Parada+100</v>
      </c>
      <c r="Z83" s="2872"/>
    </row>
    <row r="84" spans="1:26" ht="12" customHeight="1" x14ac:dyDescent="0.2">
      <c r="A84" s="6112"/>
      <c r="B84" s="6125"/>
      <c r="C84" s="6119"/>
      <c r="D84" s="6119"/>
      <c r="E84" s="6120"/>
      <c r="F84"/>
      <c r="N84" s="6122"/>
      <c r="O84" s="2901" t="s">
        <v>9827</v>
      </c>
      <c r="P84" s="2879" t="s">
        <v>9702</v>
      </c>
      <c r="Q84" s="2883">
        <v>18</v>
      </c>
      <c r="R84" s="2927">
        <v>22</v>
      </c>
      <c r="S84" s="2883">
        <v>35</v>
      </c>
      <c r="T84" s="2883">
        <v>10</v>
      </c>
      <c r="U84" s="2883">
        <v>20</v>
      </c>
      <c r="V84" s="2883">
        <v>35</v>
      </c>
      <c r="W84" s="2883">
        <v>2</v>
      </c>
      <c r="X84" s="2884" t="str">
        <f>O84&amp;P84</f>
        <v>Habilidad De Parada+125</v>
      </c>
      <c r="Z84" s="2872"/>
    </row>
    <row r="85" spans="1:26" ht="12" customHeight="1" x14ac:dyDescent="0.2">
      <c r="A85" s="6112"/>
      <c r="B85" s="6125"/>
      <c r="C85" s="2875" t="s">
        <v>9674</v>
      </c>
      <c r="D85" s="2875" t="s">
        <v>9675</v>
      </c>
      <c r="E85" s="2878" t="s">
        <v>1643</v>
      </c>
      <c r="F85"/>
      <c r="N85" s="6122"/>
      <c r="O85" s="2901" t="s">
        <v>9827</v>
      </c>
      <c r="P85" s="2879" t="s">
        <v>9704</v>
      </c>
      <c r="Q85" s="2883">
        <v>22</v>
      </c>
      <c r="R85" s="2927">
        <v>26</v>
      </c>
      <c r="S85" s="2883">
        <v>40</v>
      </c>
      <c r="T85" s="2883">
        <v>12</v>
      </c>
      <c r="U85" s="2883">
        <v>24</v>
      </c>
      <c r="V85" s="2883">
        <v>42</v>
      </c>
      <c r="W85" s="2883">
        <v>2</v>
      </c>
      <c r="X85" s="2884" t="str">
        <f>O85&amp;P85</f>
        <v>Habilidad De Parada+150</v>
      </c>
      <c r="Z85" s="2872"/>
    </row>
    <row r="86" spans="1:26" ht="12" customHeight="1" x14ac:dyDescent="0.2">
      <c r="A86" s="6112"/>
      <c r="B86" s="6125"/>
      <c r="C86" s="2879" t="s">
        <v>9833</v>
      </c>
      <c r="D86" s="2879" t="str">
        <f t="shared" ref="D86:D108" si="0">IF(ISNUMBER(FIND("&gt;&gt;",C86)),"","'Tablas Técnicas'!"&amp;ADDRESS(ROW($D$113)+MATCH(C86,$C$114:$C$200,0),COLUMN($D$113))&amp;":"&amp;ADDRESS(ROW($D$113)+MATCH(C86,$C$114:$C$200,0)+COUNTIF($C$114:$C$200,C86)-1,COLUMN($D$113)))</f>
        <v>'Tablas Técnicas'!$D$115:$D$117</v>
      </c>
      <c r="E86" s="2881" t="s">
        <v>3757</v>
      </c>
      <c r="F86"/>
      <c r="N86" s="6122"/>
      <c r="O86" s="2901" t="s">
        <v>9827</v>
      </c>
      <c r="P86" s="2879" t="s">
        <v>9707</v>
      </c>
      <c r="Q86" s="2883">
        <v>26</v>
      </c>
      <c r="R86" s="2927">
        <v>32</v>
      </c>
      <c r="S86" s="2883">
        <v>45</v>
      </c>
      <c r="T86" s="2883">
        <v>14</v>
      </c>
      <c r="U86" s="2883">
        <v>28</v>
      </c>
      <c r="V86" s="2883">
        <v>49</v>
      </c>
      <c r="W86" s="2883">
        <v>3</v>
      </c>
      <c r="X86" s="2884" t="str">
        <f>O86&amp;P86</f>
        <v>Habilidad De Parada+175</v>
      </c>
      <c r="Z86" s="2872"/>
    </row>
    <row r="87" spans="1:26" ht="12" customHeight="1" x14ac:dyDescent="0.2">
      <c r="A87" s="6112"/>
      <c r="B87" s="6125"/>
      <c r="C87" s="2879" t="s">
        <v>9655</v>
      </c>
      <c r="D87" s="2879" t="str">
        <f t="shared" si="0"/>
        <v>'Tablas Técnicas'!$D$119:$D$120</v>
      </c>
      <c r="E87" s="2881" t="s">
        <v>3757</v>
      </c>
      <c r="F87"/>
      <c r="N87" s="6122"/>
      <c r="O87" s="2901" t="s">
        <v>9827</v>
      </c>
      <c r="P87" s="2879" t="s">
        <v>9709</v>
      </c>
      <c r="Q87" s="2883">
        <v>30</v>
      </c>
      <c r="R87" s="2927">
        <v>36</v>
      </c>
      <c r="S87" s="2883">
        <v>50</v>
      </c>
      <c r="T87" s="2883">
        <v>16</v>
      </c>
      <c r="U87" s="2883">
        <v>32</v>
      </c>
      <c r="V87" s="2883">
        <v>56</v>
      </c>
      <c r="W87" s="2883">
        <v>3</v>
      </c>
      <c r="X87" s="2884" t="str">
        <f>O87&amp;P87</f>
        <v>Habilidad De Parada+200</v>
      </c>
      <c r="Z87" s="2872"/>
    </row>
    <row r="88" spans="1:26" ht="12" customHeight="1" x14ac:dyDescent="0.2">
      <c r="A88" s="6112"/>
      <c r="B88" s="6125"/>
      <c r="C88" s="2879" t="s">
        <v>9834</v>
      </c>
      <c r="D88" s="2879" t="str">
        <f t="shared" si="0"/>
        <v>'Tablas Técnicas'!$D$122:$D$124</v>
      </c>
      <c r="E88" s="2881" t="s">
        <v>1504</v>
      </c>
      <c r="F88"/>
      <c r="N88" s="6122"/>
      <c r="O88" s="2901" t="s">
        <v>9835</v>
      </c>
      <c r="P88" s="2879"/>
      <c r="Q88" s="2883"/>
      <c r="R88" s="2927"/>
      <c r="S88" s="2883"/>
      <c r="T88" s="2883"/>
      <c r="U88" s="2883"/>
      <c r="V88" s="2883"/>
      <c r="W88" s="2883"/>
      <c r="X88" s="2884" t="str">
        <f>O88&amp;P88</f>
        <v>&gt; HABILIDAD DE PARADA COMPLETA</v>
      </c>
      <c r="Z88" s="2872"/>
    </row>
    <row r="89" spans="1:26" ht="12" customHeight="1" x14ac:dyDescent="0.2">
      <c r="A89" s="6112"/>
      <c r="B89" s="6125"/>
      <c r="C89" s="2879" t="s">
        <v>9836</v>
      </c>
      <c r="D89" s="2879" t="str">
        <f t="shared" si="0"/>
        <v>'Tablas Técnicas'!$D$126:$D$127</v>
      </c>
      <c r="E89" s="2881" t="s">
        <v>3757</v>
      </c>
      <c r="F89"/>
      <c r="N89" s="6122"/>
      <c r="O89" s="2901" t="s">
        <v>9837</v>
      </c>
      <c r="P89" s="2879" t="s">
        <v>8285</v>
      </c>
      <c r="Q89" s="2883">
        <v>4</v>
      </c>
      <c r="R89" s="2927">
        <v>6</v>
      </c>
      <c r="S89" s="2883">
        <v>10</v>
      </c>
      <c r="T89" s="2883">
        <v>2</v>
      </c>
      <c r="U89" s="2883">
        <v>4</v>
      </c>
      <c r="V89" s="2883">
        <v>7</v>
      </c>
      <c r="W89" s="2883">
        <v>1</v>
      </c>
      <c r="X89" s="2884" t="str">
        <f>O89&amp;P89</f>
        <v>Habilidad De Parada Completa+10</v>
      </c>
      <c r="Z89" s="2872"/>
    </row>
    <row r="90" spans="1:26" ht="12" customHeight="1" x14ac:dyDescent="0.2">
      <c r="A90" s="6112"/>
      <c r="B90" s="6125"/>
      <c r="C90" s="2879" t="s">
        <v>9838</v>
      </c>
      <c r="D90" s="2879" t="str">
        <f t="shared" si="0"/>
        <v>'Tablas Técnicas'!$D$129:$D$132</v>
      </c>
      <c r="E90" s="2881" t="s">
        <v>3757</v>
      </c>
      <c r="F90"/>
      <c r="N90" s="6122"/>
      <c r="O90" s="2901" t="s">
        <v>9837</v>
      </c>
      <c r="P90" s="2879" t="s">
        <v>8439</v>
      </c>
      <c r="Q90" s="2883">
        <v>6</v>
      </c>
      <c r="R90" s="2927">
        <v>9</v>
      </c>
      <c r="S90" s="2883">
        <v>15</v>
      </c>
      <c r="T90" s="2883">
        <v>4</v>
      </c>
      <c r="U90" s="2883">
        <v>8</v>
      </c>
      <c r="V90" s="2883">
        <v>14</v>
      </c>
      <c r="W90" s="2883">
        <v>1</v>
      </c>
      <c r="X90" s="2884" t="str">
        <f>O90&amp;P90</f>
        <v>Habilidad De Parada Completa+25</v>
      </c>
      <c r="Z90" s="2872"/>
    </row>
    <row r="91" spans="1:26" ht="12" customHeight="1" x14ac:dyDescent="0.2">
      <c r="A91" s="6112"/>
      <c r="B91" s="6125"/>
      <c r="C91" s="2879" t="s">
        <v>9839</v>
      </c>
      <c r="D91" s="2879" t="str">
        <f t="shared" si="0"/>
        <v>'Tablas Técnicas'!$D$134:$D$134</v>
      </c>
      <c r="E91" s="2881" t="s">
        <v>1504</v>
      </c>
      <c r="F91"/>
      <c r="N91" s="6122"/>
      <c r="O91" s="2901" t="s">
        <v>9837</v>
      </c>
      <c r="P91" s="2879" t="s">
        <v>8287</v>
      </c>
      <c r="Q91" s="2883">
        <v>9</v>
      </c>
      <c r="R91" s="2927">
        <v>12</v>
      </c>
      <c r="S91" s="2883">
        <v>20</v>
      </c>
      <c r="T91" s="2883">
        <v>6</v>
      </c>
      <c r="U91" s="2883">
        <v>12</v>
      </c>
      <c r="V91" s="2883">
        <v>21</v>
      </c>
      <c r="W91" s="2883">
        <v>1</v>
      </c>
      <c r="X91" s="2884" t="str">
        <f>O91&amp;P91</f>
        <v>Habilidad De Parada Completa+40</v>
      </c>
      <c r="Z91" s="2872"/>
    </row>
    <row r="92" spans="1:26" ht="12" customHeight="1" x14ac:dyDescent="0.2">
      <c r="A92" s="6112"/>
      <c r="B92" s="6125"/>
      <c r="C92" s="2879" t="s">
        <v>2470</v>
      </c>
      <c r="D92" s="2879" t="str">
        <f t="shared" si="0"/>
        <v>'Tablas Técnicas'!$D$136:$D$136</v>
      </c>
      <c r="E92" s="2881" t="s">
        <v>3757</v>
      </c>
      <c r="F92"/>
      <c r="N92" s="6122"/>
      <c r="O92" s="2901" t="s">
        <v>9837</v>
      </c>
      <c r="P92" s="2879" t="s">
        <v>8288</v>
      </c>
      <c r="Q92" s="2883">
        <v>12</v>
      </c>
      <c r="R92" s="2927">
        <v>15</v>
      </c>
      <c r="S92" s="2883">
        <v>35</v>
      </c>
      <c r="T92" s="2883">
        <v>9</v>
      </c>
      <c r="U92" s="2883">
        <v>18</v>
      </c>
      <c r="V92" s="2883">
        <v>32</v>
      </c>
      <c r="W92" s="2883">
        <v>2</v>
      </c>
      <c r="X92" s="2884" t="str">
        <f>O92&amp;P92</f>
        <v>Habilidad De Parada Completa+50</v>
      </c>
      <c r="Z92" s="2872"/>
    </row>
    <row r="93" spans="1:26" ht="12" customHeight="1" x14ac:dyDescent="0.2">
      <c r="A93" s="6112"/>
      <c r="B93" s="6125"/>
      <c r="C93" s="2879" t="s">
        <v>8333</v>
      </c>
      <c r="D93" s="2879" t="str">
        <f t="shared" si="0"/>
        <v>'Tablas Técnicas'!$D$138:$D$145</v>
      </c>
      <c r="E93" s="2881" t="s">
        <v>3757</v>
      </c>
      <c r="F93"/>
      <c r="N93" s="6122"/>
      <c r="O93" s="2901" t="s">
        <v>9837</v>
      </c>
      <c r="P93" s="2879" t="s">
        <v>9694</v>
      </c>
      <c r="Q93" s="2883">
        <v>18</v>
      </c>
      <c r="R93" s="2927">
        <v>22</v>
      </c>
      <c r="S93" s="2883">
        <v>50</v>
      </c>
      <c r="T93" s="2883">
        <v>12</v>
      </c>
      <c r="U93" s="2883">
        <v>24</v>
      </c>
      <c r="V93" s="2883">
        <v>42</v>
      </c>
      <c r="W93" s="2883">
        <v>2</v>
      </c>
      <c r="X93" s="2884" t="str">
        <f>O93&amp;P93</f>
        <v>Habilidad De Parada Completa+75</v>
      </c>
      <c r="Z93" s="2872"/>
    </row>
    <row r="94" spans="1:26" ht="12" customHeight="1" x14ac:dyDescent="0.2">
      <c r="A94" s="6112"/>
      <c r="B94" s="6125"/>
      <c r="C94" s="2879" t="s">
        <v>9657</v>
      </c>
      <c r="D94" s="2879" t="str">
        <f t="shared" si="0"/>
        <v>'Tablas Técnicas'!$D$147:$D$148</v>
      </c>
      <c r="E94" s="2881" t="s">
        <v>1504</v>
      </c>
      <c r="F94"/>
      <c r="N94" s="6122"/>
      <c r="O94" s="2901" t="s">
        <v>9837</v>
      </c>
      <c r="P94" s="2879" t="s">
        <v>9698</v>
      </c>
      <c r="Q94" s="2883">
        <v>26</v>
      </c>
      <c r="R94" s="2927">
        <v>32</v>
      </c>
      <c r="S94" s="2883">
        <v>65</v>
      </c>
      <c r="T94" s="2883">
        <v>15</v>
      </c>
      <c r="U94" s="2883">
        <v>30</v>
      </c>
      <c r="V94" s="2883">
        <v>53</v>
      </c>
      <c r="W94" s="2883">
        <v>3</v>
      </c>
      <c r="X94" s="2884" t="str">
        <f>O94&amp;P94</f>
        <v>Habilidad De Parada Completa+90</v>
      </c>
      <c r="Z94" s="2872"/>
    </row>
    <row r="95" spans="1:26" ht="12" customHeight="1" x14ac:dyDescent="0.2">
      <c r="A95" s="6112"/>
      <c r="B95" s="6125"/>
      <c r="C95" s="2879" t="s">
        <v>9840</v>
      </c>
      <c r="D95" s="2879" t="str">
        <f t="shared" si="0"/>
        <v>'Tablas Técnicas'!$D$150:$D$154</v>
      </c>
      <c r="E95" s="2881" t="s">
        <v>1840</v>
      </c>
      <c r="F95"/>
      <c r="N95" s="6122"/>
      <c r="O95" s="2901" t="s">
        <v>9837</v>
      </c>
      <c r="P95" s="2879" t="s">
        <v>9701</v>
      </c>
      <c r="Q95" s="2883">
        <v>30</v>
      </c>
      <c r="R95" s="2927">
        <v>36</v>
      </c>
      <c r="S95" s="2883">
        <v>75</v>
      </c>
      <c r="T95" s="2883">
        <v>18</v>
      </c>
      <c r="U95" s="2883">
        <v>36</v>
      </c>
      <c r="V95" s="2883">
        <v>63</v>
      </c>
      <c r="W95" s="2883">
        <v>3</v>
      </c>
      <c r="X95" s="2884" t="str">
        <f>O95&amp;P95</f>
        <v>Habilidad De Parada Completa+100</v>
      </c>
      <c r="Z95" s="2872"/>
    </row>
    <row r="96" spans="1:26" ht="12" customHeight="1" x14ac:dyDescent="0.2">
      <c r="A96" s="6112"/>
      <c r="B96" s="6125"/>
      <c r="C96" s="2879" t="s">
        <v>7892</v>
      </c>
      <c r="D96" s="2879" t="str">
        <f t="shared" si="0"/>
        <v>'Tablas Técnicas'!$D$156:$D$158</v>
      </c>
      <c r="E96" s="2881" t="s">
        <v>1504</v>
      </c>
      <c r="F96"/>
      <c r="N96" s="6122"/>
      <c r="O96" s="2901" t="s">
        <v>9841</v>
      </c>
      <c r="P96" s="2879"/>
      <c r="Q96" s="2883"/>
      <c r="R96" s="2927"/>
      <c r="S96" s="2883"/>
      <c r="T96" s="2883"/>
      <c r="U96" s="2883"/>
      <c r="V96" s="2883"/>
      <c r="W96" s="2883"/>
      <c r="X96" s="2884" t="str">
        <f>O96&amp;P96</f>
        <v>&gt; HABILIDAD DE PARADA LIMITADA</v>
      </c>
      <c r="Z96" s="2872"/>
    </row>
    <row r="97" spans="1:26" ht="12" customHeight="1" x14ac:dyDescent="0.2">
      <c r="A97" s="6112"/>
      <c r="B97" s="6125"/>
      <c r="C97" s="2879" t="s">
        <v>9842</v>
      </c>
      <c r="D97" s="2879" t="str">
        <f t="shared" si="0"/>
        <v>'Tablas Técnicas'!$D$160:$D$160</v>
      </c>
      <c r="E97" s="2881" t="s">
        <v>3757</v>
      </c>
      <c r="F97"/>
      <c r="N97" s="6122"/>
      <c r="O97" s="2901" t="s">
        <v>9843</v>
      </c>
      <c r="P97" s="2879" t="s">
        <v>8285</v>
      </c>
      <c r="Q97" s="2883">
        <v>1</v>
      </c>
      <c r="R97" s="2927">
        <v>2</v>
      </c>
      <c r="S97" s="2883">
        <v>5</v>
      </c>
      <c r="T97" s="2883">
        <v>1</v>
      </c>
      <c r="U97" s="2883">
        <v>2</v>
      </c>
      <c r="V97" s="2883">
        <v>4</v>
      </c>
      <c r="W97" s="2883">
        <v>1</v>
      </c>
      <c r="X97" s="2884" t="str">
        <f>O97&amp;P97</f>
        <v>Habilidad De Parada Limitada+10</v>
      </c>
      <c r="Z97" s="2872"/>
    </row>
    <row r="98" spans="1:26" ht="12" customHeight="1" x14ac:dyDescent="0.2">
      <c r="A98" s="6112"/>
      <c r="B98" s="6125"/>
      <c r="C98" s="2879" t="s">
        <v>9844</v>
      </c>
      <c r="D98" s="2879" t="str">
        <f t="shared" si="0"/>
        <v>'Tablas Técnicas'!$D$162:$D$162</v>
      </c>
      <c r="E98" s="2881" t="s">
        <v>3757</v>
      </c>
      <c r="F98"/>
      <c r="N98" s="6122"/>
      <c r="O98" s="2901" t="s">
        <v>9843</v>
      </c>
      <c r="P98" s="2879" t="s">
        <v>8439</v>
      </c>
      <c r="Q98" s="2883">
        <v>2</v>
      </c>
      <c r="R98" s="2927">
        <v>4</v>
      </c>
      <c r="S98" s="2883">
        <v>5</v>
      </c>
      <c r="T98" s="2883">
        <v>1</v>
      </c>
      <c r="U98" s="2883">
        <v>2</v>
      </c>
      <c r="V98" s="2883">
        <v>4</v>
      </c>
      <c r="W98" s="2883">
        <v>1</v>
      </c>
      <c r="X98" s="2884" t="str">
        <f>O98&amp;P98</f>
        <v>Habilidad De Parada Limitada+25</v>
      </c>
      <c r="Z98" s="2872"/>
    </row>
    <row r="99" spans="1:26" ht="12" customHeight="1" x14ac:dyDescent="0.2">
      <c r="A99" s="6112"/>
      <c r="B99" s="6125"/>
      <c r="C99" s="2879" t="s">
        <v>9845</v>
      </c>
      <c r="D99" s="2879" t="str">
        <f t="shared" si="0"/>
        <v>'Tablas Técnicas'!$D$164:$D$168</v>
      </c>
      <c r="E99" s="2881" t="s">
        <v>3757</v>
      </c>
      <c r="F99"/>
      <c r="N99" s="6122"/>
      <c r="O99" s="2901" t="s">
        <v>9843</v>
      </c>
      <c r="P99" s="2879" t="s">
        <v>8287</v>
      </c>
      <c r="Q99" s="2883">
        <v>3</v>
      </c>
      <c r="R99" s="2927">
        <v>5</v>
      </c>
      <c r="S99" s="2883">
        <v>10</v>
      </c>
      <c r="T99" s="2883">
        <v>1</v>
      </c>
      <c r="U99" s="2883">
        <v>2</v>
      </c>
      <c r="V99" s="2883">
        <v>4</v>
      </c>
      <c r="W99" s="2883">
        <v>1</v>
      </c>
      <c r="X99" s="2884" t="str">
        <f>O99&amp;P99</f>
        <v>Habilidad De Parada Limitada+40</v>
      </c>
      <c r="Z99" s="2872"/>
    </row>
    <row r="100" spans="1:26" ht="12" customHeight="1" x14ac:dyDescent="0.2">
      <c r="A100" s="6112"/>
      <c r="B100" s="6125"/>
      <c r="C100" s="2879" t="s">
        <v>3758</v>
      </c>
      <c r="D100" s="2879" t="str">
        <f t="shared" si="0"/>
        <v>'Tablas Técnicas'!$D$170:$D$170</v>
      </c>
      <c r="E100" s="2881" t="s">
        <v>3757</v>
      </c>
      <c r="F100"/>
      <c r="N100" s="6122"/>
      <c r="O100" s="2901" t="s">
        <v>9843</v>
      </c>
      <c r="P100" s="2879" t="s">
        <v>8288</v>
      </c>
      <c r="Q100" s="2883">
        <v>4</v>
      </c>
      <c r="R100" s="2927">
        <v>6</v>
      </c>
      <c r="S100" s="2883">
        <v>10</v>
      </c>
      <c r="T100" s="2883">
        <v>2</v>
      </c>
      <c r="U100" s="2883">
        <v>4</v>
      </c>
      <c r="V100" s="2883">
        <v>7</v>
      </c>
      <c r="W100" s="2883">
        <v>1</v>
      </c>
      <c r="X100" s="2884" t="str">
        <f>O100&amp;P100</f>
        <v>Habilidad De Parada Limitada+50</v>
      </c>
      <c r="Z100" s="2872"/>
    </row>
    <row r="101" spans="1:26" ht="12" customHeight="1" x14ac:dyDescent="0.2">
      <c r="A101" s="6112"/>
      <c r="B101" s="6125"/>
      <c r="C101" s="2879" t="s">
        <v>9846</v>
      </c>
      <c r="D101" s="2879" t="str">
        <f t="shared" si="0"/>
        <v>'Tablas Técnicas'!$D$172:$D$174</v>
      </c>
      <c r="E101" s="2881" t="s">
        <v>3757</v>
      </c>
      <c r="F101"/>
      <c r="N101" s="6122"/>
      <c r="O101" s="2901" t="s">
        <v>9843</v>
      </c>
      <c r="P101" s="2879" t="s">
        <v>9694</v>
      </c>
      <c r="Q101" s="2883">
        <v>6</v>
      </c>
      <c r="R101" s="2927">
        <v>9</v>
      </c>
      <c r="S101" s="2883">
        <v>15</v>
      </c>
      <c r="T101" s="2883">
        <v>3</v>
      </c>
      <c r="U101" s="2883">
        <v>6</v>
      </c>
      <c r="V101" s="2883">
        <v>11</v>
      </c>
      <c r="W101" s="2883">
        <v>1</v>
      </c>
      <c r="X101" s="2884" t="str">
        <f>O101&amp;P101</f>
        <v>Habilidad De Parada Limitada+75</v>
      </c>
      <c r="Z101" s="2872"/>
    </row>
    <row r="102" spans="1:26" ht="12" customHeight="1" x14ac:dyDescent="0.2">
      <c r="A102" s="6112"/>
      <c r="B102" s="6125"/>
      <c r="C102" s="2879" t="s">
        <v>9847</v>
      </c>
      <c r="D102" s="2879" t="str">
        <f t="shared" si="0"/>
        <v>'Tablas Técnicas'!$D$176:$D$177</v>
      </c>
      <c r="E102" s="2881" t="s">
        <v>3757</v>
      </c>
      <c r="F102"/>
      <c r="N102" s="6122"/>
      <c r="O102" s="2901" t="s">
        <v>9843</v>
      </c>
      <c r="P102" s="2879" t="s">
        <v>9698</v>
      </c>
      <c r="Q102" s="2883">
        <v>8</v>
      </c>
      <c r="R102" s="2927">
        <v>11</v>
      </c>
      <c r="S102" s="2883">
        <v>20</v>
      </c>
      <c r="T102" s="2883">
        <v>4</v>
      </c>
      <c r="U102" s="2883">
        <v>8</v>
      </c>
      <c r="V102" s="2883">
        <v>14</v>
      </c>
      <c r="W102" s="2883">
        <v>1</v>
      </c>
      <c r="X102" s="2884" t="str">
        <f>O102&amp;P102</f>
        <v>Habilidad De Parada Limitada+90</v>
      </c>
      <c r="Z102" s="2872"/>
    </row>
    <row r="103" spans="1:26" ht="12" customHeight="1" x14ac:dyDescent="0.2">
      <c r="A103" s="6112"/>
      <c r="B103" s="6125"/>
      <c r="C103" s="2879" t="s">
        <v>9848</v>
      </c>
      <c r="D103" s="2879" t="str">
        <f t="shared" si="0"/>
        <v>'Tablas Técnicas'!$D$179:$D$183</v>
      </c>
      <c r="E103" s="2881" t="s">
        <v>3757</v>
      </c>
      <c r="F103"/>
      <c r="N103" s="6122"/>
      <c r="O103" s="2901" t="s">
        <v>9843</v>
      </c>
      <c r="P103" s="2879" t="s">
        <v>9701</v>
      </c>
      <c r="Q103" s="2883">
        <v>10</v>
      </c>
      <c r="R103" s="2927">
        <v>13</v>
      </c>
      <c r="S103" s="2883">
        <v>25</v>
      </c>
      <c r="T103" s="2883">
        <v>6</v>
      </c>
      <c r="U103" s="2883">
        <v>12</v>
      </c>
      <c r="V103" s="2883">
        <v>21</v>
      </c>
      <c r="W103" s="2883">
        <v>1</v>
      </c>
      <c r="X103" s="2884" t="str">
        <f>O103&amp;P103</f>
        <v>Habilidad De Parada Limitada+100</v>
      </c>
      <c r="Z103" s="2872"/>
    </row>
    <row r="104" spans="1:26" ht="12" customHeight="1" x14ac:dyDescent="0.2">
      <c r="A104" s="6112"/>
      <c r="B104" s="6125"/>
      <c r="C104" s="2879" t="s">
        <v>9849</v>
      </c>
      <c r="D104" s="2879" t="str">
        <f t="shared" si="0"/>
        <v>'Tablas Técnicas'!$D$185:$D$185</v>
      </c>
      <c r="E104" s="2881" t="s">
        <v>3757</v>
      </c>
      <c r="F104"/>
      <c r="N104" s="6122"/>
      <c r="O104" s="2901" t="s">
        <v>9843</v>
      </c>
      <c r="P104" s="2879" t="s">
        <v>9702</v>
      </c>
      <c r="Q104" s="2883">
        <v>12</v>
      </c>
      <c r="R104" s="2927">
        <v>15</v>
      </c>
      <c r="S104" s="2883">
        <v>30</v>
      </c>
      <c r="T104" s="2883">
        <v>8</v>
      </c>
      <c r="U104" s="2883">
        <v>16</v>
      </c>
      <c r="V104" s="2883">
        <v>28</v>
      </c>
      <c r="W104" s="2883">
        <v>2</v>
      </c>
      <c r="X104" s="2884" t="str">
        <f>O104&amp;P104</f>
        <v>Habilidad De Parada Limitada+125</v>
      </c>
      <c r="Z104" s="2872"/>
    </row>
    <row r="105" spans="1:26" ht="12" customHeight="1" x14ac:dyDescent="0.2">
      <c r="A105" s="6112"/>
      <c r="B105" s="6125"/>
      <c r="C105" s="2879" t="s">
        <v>3759</v>
      </c>
      <c r="D105" s="2879" t="str">
        <f t="shared" si="0"/>
        <v>'Tablas Técnicas'!$D$187:$D$187</v>
      </c>
      <c r="E105" s="2881" t="s">
        <v>1504</v>
      </c>
      <c r="F105"/>
      <c r="N105" s="6122"/>
      <c r="O105" s="2901" t="s">
        <v>9843</v>
      </c>
      <c r="P105" s="2879" t="s">
        <v>9704</v>
      </c>
      <c r="Q105" s="2883">
        <v>16</v>
      </c>
      <c r="R105" s="2927">
        <v>20</v>
      </c>
      <c r="S105" s="2883">
        <v>35</v>
      </c>
      <c r="T105" s="2883">
        <v>10</v>
      </c>
      <c r="U105" s="2883">
        <v>20</v>
      </c>
      <c r="V105" s="2883">
        <v>35</v>
      </c>
      <c r="W105" s="2883">
        <v>2</v>
      </c>
      <c r="X105" s="2884" t="str">
        <f>O105&amp;P105</f>
        <v>Habilidad De Parada Limitada+150</v>
      </c>
      <c r="Z105" s="2872"/>
    </row>
    <row r="106" spans="1:26" ht="12" customHeight="1" x14ac:dyDescent="0.2">
      <c r="A106" s="6112"/>
      <c r="B106" s="6125"/>
      <c r="C106" s="2879" t="s">
        <v>3760</v>
      </c>
      <c r="D106" s="2879" t="str">
        <f t="shared" si="0"/>
        <v>'Tablas Técnicas'!$D$189:$D$190</v>
      </c>
      <c r="E106" s="2881" t="s">
        <v>3757</v>
      </c>
      <c r="F106"/>
      <c r="N106" s="6122"/>
      <c r="O106" s="2901" t="s">
        <v>9843</v>
      </c>
      <c r="P106" s="2879" t="s">
        <v>9707</v>
      </c>
      <c r="Q106" s="2883">
        <v>20</v>
      </c>
      <c r="R106" s="2927">
        <v>24</v>
      </c>
      <c r="S106" s="2883">
        <v>40</v>
      </c>
      <c r="T106" s="2883">
        <v>12</v>
      </c>
      <c r="U106" s="2883">
        <v>24</v>
      </c>
      <c r="V106" s="2883">
        <v>42</v>
      </c>
      <c r="W106" s="2883">
        <v>3</v>
      </c>
      <c r="X106" s="2884" t="str">
        <f>O106&amp;P106</f>
        <v>Habilidad De Parada Limitada+175</v>
      </c>
      <c r="Z106" s="2872"/>
    </row>
    <row r="107" spans="1:26" ht="12" customHeight="1" x14ac:dyDescent="0.2">
      <c r="A107" s="6112"/>
      <c r="B107" s="6125"/>
      <c r="C107" s="2879" t="s">
        <v>9850</v>
      </c>
      <c r="D107" s="2879" t="str">
        <f t="shared" si="0"/>
        <v>'Tablas Técnicas'!$D$192:$D$194</v>
      </c>
      <c r="E107" s="2881" t="s">
        <v>3757</v>
      </c>
      <c r="F107"/>
      <c r="N107" s="6122"/>
      <c r="O107" s="2901" t="s">
        <v>9843</v>
      </c>
      <c r="P107" s="2879" t="s">
        <v>9709</v>
      </c>
      <c r="Q107" s="2883">
        <v>24</v>
      </c>
      <c r="R107" s="2927">
        <v>29</v>
      </c>
      <c r="S107" s="2883">
        <v>45</v>
      </c>
      <c r="T107" s="2883">
        <v>14</v>
      </c>
      <c r="U107" s="2883">
        <v>28</v>
      </c>
      <c r="V107" s="2883">
        <v>49</v>
      </c>
      <c r="W107" s="2883">
        <v>3</v>
      </c>
      <c r="X107" s="2884" t="str">
        <f>O107&amp;P107</f>
        <v>Habilidad De Parada Limitada+200</v>
      </c>
      <c r="Z107" s="2872"/>
    </row>
    <row r="108" spans="1:26" ht="12" customHeight="1" thickBot="1" x14ac:dyDescent="0.25">
      <c r="A108" s="6112"/>
      <c r="B108" s="6126"/>
      <c r="C108" s="2887" t="s">
        <v>9851</v>
      </c>
      <c r="D108" s="2887" t="str">
        <f t="shared" si="0"/>
        <v>'Tablas Técnicas'!$D$196:$D$200</v>
      </c>
      <c r="E108" s="2889" t="s">
        <v>3757</v>
      </c>
      <c r="F108"/>
      <c r="N108" s="6122"/>
      <c r="O108" s="2901" t="s">
        <v>9852</v>
      </c>
      <c r="P108" s="2879"/>
      <c r="Q108" s="2883"/>
      <c r="R108" s="2927"/>
      <c r="S108" s="2883"/>
      <c r="T108" s="2883"/>
      <c r="U108" s="2883"/>
      <c r="V108" s="2883"/>
      <c r="W108" s="2883"/>
      <c r="X108" s="2884" t="str">
        <f>O108&amp;P108</f>
        <v>&gt; HABILIDAD DE ESQUIVA</v>
      </c>
      <c r="Z108" s="2872"/>
    </row>
    <row r="109" spans="1:26" ht="12" customHeight="1" thickBot="1" x14ac:dyDescent="0.25">
      <c r="A109" s="6112"/>
      <c r="C109"/>
      <c r="D109" s="2871"/>
      <c r="E109"/>
      <c r="F109"/>
      <c r="N109" s="6122"/>
      <c r="O109" s="2901" t="s">
        <v>9853</v>
      </c>
      <c r="P109" s="2879" t="s">
        <v>8285</v>
      </c>
      <c r="Q109" s="2883">
        <v>2</v>
      </c>
      <c r="R109" s="2927">
        <v>4</v>
      </c>
      <c r="S109" s="2883">
        <v>5</v>
      </c>
      <c r="T109" s="2883">
        <v>1</v>
      </c>
      <c r="U109" s="2883">
        <v>2</v>
      </c>
      <c r="V109" s="2883">
        <v>4</v>
      </c>
      <c r="W109" s="2883">
        <v>1</v>
      </c>
      <c r="X109" s="2884" t="str">
        <f>O109&amp;P109</f>
        <v>Habilidad De Esquiva+10</v>
      </c>
      <c r="Z109" s="2872"/>
    </row>
    <row r="110" spans="1:26" ht="12" customHeight="1" x14ac:dyDescent="0.2">
      <c r="A110" s="6112"/>
      <c r="B110" s="6114"/>
      <c r="C110" s="6117" t="s">
        <v>9854</v>
      </c>
      <c r="D110" s="6117"/>
      <c r="E110" s="6117"/>
      <c r="F110" s="6118"/>
      <c r="N110" s="6122"/>
      <c r="O110" s="2901" t="s">
        <v>9853</v>
      </c>
      <c r="P110" s="2879" t="s">
        <v>8439</v>
      </c>
      <c r="Q110" s="2883">
        <v>3</v>
      </c>
      <c r="R110" s="2927">
        <v>5</v>
      </c>
      <c r="S110" s="2883">
        <v>5</v>
      </c>
      <c r="T110" s="2883">
        <v>1</v>
      </c>
      <c r="U110" s="2883">
        <v>2</v>
      </c>
      <c r="V110" s="2883">
        <v>4</v>
      </c>
      <c r="W110" s="2883">
        <v>1</v>
      </c>
      <c r="X110" s="2884" t="str">
        <f>O110&amp;P110</f>
        <v>Habilidad De Esquiva+25</v>
      </c>
      <c r="Z110" s="2872"/>
    </row>
    <row r="111" spans="1:26" ht="12" customHeight="1" x14ac:dyDescent="0.2">
      <c r="A111" s="6112"/>
      <c r="B111" s="6115"/>
      <c r="C111" s="6119"/>
      <c r="D111" s="6119"/>
      <c r="E111" s="6119"/>
      <c r="F111" s="6120"/>
      <c r="N111" s="6122"/>
      <c r="O111" s="2901" t="s">
        <v>9853</v>
      </c>
      <c r="P111" s="2879" t="s">
        <v>8287</v>
      </c>
      <c r="Q111" s="2883">
        <v>4</v>
      </c>
      <c r="R111" s="2927">
        <v>6</v>
      </c>
      <c r="S111" s="2883">
        <v>10</v>
      </c>
      <c r="T111" s="2883">
        <v>2</v>
      </c>
      <c r="U111" s="2883">
        <v>4</v>
      </c>
      <c r="V111" s="2883">
        <v>7</v>
      </c>
      <c r="W111" s="2883">
        <v>1</v>
      </c>
      <c r="X111" s="2884" t="str">
        <f>O111&amp;P111</f>
        <v>Habilidad De Esquiva+40</v>
      </c>
      <c r="Z111" s="2872"/>
    </row>
    <row r="112" spans="1:26" ht="12" customHeight="1" x14ac:dyDescent="0.2">
      <c r="A112" s="6112"/>
      <c r="B112" s="6115"/>
      <c r="C112" s="2876" t="s">
        <v>9855</v>
      </c>
      <c r="D112" s="2875" t="s">
        <v>3226</v>
      </c>
      <c r="E112" s="2876" t="s">
        <v>1774</v>
      </c>
      <c r="F112" s="2878" t="s">
        <v>1676</v>
      </c>
      <c r="N112" s="6122"/>
      <c r="O112" s="2901" t="s">
        <v>9853</v>
      </c>
      <c r="P112" s="2879" t="s">
        <v>8288</v>
      </c>
      <c r="Q112" s="2883">
        <v>5</v>
      </c>
      <c r="R112" s="2927">
        <v>8</v>
      </c>
      <c r="S112" s="2883">
        <v>15</v>
      </c>
      <c r="T112" s="2883">
        <v>3</v>
      </c>
      <c r="U112" s="2883">
        <v>6</v>
      </c>
      <c r="V112" s="2883">
        <v>11</v>
      </c>
      <c r="W112" s="2883">
        <v>1</v>
      </c>
      <c r="X112" s="2884" t="str">
        <f>O112&amp;P112</f>
        <v>Habilidad De Esquiva+50</v>
      </c>
      <c r="Z112" s="2872"/>
    </row>
    <row r="113" spans="1:26" ht="12" customHeight="1" x14ac:dyDescent="0.2">
      <c r="A113" s="6112"/>
      <c r="B113" s="6115"/>
      <c r="C113" s="2876">
        <v>1</v>
      </c>
      <c r="D113" s="2875">
        <v>2</v>
      </c>
      <c r="E113" s="2876">
        <v>3</v>
      </c>
      <c r="F113" s="2878">
        <v>4</v>
      </c>
      <c r="N113" s="6122"/>
      <c r="O113" s="2901" t="s">
        <v>9853</v>
      </c>
      <c r="P113" s="2879" t="s">
        <v>9694</v>
      </c>
      <c r="Q113" s="2883">
        <v>8</v>
      </c>
      <c r="R113" s="2927">
        <v>11</v>
      </c>
      <c r="S113" s="2883">
        <v>20</v>
      </c>
      <c r="T113" s="2883">
        <v>4</v>
      </c>
      <c r="U113" s="2883">
        <v>8</v>
      </c>
      <c r="V113" s="2883">
        <v>14</v>
      </c>
      <c r="W113" s="2883">
        <v>1</v>
      </c>
      <c r="X113" s="2884" t="str">
        <f>O113&amp;P113</f>
        <v>Habilidad De Esquiva+75</v>
      </c>
      <c r="Z113" s="2872"/>
    </row>
    <row r="114" spans="1:26" ht="12" customHeight="1" x14ac:dyDescent="0.2">
      <c r="A114" s="6112"/>
      <c r="B114" s="6115"/>
      <c r="C114" s="2879" t="s">
        <v>9856</v>
      </c>
      <c r="D114" s="2879"/>
      <c r="E114" s="2880"/>
      <c r="F114" s="2890"/>
      <c r="N114" s="6122"/>
      <c r="O114" s="2901" t="s">
        <v>9853</v>
      </c>
      <c r="P114" s="2879" t="s">
        <v>9698</v>
      </c>
      <c r="Q114" s="2883">
        <v>12</v>
      </c>
      <c r="R114" s="2927">
        <v>15</v>
      </c>
      <c r="S114" s="2883">
        <v>25</v>
      </c>
      <c r="T114" s="2883">
        <v>5</v>
      </c>
      <c r="U114" s="2883">
        <v>10</v>
      </c>
      <c r="V114" s="2883">
        <v>18</v>
      </c>
      <c r="W114" s="2883">
        <v>1</v>
      </c>
      <c r="X114" s="2884" t="str">
        <f>O114&amp;P114</f>
        <v>Habilidad De Esquiva+90</v>
      </c>
      <c r="Z114" s="2872"/>
    </row>
    <row r="115" spans="1:26" ht="12" customHeight="1" x14ac:dyDescent="0.2">
      <c r="A115" s="6112"/>
      <c r="B115" s="6115"/>
      <c r="C115" s="2879" t="s">
        <v>9833</v>
      </c>
      <c r="D115" s="2879" t="s">
        <v>9857</v>
      </c>
      <c r="E115" s="2880">
        <v>-5</v>
      </c>
      <c r="F115" s="2890">
        <v>1</v>
      </c>
      <c r="N115" s="6122"/>
      <c r="O115" s="2901" t="s">
        <v>9853</v>
      </c>
      <c r="P115" s="2879" t="s">
        <v>9701</v>
      </c>
      <c r="Q115" s="2883">
        <v>14</v>
      </c>
      <c r="R115" s="2927">
        <v>18</v>
      </c>
      <c r="S115" s="2883">
        <v>30</v>
      </c>
      <c r="T115" s="2883">
        <v>8</v>
      </c>
      <c r="U115" s="2883">
        <v>16</v>
      </c>
      <c r="V115" s="2883">
        <v>28</v>
      </c>
      <c r="W115" s="2883">
        <v>1</v>
      </c>
      <c r="X115" s="2884" t="str">
        <f>O115&amp;P115</f>
        <v>Habilidad De Esquiva+100</v>
      </c>
      <c r="Z115" s="2872"/>
    </row>
    <row r="116" spans="1:26" ht="12" customHeight="1" x14ac:dyDescent="0.2">
      <c r="A116" s="6112"/>
      <c r="B116" s="6115"/>
      <c r="C116" s="2879" t="s">
        <v>9833</v>
      </c>
      <c r="D116" s="2879" t="s">
        <v>9858</v>
      </c>
      <c r="E116" s="2880">
        <v>-10</v>
      </c>
      <c r="F116" s="2890">
        <v>1</v>
      </c>
      <c r="N116" s="6122"/>
      <c r="O116" s="2901" t="s">
        <v>9853</v>
      </c>
      <c r="P116" s="2879" t="s">
        <v>9702</v>
      </c>
      <c r="Q116" s="2883">
        <v>18</v>
      </c>
      <c r="R116" s="2927">
        <v>22</v>
      </c>
      <c r="S116" s="2883">
        <v>35</v>
      </c>
      <c r="T116" s="2883">
        <v>10</v>
      </c>
      <c r="U116" s="2883">
        <v>20</v>
      </c>
      <c r="V116" s="2883">
        <v>35</v>
      </c>
      <c r="W116" s="2883">
        <v>2</v>
      </c>
      <c r="X116" s="2884" t="str">
        <f>O116&amp;P116</f>
        <v>Habilidad De Esquiva+125</v>
      </c>
      <c r="Z116" s="2872"/>
    </row>
    <row r="117" spans="1:26" ht="12" customHeight="1" x14ac:dyDescent="0.2">
      <c r="A117" s="6112"/>
      <c r="B117" s="6115"/>
      <c r="C117" s="2879" t="s">
        <v>9833</v>
      </c>
      <c r="D117" s="2879" t="s">
        <v>9859</v>
      </c>
      <c r="E117" s="2880">
        <v>-15</v>
      </c>
      <c r="F117" s="2890">
        <v>2</v>
      </c>
      <c r="N117" s="6122"/>
      <c r="O117" s="2901" t="s">
        <v>9853</v>
      </c>
      <c r="P117" s="2879" t="s">
        <v>9704</v>
      </c>
      <c r="Q117" s="2883">
        <v>22</v>
      </c>
      <c r="R117" s="2927">
        <v>26</v>
      </c>
      <c r="S117" s="2883">
        <v>40</v>
      </c>
      <c r="T117" s="2883">
        <v>12</v>
      </c>
      <c r="U117" s="2883">
        <v>24</v>
      </c>
      <c r="V117" s="2883">
        <v>42</v>
      </c>
      <c r="W117" s="2883">
        <v>2</v>
      </c>
      <c r="X117" s="2884" t="str">
        <f>O117&amp;P117</f>
        <v>Habilidad De Esquiva+150</v>
      </c>
      <c r="Z117" s="2872"/>
    </row>
    <row r="118" spans="1:26" ht="12" customHeight="1" x14ac:dyDescent="0.2">
      <c r="A118" s="6112"/>
      <c r="B118" s="6115"/>
      <c r="C118" s="2879" t="s">
        <v>9860</v>
      </c>
      <c r="D118" s="2879"/>
      <c r="E118" s="2880"/>
      <c r="F118" s="2890"/>
      <c r="N118" s="6122"/>
      <c r="O118" s="2901" t="s">
        <v>9853</v>
      </c>
      <c r="P118" s="2879" t="s">
        <v>9707</v>
      </c>
      <c r="Q118" s="2883">
        <v>26</v>
      </c>
      <c r="R118" s="2927">
        <v>32</v>
      </c>
      <c r="S118" s="2883">
        <v>45</v>
      </c>
      <c r="T118" s="2883">
        <v>14</v>
      </c>
      <c r="U118" s="2883">
        <v>28</v>
      </c>
      <c r="V118" s="2883">
        <v>49</v>
      </c>
      <c r="W118" s="2883">
        <v>3</v>
      </c>
      <c r="X118" s="2884" t="str">
        <f>O118&amp;P118</f>
        <v>Habilidad De Esquiva+175</v>
      </c>
      <c r="Z118" s="2872"/>
    </row>
    <row r="119" spans="1:26" ht="12" customHeight="1" x14ac:dyDescent="0.2">
      <c r="A119" s="6112"/>
      <c r="B119" s="6115"/>
      <c r="C119" s="2879" t="s">
        <v>9655</v>
      </c>
      <c r="D119" s="2879" t="s">
        <v>9861</v>
      </c>
      <c r="E119" s="2880">
        <v>-15</v>
      </c>
      <c r="F119" s="2890">
        <v>1</v>
      </c>
      <c r="N119" s="6122"/>
      <c r="O119" s="2901" t="s">
        <v>9853</v>
      </c>
      <c r="P119" s="2879" t="s">
        <v>9709</v>
      </c>
      <c r="Q119" s="2883">
        <v>30</v>
      </c>
      <c r="R119" s="2927">
        <v>36</v>
      </c>
      <c r="S119" s="2883">
        <v>50</v>
      </c>
      <c r="T119" s="2883">
        <v>16</v>
      </c>
      <c r="U119" s="2883">
        <v>32</v>
      </c>
      <c r="V119" s="2883">
        <v>56</v>
      </c>
      <c r="W119" s="2883">
        <v>3</v>
      </c>
      <c r="X119" s="2884" t="str">
        <f>O119&amp;P119</f>
        <v>Habilidad De Esquiva+200</v>
      </c>
      <c r="Z119" s="2872"/>
    </row>
    <row r="120" spans="1:26" ht="12" customHeight="1" x14ac:dyDescent="0.2">
      <c r="A120" s="6112"/>
      <c r="B120" s="6115"/>
      <c r="C120" s="2879" t="s">
        <v>9655</v>
      </c>
      <c r="D120" s="2879" t="s">
        <v>9656</v>
      </c>
      <c r="E120" s="2880">
        <v>-10</v>
      </c>
      <c r="F120" s="2890">
        <v>1</v>
      </c>
      <c r="N120" s="6122"/>
      <c r="O120" s="2901" t="s">
        <v>9862</v>
      </c>
      <c r="P120" s="2879"/>
      <c r="Q120" s="2883"/>
      <c r="R120" s="2927"/>
      <c r="S120" s="2883"/>
      <c r="T120" s="2883"/>
      <c r="U120" s="2883"/>
      <c r="V120" s="2883"/>
      <c r="W120" s="2883"/>
      <c r="X120" s="2884" t="str">
        <f>O120&amp;P120</f>
        <v>&gt; HABILIDAD DE ESQUIVA COMPLETA</v>
      </c>
      <c r="Z120" s="2872"/>
    </row>
    <row r="121" spans="1:26" ht="12" customHeight="1" x14ac:dyDescent="0.2">
      <c r="A121" s="6112"/>
      <c r="B121" s="6115"/>
      <c r="C121" s="2879" t="s">
        <v>9863</v>
      </c>
      <c r="D121" s="2879"/>
      <c r="E121" s="2880"/>
      <c r="F121" s="2890"/>
      <c r="N121" s="6122"/>
      <c r="O121" s="2901" t="s">
        <v>9864</v>
      </c>
      <c r="P121" s="2879" t="s">
        <v>8285</v>
      </c>
      <c r="Q121" s="2883">
        <v>4</v>
      </c>
      <c r="R121" s="2927">
        <v>6</v>
      </c>
      <c r="S121" s="2883">
        <v>10</v>
      </c>
      <c r="T121" s="2883">
        <v>2</v>
      </c>
      <c r="U121" s="2883">
        <v>4</v>
      </c>
      <c r="V121" s="2883">
        <v>7</v>
      </c>
      <c r="W121" s="2883">
        <v>1</v>
      </c>
      <c r="X121" s="2884" t="str">
        <f>O121&amp;P121</f>
        <v>Habilidad De Esquiva Completa+10</v>
      </c>
      <c r="Z121" s="2872"/>
    </row>
    <row r="122" spans="1:26" ht="12" customHeight="1" x14ac:dyDescent="0.2">
      <c r="A122" s="6112"/>
      <c r="B122" s="6115"/>
      <c r="C122" s="2879" t="s">
        <v>9834</v>
      </c>
      <c r="D122" s="2879" t="s">
        <v>9865</v>
      </c>
      <c r="E122" s="2880">
        <v>-10</v>
      </c>
      <c r="F122" s="2890">
        <v>1</v>
      </c>
      <c r="N122" s="6122"/>
      <c r="O122" s="2901" t="s">
        <v>9864</v>
      </c>
      <c r="P122" s="2879" t="s">
        <v>8439</v>
      </c>
      <c r="Q122" s="2883">
        <v>6</v>
      </c>
      <c r="R122" s="2927">
        <v>9</v>
      </c>
      <c r="S122" s="2883">
        <v>15</v>
      </c>
      <c r="T122" s="2883">
        <v>4</v>
      </c>
      <c r="U122" s="2883">
        <v>8</v>
      </c>
      <c r="V122" s="2883">
        <v>14</v>
      </c>
      <c r="W122" s="2883">
        <v>1</v>
      </c>
      <c r="X122" s="2884" t="str">
        <f>O122&amp;P122</f>
        <v>Habilidad De Esquiva Completa+25</v>
      </c>
      <c r="Z122" s="2872"/>
    </row>
    <row r="123" spans="1:26" ht="12" customHeight="1" x14ac:dyDescent="0.2">
      <c r="A123" s="6112"/>
      <c r="B123" s="6115"/>
      <c r="C123" s="2879" t="s">
        <v>9834</v>
      </c>
      <c r="D123" s="2879" t="s">
        <v>9866</v>
      </c>
      <c r="E123" s="2880">
        <v>-10</v>
      </c>
      <c r="F123" s="2890">
        <v>1</v>
      </c>
      <c r="N123" s="6122"/>
      <c r="O123" s="2901" t="s">
        <v>9864</v>
      </c>
      <c r="P123" s="2879" t="s">
        <v>8287</v>
      </c>
      <c r="Q123" s="2883">
        <v>9</v>
      </c>
      <c r="R123" s="2927">
        <v>12</v>
      </c>
      <c r="S123" s="2883">
        <v>20</v>
      </c>
      <c r="T123" s="2883">
        <v>6</v>
      </c>
      <c r="U123" s="2883">
        <v>12</v>
      </c>
      <c r="V123" s="2883">
        <v>21</v>
      </c>
      <c r="W123" s="2883">
        <v>1</v>
      </c>
      <c r="X123" s="2884" t="str">
        <f>O123&amp;P123</f>
        <v>Habilidad De Esquiva Completa+40</v>
      </c>
      <c r="Z123" s="2872"/>
    </row>
    <row r="124" spans="1:26" ht="12" customHeight="1" x14ac:dyDescent="0.2">
      <c r="A124" s="6112"/>
      <c r="B124" s="6115"/>
      <c r="C124" s="2879" t="s">
        <v>9834</v>
      </c>
      <c r="D124" s="2879" t="s">
        <v>1961</v>
      </c>
      <c r="E124" s="2880">
        <v>-10</v>
      </c>
      <c r="F124" s="2890">
        <v>1</v>
      </c>
      <c r="N124" s="6122"/>
      <c r="O124" s="2901" t="s">
        <v>9864</v>
      </c>
      <c r="P124" s="2879" t="s">
        <v>8288</v>
      </c>
      <c r="Q124" s="2883">
        <v>12</v>
      </c>
      <c r="R124" s="2927">
        <v>15</v>
      </c>
      <c r="S124" s="2883">
        <v>35</v>
      </c>
      <c r="T124" s="2883">
        <v>9</v>
      </c>
      <c r="U124" s="2883">
        <v>18</v>
      </c>
      <c r="V124" s="2883">
        <v>32</v>
      </c>
      <c r="W124" s="2883">
        <v>2</v>
      </c>
      <c r="X124" s="2884" t="str">
        <f>O124&amp;P124</f>
        <v>Habilidad De Esquiva Completa+50</v>
      </c>
      <c r="Z124" s="2872"/>
    </row>
    <row r="125" spans="1:26" ht="12" customHeight="1" x14ac:dyDescent="0.2">
      <c r="A125" s="6112"/>
      <c r="B125" s="6115"/>
      <c r="C125" s="2879" t="s">
        <v>9867</v>
      </c>
      <c r="D125" s="2879"/>
      <c r="E125" s="2880"/>
      <c r="F125" s="2890"/>
      <c r="N125" s="6122"/>
      <c r="O125" s="2901" t="s">
        <v>9864</v>
      </c>
      <c r="P125" s="2879" t="s">
        <v>9694</v>
      </c>
      <c r="Q125" s="2883">
        <v>18</v>
      </c>
      <c r="R125" s="2927">
        <v>22</v>
      </c>
      <c r="S125" s="2883">
        <v>50</v>
      </c>
      <c r="T125" s="2883">
        <v>12</v>
      </c>
      <c r="U125" s="2883">
        <v>24</v>
      </c>
      <c r="V125" s="2883">
        <v>42</v>
      </c>
      <c r="W125" s="2883">
        <v>2</v>
      </c>
      <c r="X125" s="2884" t="str">
        <f>O125&amp;P125</f>
        <v>Habilidad De Esquiva Completa+75</v>
      </c>
      <c r="Z125" s="2872"/>
    </row>
    <row r="126" spans="1:26" ht="12" customHeight="1" x14ac:dyDescent="0.2">
      <c r="A126" s="6112"/>
      <c r="B126" s="6115"/>
      <c r="C126" s="2879" t="s">
        <v>9836</v>
      </c>
      <c r="D126" s="2879" t="s">
        <v>9868</v>
      </c>
      <c r="E126" s="2880">
        <v>-5</v>
      </c>
      <c r="F126" s="2890">
        <v>1</v>
      </c>
      <c r="N126" s="6122"/>
      <c r="O126" s="2901" t="s">
        <v>9864</v>
      </c>
      <c r="P126" s="2879" t="s">
        <v>9698</v>
      </c>
      <c r="Q126" s="2883">
        <v>26</v>
      </c>
      <c r="R126" s="2927">
        <v>32</v>
      </c>
      <c r="S126" s="2883">
        <v>65</v>
      </c>
      <c r="T126" s="2883">
        <v>15</v>
      </c>
      <c r="U126" s="2883">
        <v>30</v>
      </c>
      <c r="V126" s="2883">
        <v>53</v>
      </c>
      <c r="W126" s="2883">
        <v>3</v>
      </c>
      <c r="X126" s="2884" t="str">
        <f>O126&amp;P126</f>
        <v>Habilidad De Esquiva Completa+90</v>
      </c>
      <c r="Z126" s="2872"/>
    </row>
    <row r="127" spans="1:26" ht="12" customHeight="1" x14ac:dyDescent="0.2">
      <c r="A127" s="6112"/>
      <c r="B127" s="6115"/>
      <c r="C127" s="2879" t="s">
        <v>9836</v>
      </c>
      <c r="D127" s="2879" t="s">
        <v>9869</v>
      </c>
      <c r="E127" s="2880">
        <v>-10</v>
      </c>
      <c r="F127" s="2890">
        <v>1</v>
      </c>
      <c r="N127" s="6122"/>
      <c r="O127" s="2901" t="s">
        <v>9864</v>
      </c>
      <c r="P127" s="2879" t="s">
        <v>9701</v>
      </c>
      <c r="Q127" s="2883">
        <v>30</v>
      </c>
      <c r="R127" s="2927">
        <v>36</v>
      </c>
      <c r="S127" s="2883">
        <v>75</v>
      </c>
      <c r="T127" s="2883">
        <v>18</v>
      </c>
      <c r="U127" s="2883">
        <v>36</v>
      </c>
      <c r="V127" s="2883">
        <v>63</v>
      </c>
      <c r="W127" s="2883">
        <v>3</v>
      </c>
      <c r="X127" s="2884" t="str">
        <f>O127&amp;P127</f>
        <v>Habilidad De Esquiva Completa+100</v>
      </c>
      <c r="Z127" s="2872"/>
    </row>
    <row r="128" spans="1:26" ht="12" customHeight="1" x14ac:dyDescent="0.2">
      <c r="A128" s="6112"/>
      <c r="B128" s="6115"/>
      <c r="C128" s="2879" t="s">
        <v>9870</v>
      </c>
      <c r="D128" s="2879"/>
      <c r="E128" s="2880"/>
      <c r="F128" s="2890"/>
      <c r="N128" s="6122"/>
      <c r="O128" s="2901" t="s">
        <v>9871</v>
      </c>
      <c r="P128" s="2879"/>
      <c r="Q128" s="2883"/>
      <c r="R128" s="2927"/>
      <c r="S128" s="2883"/>
      <c r="T128" s="2883"/>
      <c r="U128" s="2883"/>
      <c r="V128" s="2883"/>
      <c r="W128" s="2883"/>
      <c r="X128" s="2884" t="str">
        <f>O128&amp;P128</f>
        <v>&gt; HABILIDAD DE ESQUIVA LIMITADA</v>
      </c>
      <c r="Z128" s="2872"/>
    </row>
    <row r="129" spans="1:26" ht="12" customHeight="1" x14ac:dyDescent="0.2">
      <c r="A129" s="6112"/>
      <c r="B129" s="6115"/>
      <c r="C129" s="2879" t="s">
        <v>9838</v>
      </c>
      <c r="D129" s="2879" t="s">
        <v>9872</v>
      </c>
      <c r="E129" s="2880">
        <v>-10</v>
      </c>
      <c r="F129" s="2890">
        <v>1</v>
      </c>
      <c r="N129" s="6122"/>
      <c r="O129" s="2901" t="s">
        <v>9873</v>
      </c>
      <c r="P129" s="2879" t="s">
        <v>8285</v>
      </c>
      <c r="Q129" s="2883">
        <v>1</v>
      </c>
      <c r="R129" s="2927">
        <v>2</v>
      </c>
      <c r="S129" s="2883">
        <v>5</v>
      </c>
      <c r="T129" s="2883">
        <v>1</v>
      </c>
      <c r="U129" s="2883">
        <v>2</v>
      </c>
      <c r="V129" s="2883">
        <v>4</v>
      </c>
      <c r="W129" s="2883">
        <v>1</v>
      </c>
      <c r="X129" s="2884" t="str">
        <f>O129&amp;P129</f>
        <v>Habilidad De Esquiva Limitada+10</v>
      </c>
      <c r="Z129" s="2872"/>
    </row>
    <row r="130" spans="1:26" ht="12" customHeight="1" x14ac:dyDescent="0.2">
      <c r="A130" s="6112"/>
      <c r="B130" s="6115"/>
      <c r="C130" s="2879" t="s">
        <v>9838</v>
      </c>
      <c r="D130" s="2879" t="s">
        <v>9874</v>
      </c>
      <c r="E130" s="2880">
        <v>-15</v>
      </c>
      <c r="F130" s="2890">
        <v>1</v>
      </c>
      <c r="N130" s="6122"/>
      <c r="O130" s="2901" t="s">
        <v>9873</v>
      </c>
      <c r="P130" s="2879" t="s">
        <v>8439</v>
      </c>
      <c r="Q130" s="2883">
        <v>2</v>
      </c>
      <c r="R130" s="2927">
        <v>4</v>
      </c>
      <c r="S130" s="2883">
        <v>5</v>
      </c>
      <c r="T130" s="2883">
        <v>1</v>
      </c>
      <c r="U130" s="2883">
        <v>2</v>
      </c>
      <c r="V130" s="2883">
        <v>4</v>
      </c>
      <c r="W130" s="2883">
        <v>1</v>
      </c>
      <c r="X130" s="2884" t="str">
        <f>O130&amp;P130</f>
        <v>Habilidad De Esquiva Limitada+25</v>
      </c>
      <c r="Z130" s="2872"/>
    </row>
    <row r="131" spans="1:26" ht="12" customHeight="1" x14ac:dyDescent="0.2">
      <c r="A131" s="6112"/>
      <c r="B131" s="6115"/>
      <c r="C131" s="2879" t="s">
        <v>9838</v>
      </c>
      <c r="D131" s="2879" t="s">
        <v>9875</v>
      </c>
      <c r="E131" s="2880">
        <v>-25</v>
      </c>
      <c r="F131" s="2890">
        <v>2</v>
      </c>
      <c r="N131" s="6122"/>
      <c r="O131" s="2901" t="s">
        <v>9873</v>
      </c>
      <c r="P131" s="2879" t="s">
        <v>8287</v>
      </c>
      <c r="Q131" s="2883">
        <v>3</v>
      </c>
      <c r="R131" s="2927">
        <v>5</v>
      </c>
      <c r="S131" s="2883">
        <v>10</v>
      </c>
      <c r="T131" s="2883">
        <v>1</v>
      </c>
      <c r="U131" s="2883">
        <v>2</v>
      </c>
      <c r="V131" s="2883">
        <v>4</v>
      </c>
      <c r="W131" s="2883">
        <v>1</v>
      </c>
      <c r="X131" s="2884" t="str">
        <f>O131&amp;P131</f>
        <v>Habilidad De Esquiva Limitada+40</v>
      </c>
      <c r="Z131" s="2872"/>
    </row>
    <row r="132" spans="1:26" ht="12" customHeight="1" x14ac:dyDescent="0.2">
      <c r="A132" s="6112"/>
      <c r="B132" s="6115"/>
      <c r="C132" s="2879" t="s">
        <v>9838</v>
      </c>
      <c r="D132" s="2879" t="s">
        <v>9876</v>
      </c>
      <c r="E132" s="2880">
        <v>-10</v>
      </c>
      <c r="F132" s="2890">
        <v>1</v>
      </c>
      <c r="N132" s="6122"/>
      <c r="O132" s="2901" t="s">
        <v>9873</v>
      </c>
      <c r="P132" s="2879" t="s">
        <v>8288</v>
      </c>
      <c r="Q132" s="2883">
        <v>4</v>
      </c>
      <c r="R132" s="2927">
        <v>6</v>
      </c>
      <c r="S132" s="2883">
        <v>10</v>
      </c>
      <c r="T132" s="2883">
        <v>2</v>
      </c>
      <c r="U132" s="2883">
        <v>4</v>
      </c>
      <c r="V132" s="2883">
        <v>7</v>
      </c>
      <c r="W132" s="2883">
        <v>1</v>
      </c>
      <c r="X132" s="2884" t="str">
        <f>O132&amp;P132</f>
        <v>Habilidad De Esquiva Limitada+50</v>
      </c>
      <c r="Z132" s="2872"/>
    </row>
    <row r="133" spans="1:26" ht="12" customHeight="1" x14ac:dyDescent="0.2">
      <c r="A133" s="6112"/>
      <c r="B133" s="6115"/>
      <c r="C133" s="2879" t="s">
        <v>9877</v>
      </c>
      <c r="D133" s="2879"/>
      <c r="E133" s="2880"/>
      <c r="F133" s="2890"/>
      <c r="N133" s="6122"/>
      <c r="O133" s="2901" t="s">
        <v>9873</v>
      </c>
      <c r="P133" s="2879" t="s">
        <v>9694</v>
      </c>
      <c r="Q133" s="2883">
        <v>6</v>
      </c>
      <c r="R133" s="2927">
        <v>9</v>
      </c>
      <c r="S133" s="2883">
        <v>15</v>
      </c>
      <c r="T133" s="2883">
        <v>3</v>
      </c>
      <c r="U133" s="2883">
        <v>6</v>
      </c>
      <c r="V133" s="2883">
        <v>11</v>
      </c>
      <c r="W133" s="2883">
        <v>1</v>
      </c>
      <c r="X133" s="2884" t="str">
        <f>O133&amp;P133</f>
        <v>Habilidad De Esquiva Limitada+75</v>
      </c>
      <c r="Z133" s="2872"/>
    </row>
    <row r="134" spans="1:26" ht="12" customHeight="1" x14ac:dyDescent="0.2">
      <c r="A134" s="6112"/>
      <c r="B134" s="6115"/>
      <c r="C134" s="2879" t="s">
        <v>9839</v>
      </c>
      <c r="D134" s="2879"/>
      <c r="E134" s="2880">
        <v>-5</v>
      </c>
      <c r="F134" s="2890">
        <v>1</v>
      </c>
      <c r="N134" s="6122"/>
      <c r="O134" s="2901" t="s">
        <v>9873</v>
      </c>
      <c r="P134" s="2879" t="s">
        <v>9698</v>
      </c>
      <c r="Q134" s="2883">
        <v>8</v>
      </c>
      <c r="R134" s="2927">
        <v>11</v>
      </c>
      <c r="S134" s="2883">
        <v>20</v>
      </c>
      <c r="T134" s="2883">
        <v>4</v>
      </c>
      <c r="U134" s="2883">
        <v>8</v>
      </c>
      <c r="V134" s="2883">
        <v>14</v>
      </c>
      <c r="W134" s="2883">
        <v>1</v>
      </c>
      <c r="X134" s="2884" t="str">
        <f>O134&amp;P134</f>
        <v>Habilidad De Esquiva Limitada+90</v>
      </c>
      <c r="Z134" s="2872"/>
    </row>
    <row r="135" spans="1:26" ht="12" customHeight="1" x14ac:dyDescent="0.2">
      <c r="A135" s="6112"/>
      <c r="B135" s="6115"/>
      <c r="C135" s="2879" t="s">
        <v>9878</v>
      </c>
      <c r="D135" s="2879"/>
      <c r="E135" s="2880"/>
      <c r="F135" s="2890"/>
      <c r="N135" s="6122"/>
      <c r="O135" s="2901" t="s">
        <v>9873</v>
      </c>
      <c r="P135" s="2879" t="s">
        <v>9701</v>
      </c>
      <c r="Q135" s="2883">
        <v>10</v>
      </c>
      <c r="R135" s="2927">
        <v>13</v>
      </c>
      <c r="S135" s="2883">
        <v>25</v>
      </c>
      <c r="T135" s="2883">
        <v>6</v>
      </c>
      <c r="U135" s="2883">
        <v>12</v>
      </c>
      <c r="V135" s="2883">
        <v>21</v>
      </c>
      <c r="W135" s="2883">
        <v>1</v>
      </c>
      <c r="X135" s="2884" t="str">
        <f>O135&amp;P135</f>
        <v>Habilidad De Esquiva Limitada+100</v>
      </c>
      <c r="Z135" s="2872"/>
    </row>
    <row r="136" spans="1:26" ht="12" customHeight="1" x14ac:dyDescent="0.2">
      <c r="A136" s="6112"/>
      <c r="B136" s="6115"/>
      <c r="C136" s="2879" t="s">
        <v>2470</v>
      </c>
      <c r="D136" s="2879"/>
      <c r="E136" s="2880">
        <v>-5</v>
      </c>
      <c r="F136" s="2890">
        <v>2</v>
      </c>
      <c r="N136" s="6122"/>
      <c r="O136" s="2901" t="s">
        <v>9873</v>
      </c>
      <c r="P136" s="2879" t="s">
        <v>9702</v>
      </c>
      <c r="Q136" s="2883">
        <v>12</v>
      </c>
      <c r="R136" s="2927">
        <v>15</v>
      </c>
      <c r="S136" s="2883">
        <v>30</v>
      </c>
      <c r="T136" s="2883">
        <v>8</v>
      </c>
      <c r="U136" s="2883">
        <v>16</v>
      </c>
      <c r="V136" s="2883">
        <v>28</v>
      </c>
      <c r="W136" s="2883">
        <v>2</v>
      </c>
      <c r="X136" s="2884" t="str">
        <f>O136&amp;P136</f>
        <v>Habilidad De Esquiva Limitada+125</v>
      </c>
      <c r="Z136" s="2872"/>
    </row>
    <row r="137" spans="1:26" ht="12" customHeight="1" x14ac:dyDescent="0.2">
      <c r="A137" s="6112"/>
      <c r="B137" s="6115"/>
      <c r="C137" s="2879" t="s">
        <v>9879</v>
      </c>
      <c r="D137" s="2879"/>
      <c r="E137" s="2880"/>
      <c r="F137" s="2890"/>
      <c r="N137" s="6122"/>
      <c r="O137" s="2901" t="s">
        <v>9873</v>
      </c>
      <c r="P137" s="2879" t="s">
        <v>9704</v>
      </c>
      <c r="Q137" s="2883">
        <v>16</v>
      </c>
      <c r="R137" s="2927">
        <v>20</v>
      </c>
      <c r="S137" s="2883">
        <v>35</v>
      </c>
      <c r="T137" s="2883">
        <v>10</v>
      </c>
      <c r="U137" s="2883">
        <v>20</v>
      </c>
      <c r="V137" s="2883">
        <v>35</v>
      </c>
      <c r="W137" s="2883">
        <v>2</v>
      </c>
      <c r="X137" s="2884" t="str">
        <f>O137&amp;P137</f>
        <v>Habilidad De Esquiva Limitada+150</v>
      </c>
      <c r="Z137" s="2872"/>
    </row>
    <row r="138" spans="1:26" ht="12" customHeight="1" x14ac:dyDescent="0.2">
      <c r="A138" s="6112"/>
      <c r="B138" s="6115"/>
      <c r="C138" s="2879" t="s">
        <v>8333</v>
      </c>
      <c r="D138" s="2879" t="s">
        <v>9880</v>
      </c>
      <c r="E138" s="2880">
        <v>-5</v>
      </c>
      <c r="F138" s="2890">
        <v>1</v>
      </c>
      <c r="N138" s="6122"/>
      <c r="O138" s="2901" t="s">
        <v>9873</v>
      </c>
      <c r="P138" s="2879" t="s">
        <v>9707</v>
      </c>
      <c r="Q138" s="2883">
        <v>20</v>
      </c>
      <c r="R138" s="2927">
        <v>24</v>
      </c>
      <c r="S138" s="2883">
        <v>40</v>
      </c>
      <c r="T138" s="2883">
        <v>12</v>
      </c>
      <c r="U138" s="2883">
        <v>24</v>
      </c>
      <c r="V138" s="2883">
        <v>42</v>
      </c>
      <c r="W138" s="2883">
        <v>3</v>
      </c>
      <c r="X138" s="2884" t="str">
        <f>O138&amp;P138</f>
        <v>Habilidad De Esquiva Limitada+175</v>
      </c>
      <c r="Z138" s="2872"/>
    </row>
    <row r="139" spans="1:26" ht="12" customHeight="1" x14ac:dyDescent="0.2">
      <c r="A139" s="6112"/>
      <c r="B139" s="6115"/>
      <c r="C139" s="2879" t="s">
        <v>8333</v>
      </c>
      <c r="D139" s="2879" t="s">
        <v>9881</v>
      </c>
      <c r="E139" s="2880">
        <v>-5</v>
      </c>
      <c r="F139" s="2890">
        <v>1</v>
      </c>
      <c r="N139" s="6122"/>
      <c r="O139" s="2901" t="s">
        <v>9873</v>
      </c>
      <c r="P139" s="2879" t="s">
        <v>9709</v>
      </c>
      <c r="Q139" s="2883">
        <v>24</v>
      </c>
      <c r="R139" s="2927">
        <v>29</v>
      </c>
      <c r="S139" s="2883">
        <v>45</v>
      </c>
      <c r="T139" s="2883">
        <v>14</v>
      </c>
      <c r="U139" s="2883">
        <v>28</v>
      </c>
      <c r="V139" s="2883">
        <v>49</v>
      </c>
      <c r="W139" s="2883">
        <v>3</v>
      </c>
      <c r="X139" s="2884" t="str">
        <f>O139&amp;P139</f>
        <v>Habilidad De Esquiva Limitada+200</v>
      </c>
      <c r="Z139" s="2872"/>
    </row>
    <row r="140" spans="1:26" ht="12" customHeight="1" x14ac:dyDescent="0.2">
      <c r="A140" s="6112"/>
      <c r="B140" s="6115"/>
      <c r="C140" s="2879" t="s">
        <v>8333</v>
      </c>
      <c r="D140" s="2879" t="s">
        <v>9882</v>
      </c>
      <c r="E140" s="2880">
        <v>-5</v>
      </c>
      <c r="F140" s="2890">
        <v>1</v>
      </c>
      <c r="N140" s="6122"/>
      <c r="O140" s="2901" t="s">
        <v>9883</v>
      </c>
      <c r="P140" s="2879"/>
      <c r="Q140" s="2883"/>
      <c r="R140" s="2927"/>
      <c r="S140" s="2883"/>
      <c r="T140" s="2883"/>
      <c r="U140" s="2883"/>
      <c r="V140" s="2883"/>
      <c r="W140" s="2883"/>
      <c r="X140" s="2884" t="str">
        <f>O140&amp;P140</f>
        <v>&gt; DEFENSA PREDETERMINADA</v>
      </c>
      <c r="Z140" s="2872"/>
    </row>
    <row r="141" spans="1:26" ht="12" customHeight="1" x14ac:dyDescent="0.2">
      <c r="A141" s="6112"/>
      <c r="B141" s="6115"/>
      <c r="C141" s="2879" t="s">
        <v>8333</v>
      </c>
      <c r="D141" s="2879" t="s">
        <v>9884</v>
      </c>
      <c r="E141" s="2880">
        <v>-5</v>
      </c>
      <c r="F141" s="2890">
        <v>1</v>
      </c>
      <c r="N141" s="6122"/>
      <c r="O141" s="2901" t="s">
        <v>9717</v>
      </c>
      <c r="P141" s="2879" t="s">
        <v>9729</v>
      </c>
      <c r="Q141" s="2883">
        <v>2</v>
      </c>
      <c r="R141" s="2927">
        <v>4</v>
      </c>
      <c r="S141" s="2883">
        <v>5</v>
      </c>
      <c r="T141" s="2883">
        <v>1</v>
      </c>
      <c r="U141" s="2883">
        <v>2</v>
      </c>
      <c r="V141" s="2883">
        <v>4</v>
      </c>
      <c r="W141" s="2883">
        <v>1</v>
      </c>
      <c r="X141" s="2884" t="str">
        <f>O141&amp;P141</f>
        <v>Defensa PredeterminadaMedia (80)</v>
      </c>
      <c r="Z141" s="2872"/>
    </row>
    <row r="142" spans="1:26" ht="12" customHeight="1" x14ac:dyDescent="0.2">
      <c r="A142" s="6112"/>
      <c r="B142" s="6115"/>
      <c r="C142" s="2879" t="s">
        <v>8333</v>
      </c>
      <c r="D142" s="2879" t="s">
        <v>9885</v>
      </c>
      <c r="E142" s="2880">
        <v>-10</v>
      </c>
      <c r="F142" s="2890">
        <v>1</v>
      </c>
      <c r="N142" s="6122"/>
      <c r="O142" s="2901" t="s">
        <v>9717</v>
      </c>
      <c r="P142" s="2879" t="s">
        <v>9730</v>
      </c>
      <c r="Q142" s="2883">
        <v>4</v>
      </c>
      <c r="R142" s="2927">
        <v>6</v>
      </c>
      <c r="S142" s="2883">
        <v>5</v>
      </c>
      <c r="T142" s="2883">
        <v>2</v>
      </c>
      <c r="U142" s="2883">
        <v>4</v>
      </c>
      <c r="V142" s="2883">
        <v>7</v>
      </c>
      <c r="W142" s="2883">
        <v>1</v>
      </c>
      <c r="X142" s="2884" t="str">
        <f>O142&amp;P142</f>
        <v>Defensa PredeterminadaDifícil (120)</v>
      </c>
      <c r="Z142" s="2872"/>
    </row>
    <row r="143" spans="1:26" ht="12" customHeight="1" x14ac:dyDescent="0.2">
      <c r="A143" s="6112"/>
      <c r="B143" s="6115"/>
      <c r="C143" s="2879" t="s">
        <v>8333</v>
      </c>
      <c r="D143" s="2879" t="s">
        <v>9886</v>
      </c>
      <c r="E143" s="2880">
        <v>-10</v>
      </c>
      <c r="F143" s="2890">
        <v>1</v>
      </c>
      <c r="N143" s="6122"/>
      <c r="O143" s="2901" t="s">
        <v>9717</v>
      </c>
      <c r="P143" s="2879" t="s">
        <v>9733</v>
      </c>
      <c r="Q143" s="2883">
        <v>6</v>
      </c>
      <c r="R143" s="2927">
        <v>9</v>
      </c>
      <c r="S143" s="2883">
        <v>5</v>
      </c>
      <c r="T143" s="2883">
        <v>3</v>
      </c>
      <c r="U143" s="2883">
        <v>6</v>
      </c>
      <c r="V143" s="2883">
        <v>11</v>
      </c>
      <c r="W143" s="2883">
        <v>1</v>
      </c>
      <c r="X143" s="2884" t="str">
        <f>O143&amp;P143</f>
        <v>Defensa PredeterminadaMuy Difícil (140)</v>
      </c>
      <c r="Z143" s="2872"/>
    </row>
    <row r="144" spans="1:26" ht="12" customHeight="1" x14ac:dyDescent="0.2">
      <c r="A144" s="6112"/>
      <c r="B144" s="6115"/>
      <c r="C144" s="2879" t="s">
        <v>8333</v>
      </c>
      <c r="D144" s="2879" t="s">
        <v>9887</v>
      </c>
      <c r="E144" s="2880">
        <v>-10</v>
      </c>
      <c r="F144" s="2890">
        <v>1</v>
      </c>
      <c r="N144" s="6122"/>
      <c r="O144" s="2901" t="s">
        <v>9717</v>
      </c>
      <c r="P144" s="2879" t="s">
        <v>9735</v>
      </c>
      <c r="Q144" s="2883">
        <v>8</v>
      </c>
      <c r="R144" s="2927">
        <v>11</v>
      </c>
      <c r="S144" s="2883">
        <v>10</v>
      </c>
      <c r="T144" s="2883">
        <v>4</v>
      </c>
      <c r="U144" s="2883">
        <v>8</v>
      </c>
      <c r="V144" s="2883">
        <v>14</v>
      </c>
      <c r="W144" s="2883">
        <v>1</v>
      </c>
      <c r="X144" s="2884" t="str">
        <f>O144&amp;P144</f>
        <v>Defensa PredeterminadaAbsurdo (180)</v>
      </c>
      <c r="Z144" s="2872"/>
    </row>
    <row r="145" spans="1:26" ht="12" customHeight="1" x14ac:dyDescent="0.2">
      <c r="A145" s="6112"/>
      <c r="B145" s="6115"/>
      <c r="C145" s="2879" t="s">
        <v>8333</v>
      </c>
      <c r="D145" s="2879" t="s">
        <v>9888</v>
      </c>
      <c r="E145" s="2880">
        <v>-20</v>
      </c>
      <c r="F145" s="2890">
        <v>2</v>
      </c>
      <c r="N145" s="6122"/>
      <c r="O145" s="2901" t="s">
        <v>9717</v>
      </c>
      <c r="P145" s="2879" t="s">
        <v>9738</v>
      </c>
      <c r="Q145" s="2883">
        <v>12</v>
      </c>
      <c r="R145" s="2927">
        <v>15</v>
      </c>
      <c r="S145" s="2883">
        <v>15</v>
      </c>
      <c r="T145" s="2883">
        <v>6</v>
      </c>
      <c r="U145" s="2883">
        <v>12</v>
      </c>
      <c r="V145" s="2883">
        <v>21</v>
      </c>
      <c r="W145" s="2883">
        <v>1</v>
      </c>
      <c r="X145" s="2884" t="str">
        <f>O145&amp;P145</f>
        <v>Defensa PredeterminadaCasi Imposible (240)</v>
      </c>
      <c r="Z145" s="2872"/>
    </row>
    <row r="146" spans="1:26" ht="12" customHeight="1" x14ac:dyDescent="0.2">
      <c r="A146" s="6112"/>
      <c r="B146" s="6115"/>
      <c r="C146" s="2879" t="s">
        <v>9889</v>
      </c>
      <c r="D146" s="2879"/>
      <c r="E146" s="2880"/>
      <c r="F146" s="2890"/>
      <c r="N146" s="6122"/>
      <c r="O146" s="2901" t="s">
        <v>9717</v>
      </c>
      <c r="P146" s="2879" t="s">
        <v>9741</v>
      </c>
      <c r="Q146" s="2883">
        <v>16</v>
      </c>
      <c r="R146" s="2927">
        <v>20</v>
      </c>
      <c r="S146" s="2883">
        <v>25</v>
      </c>
      <c r="T146" s="2883">
        <v>8</v>
      </c>
      <c r="U146" s="2883">
        <v>16</v>
      </c>
      <c r="V146" s="2883">
        <v>28</v>
      </c>
      <c r="W146" s="2883">
        <v>2</v>
      </c>
      <c r="X146" s="2884" t="str">
        <f>O146&amp;P146</f>
        <v>Defensa PredeterminadaImposible (280)</v>
      </c>
      <c r="Z146" s="2872"/>
    </row>
    <row r="147" spans="1:26" ht="12" customHeight="1" x14ac:dyDescent="0.2">
      <c r="A147" s="6112"/>
      <c r="B147" s="6115"/>
      <c r="C147" s="2879" t="s">
        <v>9657</v>
      </c>
      <c r="D147" s="2879" t="s">
        <v>9658</v>
      </c>
      <c r="E147" s="2880">
        <v>-20</v>
      </c>
      <c r="F147" s="2890">
        <v>1</v>
      </c>
      <c r="N147" s="6122"/>
      <c r="O147" s="2901" t="s">
        <v>9717</v>
      </c>
      <c r="P147" s="2879" t="s">
        <v>9742</v>
      </c>
      <c r="Q147" s="2883">
        <v>20</v>
      </c>
      <c r="R147" s="2927">
        <v>24</v>
      </c>
      <c r="S147" s="2883">
        <v>35</v>
      </c>
      <c r="T147" s="2883">
        <v>10</v>
      </c>
      <c r="U147" s="2883">
        <v>20</v>
      </c>
      <c r="V147" s="2883">
        <v>35</v>
      </c>
      <c r="W147" s="2883">
        <v>2</v>
      </c>
      <c r="X147" s="2884" t="str">
        <f>O147&amp;P147</f>
        <v>Defensa PredeterminadaInhumano (320)</v>
      </c>
      <c r="Z147" s="2872"/>
    </row>
    <row r="148" spans="1:26" ht="12" customHeight="1" x14ac:dyDescent="0.2">
      <c r="A148" s="6112"/>
      <c r="B148" s="6115"/>
      <c r="C148" s="2879" t="s">
        <v>9657</v>
      </c>
      <c r="D148" s="2879" t="s">
        <v>9890</v>
      </c>
      <c r="E148" s="2880">
        <v>-10</v>
      </c>
      <c r="F148" s="2890">
        <v>1</v>
      </c>
      <c r="N148" s="6122"/>
      <c r="O148" s="2901" t="s">
        <v>9717</v>
      </c>
      <c r="P148" s="2879" t="s">
        <v>9744</v>
      </c>
      <c r="Q148" s="2883">
        <v>26</v>
      </c>
      <c r="R148" s="2927">
        <v>32</v>
      </c>
      <c r="S148" s="2883">
        <v>45</v>
      </c>
      <c r="T148" s="2883">
        <v>12</v>
      </c>
      <c r="U148" s="2883">
        <v>24</v>
      </c>
      <c r="V148" s="2883">
        <v>42</v>
      </c>
      <c r="W148" s="2883">
        <v>3</v>
      </c>
      <c r="X148" s="2884" t="str">
        <f>O148&amp;P148</f>
        <v>Defensa PredeterminadaZen (440)</v>
      </c>
      <c r="Z148" s="2872"/>
    </row>
    <row r="149" spans="1:26" ht="12" customHeight="1" x14ac:dyDescent="0.2">
      <c r="A149" s="6112"/>
      <c r="B149" s="6115"/>
      <c r="C149" s="2879" t="s">
        <v>9891</v>
      </c>
      <c r="D149" s="2879"/>
      <c r="E149" s="2880"/>
      <c r="F149" s="2890"/>
      <c r="N149" s="6122"/>
      <c r="O149" s="2901" t="s">
        <v>9892</v>
      </c>
      <c r="P149" s="2879"/>
      <c r="Q149" s="2883"/>
      <c r="R149" s="2927"/>
      <c r="S149" s="2883"/>
      <c r="T149" s="2883"/>
      <c r="U149" s="2883"/>
      <c r="V149" s="2883"/>
      <c r="W149" s="2883"/>
      <c r="X149" s="2884" t="str">
        <f>O149&amp;P149</f>
        <v>&gt;&gt;EFECTOS DESTRUCTIVOS</v>
      </c>
      <c r="Z149" s="2872"/>
    </row>
    <row r="150" spans="1:26" ht="12" customHeight="1" x14ac:dyDescent="0.2">
      <c r="A150" s="6112"/>
      <c r="B150" s="6115"/>
      <c r="C150" s="2879" t="s">
        <v>9840</v>
      </c>
      <c r="D150" s="2879" t="s">
        <v>9893</v>
      </c>
      <c r="E150" s="2880">
        <v>-5</v>
      </c>
      <c r="F150" s="2890">
        <v>1</v>
      </c>
      <c r="N150" s="6122"/>
      <c r="O150" s="2901" t="s">
        <v>9894</v>
      </c>
      <c r="P150" s="2879"/>
      <c r="Q150" s="2883"/>
      <c r="R150" s="2927"/>
      <c r="S150" s="2883"/>
      <c r="T150" s="2883"/>
      <c r="U150" s="2883"/>
      <c r="V150" s="2883"/>
      <c r="W150" s="2883"/>
      <c r="X150" s="2884" t="str">
        <f>O150&amp;P150</f>
        <v>&gt; AUMENTO DE DAÑO</v>
      </c>
      <c r="Z150" s="2872"/>
    </row>
    <row r="151" spans="1:26" ht="12" customHeight="1" x14ac:dyDescent="0.2">
      <c r="A151" s="6112"/>
      <c r="B151" s="6115"/>
      <c r="C151" s="2879" t="s">
        <v>9840</v>
      </c>
      <c r="D151" s="2879" t="s">
        <v>2512</v>
      </c>
      <c r="E151" s="2880">
        <v>-10</v>
      </c>
      <c r="F151" s="2890">
        <v>1</v>
      </c>
      <c r="N151" s="6122"/>
      <c r="O151" s="2901" t="s">
        <v>9895</v>
      </c>
      <c r="P151" s="2879" t="s">
        <v>8285</v>
      </c>
      <c r="Q151" s="2883">
        <v>1</v>
      </c>
      <c r="R151" s="2927">
        <v>2</v>
      </c>
      <c r="S151" s="2883">
        <v>5</v>
      </c>
      <c r="T151" s="2883">
        <v>1</v>
      </c>
      <c r="U151" s="2883">
        <v>2</v>
      </c>
      <c r="V151" s="2883">
        <v>4</v>
      </c>
      <c r="W151" s="2883">
        <v>1</v>
      </c>
      <c r="X151" s="2884" t="str">
        <f>O151&amp;P151</f>
        <v>Aumento De Daño+10</v>
      </c>
      <c r="Z151" s="2872"/>
    </row>
    <row r="152" spans="1:26" ht="12" customHeight="1" x14ac:dyDescent="0.2">
      <c r="A152" s="6112"/>
      <c r="B152" s="6115"/>
      <c r="C152" s="2879" t="s">
        <v>9840</v>
      </c>
      <c r="D152" s="2879" t="s">
        <v>9896</v>
      </c>
      <c r="E152" s="2880">
        <v>-10</v>
      </c>
      <c r="F152" s="2890">
        <v>1</v>
      </c>
      <c r="N152" s="6122"/>
      <c r="O152" s="2901" t="s">
        <v>9895</v>
      </c>
      <c r="P152" s="2879" t="s">
        <v>8439</v>
      </c>
      <c r="Q152" s="2883">
        <v>2</v>
      </c>
      <c r="R152" s="2927">
        <v>4</v>
      </c>
      <c r="S152" s="2883">
        <v>5</v>
      </c>
      <c r="T152" s="2883">
        <v>1</v>
      </c>
      <c r="U152" s="2883">
        <v>2</v>
      </c>
      <c r="V152" s="2883">
        <v>4</v>
      </c>
      <c r="W152" s="2883">
        <v>1</v>
      </c>
      <c r="X152" s="2884" t="str">
        <f>O152&amp;P152</f>
        <v>Aumento De Daño+25</v>
      </c>
      <c r="Z152" s="2872"/>
    </row>
    <row r="153" spans="1:26" ht="12" customHeight="1" x14ac:dyDescent="0.2">
      <c r="A153" s="6112"/>
      <c r="B153" s="6115"/>
      <c r="C153" s="2879" t="s">
        <v>9840</v>
      </c>
      <c r="D153" s="2879" t="s">
        <v>254</v>
      </c>
      <c r="E153" s="2880">
        <v>-15</v>
      </c>
      <c r="F153" s="2890">
        <v>1</v>
      </c>
      <c r="N153" s="6122"/>
      <c r="O153" s="2901" t="s">
        <v>9895</v>
      </c>
      <c r="P153" s="2879" t="s">
        <v>8287</v>
      </c>
      <c r="Q153" s="2883">
        <v>3</v>
      </c>
      <c r="R153" s="2927">
        <v>5</v>
      </c>
      <c r="S153" s="2883">
        <v>10</v>
      </c>
      <c r="T153" s="2883">
        <v>1</v>
      </c>
      <c r="U153" s="2883">
        <v>2</v>
      </c>
      <c r="V153" s="2883">
        <v>4</v>
      </c>
      <c r="W153" s="2883">
        <v>1</v>
      </c>
      <c r="X153" s="2884" t="str">
        <f>O153&amp;P153</f>
        <v>Aumento De Daño+40</v>
      </c>
      <c r="Z153" s="2872"/>
    </row>
    <row r="154" spans="1:26" ht="12" customHeight="1" x14ac:dyDescent="0.2">
      <c r="A154" s="6112"/>
      <c r="B154" s="6115"/>
      <c r="C154" s="2879" t="s">
        <v>9840</v>
      </c>
      <c r="D154" s="2879" t="s">
        <v>9897</v>
      </c>
      <c r="E154" s="2880">
        <v>-15</v>
      </c>
      <c r="F154" s="2890">
        <v>1</v>
      </c>
      <c r="N154" s="6122"/>
      <c r="O154" s="2901" t="s">
        <v>9895</v>
      </c>
      <c r="P154" s="2879" t="s">
        <v>8288</v>
      </c>
      <c r="Q154" s="2883">
        <v>4</v>
      </c>
      <c r="R154" s="2927">
        <v>6</v>
      </c>
      <c r="S154" s="2883">
        <v>15</v>
      </c>
      <c r="T154" s="2883">
        <v>2</v>
      </c>
      <c r="U154" s="2883">
        <v>4</v>
      </c>
      <c r="V154" s="2883">
        <v>7</v>
      </c>
      <c r="W154" s="2883">
        <v>1</v>
      </c>
      <c r="X154" s="2884" t="str">
        <f>O154&amp;P154</f>
        <v>Aumento De Daño+50</v>
      </c>
      <c r="Z154" s="2872"/>
    </row>
    <row r="155" spans="1:26" ht="12" customHeight="1" x14ac:dyDescent="0.2">
      <c r="A155" s="6112"/>
      <c r="B155" s="6115"/>
      <c r="C155" s="2879" t="s">
        <v>9898</v>
      </c>
      <c r="D155" s="2879"/>
      <c r="E155" s="2880"/>
      <c r="F155" s="2890"/>
      <c r="N155" s="6122"/>
      <c r="O155" s="2901" t="s">
        <v>9895</v>
      </c>
      <c r="P155" s="2879" t="s">
        <v>9694</v>
      </c>
      <c r="Q155" s="2883">
        <v>6</v>
      </c>
      <c r="R155" s="2927">
        <v>9</v>
      </c>
      <c r="S155" s="2883">
        <v>20</v>
      </c>
      <c r="T155" s="2883">
        <v>3</v>
      </c>
      <c r="U155" s="2883">
        <v>6</v>
      </c>
      <c r="V155" s="2883">
        <v>11</v>
      </c>
      <c r="W155" s="2883">
        <v>1</v>
      </c>
      <c r="X155" s="2884" t="str">
        <f>O155&amp;P155</f>
        <v>Aumento De Daño+75</v>
      </c>
      <c r="Z155" s="2872"/>
    </row>
    <row r="156" spans="1:26" ht="12" customHeight="1" x14ac:dyDescent="0.2">
      <c r="A156" s="6112"/>
      <c r="B156" s="6115"/>
      <c r="C156" s="2879" t="s">
        <v>7892</v>
      </c>
      <c r="D156" s="2879" t="s">
        <v>9899</v>
      </c>
      <c r="E156" s="2880">
        <v>-5</v>
      </c>
      <c r="F156" s="2890">
        <v>1</v>
      </c>
      <c r="N156" s="6122"/>
      <c r="O156" s="2901" t="s">
        <v>9895</v>
      </c>
      <c r="P156" s="2879" t="s">
        <v>9698</v>
      </c>
      <c r="Q156" s="2883">
        <v>8</v>
      </c>
      <c r="R156" s="2927">
        <v>11</v>
      </c>
      <c r="S156" s="2883">
        <v>25</v>
      </c>
      <c r="T156" s="2883">
        <v>4</v>
      </c>
      <c r="U156" s="2883">
        <v>8</v>
      </c>
      <c r="V156" s="2883">
        <v>14</v>
      </c>
      <c r="W156" s="2883">
        <v>1</v>
      </c>
      <c r="X156" s="2884" t="str">
        <f>O156&amp;P156</f>
        <v>Aumento De Daño+90</v>
      </c>
      <c r="Z156" s="2872"/>
    </row>
    <row r="157" spans="1:26" ht="12" customHeight="1" x14ac:dyDescent="0.2">
      <c r="A157" s="6112"/>
      <c r="B157" s="6115"/>
      <c r="C157" s="2879" t="s">
        <v>7892</v>
      </c>
      <c r="D157" s="2879" t="s">
        <v>9900</v>
      </c>
      <c r="E157" s="2880">
        <v>-10</v>
      </c>
      <c r="F157" s="2890">
        <v>1</v>
      </c>
      <c r="N157" s="6122"/>
      <c r="O157" s="2901" t="s">
        <v>9895</v>
      </c>
      <c r="P157" s="2879" t="s">
        <v>9701</v>
      </c>
      <c r="Q157" s="2883">
        <v>10</v>
      </c>
      <c r="R157" s="2927">
        <v>13</v>
      </c>
      <c r="S157" s="2883">
        <v>30</v>
      </c>
      <c r="T157" s="2883">
        <v>5</v>
      </c>
      <c r="U157" s="2883">
        <v>10</v>
      </c>
      <c r="V157" s="2883">
        <v>18</v>
      </c>
      <c r="W157" s="2883">
        <v>1</v>
      </c>
      <c r="X157" s="2884" t="str">
        <f>O157&amp;P157</f>
        <v>Aumento De Daño+100</v>
      </c>
      <c r="Z157" s="2872"/>
    </row>
    <row r="158" spans="1:26" ht="12" customHeight="1" x14ac:dyDescent="0.2">
      <c r="A158" s="6112"/>
      <c r="B158" s="6115"/>
      <c r="C158" s="2879" t="s">
        <v>7892</v>
      </c>
      <c r="D158" s="2879" t="s">
        <v>9901</v>
      </c>
      <c r="E158" s="2880">
        <v>-30</v>
      </c>
      <c r="F158" s="2890">
        <v>2</v>
      </c>
      <c r="N158" s="6122"/>
      <c r="O158" s="2901" t="s">
        <v>9895</v>
      </c>
      <c r="P158" s="2879" t="s">
        <v>9702</v>
      </c>
      <c r="Q158" s="2883">
        <v>14</v>
      </c>
      <c r="R158" s="2927">
        <v>18</v>
      </c>
      <c r="S158" s="2883">
        <v>35</v>
      </c>
      <c r="T158" s="2883">
        <v>6</v>
      </c>
      <c r="U158" s="2883">
        <v>12</v>
      </c>
      <c r="V158" s="2883">
        <v>21</v>
      </c>
      <c r="W158" s="2883">
        <v>2</v>
      </c>
      <c r="X158" s="2884" t="str">
        <f>O158&amp;P158</f>
        <v>Aumento De Daño+125</v>
      </c>
      <c r="Z158" s="2872"/>
    </row>
    <row r="159" spans="1:26" ht="12" customHeight="1" x14ac:dyDescent="0.2">
      <c r="A159" s="6112"/>
      <c r="B159" s="6115"/>
      <c r="C159" s="2879" t="s">
        <v>9902</v>
      </c>
      <c r="D159" s="2879"/>
      <c r="E159" s="2880"/>
      <c r="F159" s="2890"/>
      <c r="N159" s="6122"/>
      <c r="O159" s="2901" t="s">
        <v>9895</v>
      </c>
      <c r="P159" s="2879" t="s">
        <v>9704</v>
      </c>
      <c r="Q159" s="2883">
        <v>16</v>
      </c>
      <c r="R159" s="2927">
        <v>20</v>
      </c>
      <c r="S159" s="2883">
        <v>40</v>
      </c>
      <c r="T159" s="2883">
        <v>8</v>
      </c>
      <c r="U159" s="2883">
        <v>16</v>
      </c>
      <c r="V159" s="2883">
        <v>28</v>
      </c>
      <c r="W159" s="2883">
        <v>2</v>
      </c>
      <c r="X159" s="2884" t="str">
        <f>O159&amp;P159</f>
        <v>Aumento De Daño+150</v>
      </c>
      <c r="Z159" s="2872"/>
    </row>
    <row r="160" spans="1:26" ht="12" customHeight="1" x14ac:dyDescent="0.2">
      <c r="A160" s="6112"/>
      <c r="B160" s="6115"/>
      <c r="C160" s="2879" t="s">
        <v>9842</v>
      </c>
      <c r="D160" s="2879"/>
      <c r="E160" s="2880">
        <v>-15</v>
      </c>
      <c r="F160" s="2890">
        <v>1</v>
      </c>
      <c r="N160" s="6122"/>
      <c r="O160" s="2901" t="s">
        <v>9895</v>
      </c>
      <c r="P160" s="2879" t="s">
        <v>9707</v>
      </c>
      <c r="Q160" s="2883">
        <v>18</v>
      </c>
      <c r="R160" s="2927">
        <v>22</v>
      </c>
      <c r="S160" s="2883">
        <v>45</v>
      </c>
      <c r="T160" s="2883">
        <v>10</v>
      </c>
      <c r="U160" s="2883">
        <v>20</v>
      </c>
      <c r="V160" s="2883">
        <v>35</v>
      </c>
      <c r="W160" s="2883">
        <v>3</v>
      </c>
      <c r="X160" s="2884" t="str">
        <f>O160&amp;P160</f>
        <v>Aumento De Daño+175</v>
      </c>
      <c r="Z160" s="2872"/>
    </row>
    <row r="161" spans="1:26" ht="12" customHeight="1" x14ac:dyDescent="0.2">
      <c r="A161" s="6112"/>
      <c r="B161" s="6115"/>
      <c r="C161" s="2879" t="s">
        <v>9903</v>
      </c>
      <c r="D161" s="2879"/>
      <c r="E161" s="2880"/>
      <c r="F161" s="2890"/>
      <c r="N161" s="6122"/>
      <c r="O161" s="2901" t="s">
        <v>9895</v>
      </c>
      <c r="P161" s="2879" t="s">
        <v>9709</v>
      </c>
      <c r="Q161" s="2883">
        <v>20</v>
      </c>
      <c r="R161" s="2927">
        <v>24</v>
      </c>
      <c r="S161" s="2883">
        <v>50</v>
      </c>
      <c r="T161" s="2883">
        <v>12</v>
      </c>
      <c r="U161" s="2883">
        <v>24</v>
      </c>
      <c r="V161" s="2883">
        <v>42</v>
      </c>
      <c r="W161" s="2883">
        <v>3</v>
      </c>
      <c r="X161" s="2884" t="str">
        <f>O161&amp;P161</f>
        <v>Aumento De Daño+200</v>
      </c>
      <c r="Z161" s="2872"/>
    </row>
    <row r="162" spans="1:26" ht="12" customHeight="1" x14ac:dyDescent="0.2">
      <c r="A162" s="6112"/>
      <c r="B162" s="6115"/>
      <c r="C162" s="2879" t="s">
        <v>9844</v>
      </c>
      <c r="D162" s="2879"/>
      <c r="E162" s="2880">
        <v>-10</v>
      </c>
      <c r="F162" s="2890">
        <v>1</v>
      </c>
      <c r="N162" s="6122"/>
      <c r="O162" s="2901" t="s">
        <v>9895</v>
      </c>
      <c r="P162" s="2879" t="s">
        <v>3686</v>
      </c>
      <c r="Q162" s="2883">
        <v>4</v>
      </c>
      <c r="R162" s="2927">
        <v>4</v>
      </c>
      <c r="S162" s="2883">
        <v>15</v>
      </c>
      <c r="T162" s="2883">
        <v>3</v>
      </c>
      <c r="U162" s="2883">
        <v>6</v>
      </c>
      <c r="V162" s="2883">
        <v>11</v>
      </c>
      <c r="W162" s="2883"/>
      <c r="X162" s="2884" t="str">
        <f>O162&amp;P162</f>
        <v>Aumento De DañoSacrificio Vital</v>
      </c>
      <c r="Z162" s="2872"/>
    </row>
    <row r="163" spans="1:26" ht="12" customHeight="1" x14ac:dyDescent="0.2">
      <c r="A163" s="6112"/>
      <c r="B163" s="6115"/>
      <c r="C163" s="2879" t="s">
        <v>9904</v>
      </c>
      <c r="D163" s="2879"/>
      <c r="E163" s="2880"/>
      <c r="F163" s="2890"/>
      <c r="N163" s="6122"/>
      <c r="O163" s="2901" t="s">
        <v>9895</v>
      </c>
      <c r="P163" s="2879" t="s">
        <v>3690</v>
      </c>
      <c r="Q163" s="2883">
        <v>10</v>
      </c>
      <c r="R163" s="2927">
        <v>10</v>
      </c>
      <c r="S163" s="2883">
        <v>50</v>
      </c>
      <c r="T163" s="2883">
        <v>4</v>
      </c>
      <c r="U163" s="2883">
        <v>8</v>
      </c>
      <c r="V163" s="2883">
        <v>14</v>
      </c>
      <c r="W163" s="2883"/>
      <c r="X163" s="2884" t="str">
        <f>O163&amp;P163</f>
        <v>Aumento De DañoSacrificio Vital Doble</v>
      </c>
      <c r="Z163" s="2872"/>
    </row>
    <row r="164" spans="1:26" ht="12" customHeight="1" x14ac:dyDescent="0.2">
      <c r="A164" s="6112"/>
      <c r="B164" s="6115"/>
      <c r="C164" s="2879" t="s">
        <v>9845</v>
      </c>
      <c r="D164" s="2879" t="s">
        <v>9778</v>
      </c>
      <c r="E164" s="2880">
        <v>-10</v>
      </c>
      <c r="F164" s="2890">
        <v>1</v>
      </c>
      <c r="N164" s="6122"/>
      <c r="O164" s="2901" t="s">
        <v>9895</v>
      </c>
      <c r="P164" s="2879" t="s">
        <v>3694</v>
      </c>
      <c r="Q164" s="2883">
        <v>2</v>
      </c>
      <c r="R164" s="2927">
        <v>2</v>
      </c>
      <c r="S164" s="2883">
        <v>10</v>
      </c>
      <c r="T164" s="2883">
        <v>2</v>
      </c>
      <c r="U164" s="2883">
        <v>4</v>
      </c>
      <c r="V164" s="2883">
        <v>7</v>
      </c>
      <c r="W164" s="2883"/>
      <c r="X164" s="2884" t="str">
        <f>O164&amp;P164</f>
        <v>Aumento De DañoSacrificio de Salud</v>
      </c>
      <c r="Z164" s="2872"/>
    </row>
    <row r="165" spans="1:26" ht="12" customHeight="1" x14ac:dyDescent="0.2">
      <c r="A165" s="6112"/>
      <c r="B165" s="6115"/>
      <c r="C165" s="2879" t="s">
        <v>9845</v>
      </c>
      <c r="D165" s="2879" t="s">
        <v>9782</v>
      </c>
      <c r="E165" s="2880">
        <v>-15</v>
      </c>
      <c r="F165" s="2890">
        <v>1</v>
      </c>
      <c r="N165" s="6122"/>
      <c r="O165" s="2901" t="s">
        <v>9895</v>
      </c>
      <c r="P165" s="2879" t="s">
        <v>3699</v>
      </c>
      <c r="Q165" s="2883">
        <v>2</v>
      </c>
      <c r="R165" s="2927">
        <v>2</v>
      </c>
      <c r="S165" s="2883">
        <v>10</v>
      </c>
      <c r="T165" s="2883">
        <v>2</v>
      </c>
      <c r="U165" s="2883">
        <v>4</v>
      </c>
      <c r="V165" s="2883">
        <v>7</v>
      </c>
      <c r="W165" s="2883"/>
      <c r="X165" s="2884" t="str">
        <f>O165&amp;P165</f>
        <v>Aumento De DañoSacrificio de Características</v>
      </c>
      <c r="Z165" s="2872"/>
    </row>
    <row r="166" spans="1:26" ht="12" customHeight="1" x14ac:dyDescent="0.2">
      <c r="A166" s="6112"/>
      <c r="B166" s="6115"/>
      <c r="C166" s="2879" t="s">
        <v>9845</v>
      </c>
      <c r="D166" s="2879" t="s">
        <v>9786</v>
      </c>
      <c r="E166" s="2880">
        <v>-20</v>
      </c>
      <c r="F166" s="2890">
        <v>2</v>
      </c>
      <c r="N166" s="6122"/>
      <c r="O166" s="2901" t="s">
        <v>9895</v>
      </c>
      <c r="P166" s="2879" t="s">
        <v>3707</v>
      </c>
      <c r="Q166" s="2883">
        <v>12</v>
      </c>
      <c r="R166" s="2927">
        <v>12</v>
      </c>
      <c r="S166" s="2883">
        <v>30</v>
      </c>
      <c r="T166" s="2883">
        <v>4</v>
      </c>
      <c r="U166" s="2883">
        <v>8</v>
      </c>
      <c r="V166" s="2883">
        <v>14</v>
      </c>
      <c r="W166" s="2883"/>
      <c r="X166" s="2884" t="str">
        <f>O166&amp;P166</f>
        <v>Aumento De DañoDaño Límite</v>
      </c>
      <c r="Z166" s="2872"/>
    </row>
    <row r="167" spans="1:26" ht="12" customHeight="1" x14ac:dyDescent="0.2">
      <c r="A167" s="6112"/>
      <c r="B167" s="6115"/>
      <c r="C167" s="2879" t="s">
        <v>9845</v>
      </c>
      <c r="D167" s="2879" t="s">
        <v>9905</v>
      </c>
      <c r="E167" s="2880">
        <v>-25</v>
      </c>
      <c r="F167" s="2890">
        <v>2</v>
      </c>
      <c r="N167" s="6122"/>
      <c r="O167" s="2901" t="s">
        <v>9906</v>
      </c>
      <c r="P167" s="2879"/>
      <c r="Q167" s="2883"/>
      <c r="R167" s="2927"/>
      <c r="S167" s="2883"/>
      <c r="T167" s="2883"/>
      <c r="U167" s="2883"/>
      <c r="V167" s="2883"/>
      <c r="W167" s="2883"/>
      <c r="X167" s="2884" t="str">
        <f>O167&amp;P167</f>
        <v>&gt; AUMENTO DE DAÑO REAL</v>
      </c>
      <c r="Z167" s="2872"/>
    </row>
    <row r="168" spans="1:26" ht="12" customHeight="1" x14ac:dyDescent="0.2">
      <c r="A168" s="6112"/>
      <c r="B168" s="6115"/>
      <c r="C168" s="2879" t="s">
        <v>9845</v>
      </c>
      <c r="D168" s="2879" t="s">
        <v>9907</v>
      </c>
      <c r="E168" s="2880">
        <v>-30</v>
      </c>
      <c r="F168" s="2890">
        <v>3</v>
      </c>
      <c r="N168" s="6122"/>
      <c r="O168" s="2901" t="s">
        <v>9908</v>
      </c>
      <c r="P168" s="2879" t="s">
        <v>8285</v>
      </c>
      <c r="Q168" s="2883">
        <v>2</v>
      </c>
      <c r="R168" s="2927">
        <v>4</v>
      </c>
      <c r="S168" s="2883">
        <v>10</v>
      </c>
      <c r="T168" s="2883">
        <v>1</v>
      </c>
      <c r="U168" s="2883">
        <v>2</v>
      </c>
      <c r="V168" s="2883">
        <v>4</v>
      </c>
      <c r="W168" s="2883">
        <v>1</v>
      </c>
      <c r="X168" s="2884" t="str">
        <f>O168&amp;P168</f>
        <v>Aumento De Daño Real+10</v>
      </c>
      <c r="Z168" s="2872"/>
    </row>
    <row r="169" spans="1:26" ht="12" customHeight="1" x14ac:dyDescent="0.2">
      <c r="A169" s="6112"/>
      <c r="B169" s="6115"/>
      <c r="C169" s="2879" t="s">
        <v>9909</v>
      </c>
      <c r="D169" s="2879"/>
      <c r="E169" s="2880"/>
      <c r="F169" s="2890"/>
      <c r="N169" s="6122"/>
      <c r="O169" s="2901" t="s">
        <v>9908</v>
      </c>
      <c r="P169" s="2879" t="s">
        <v>8439</v>
      </c>
      <c r="Q169" s="2883">
        <v>3</v>
      </c>
      <c r="R169" s="2927">
        <v>5</v>
      </c>
      <c r="S169" s="2883">
        <v>15</v>
      </c>
      <c r="T169" s="2883">
        <v>2</v>
      </c>
      <c r="U169" s="2883">
        <v>4</v>
      </c>
      <c r="V169" s="2883">
        <v>7</v>
      </c>
      <c r="W169" s="2883">
        <v>1</v>
      </c>
      <c r="X169" s="2884" t="str">
        <f>O169&amp;P169</f>
        <v>Aumento De Daño Real+25</v>
      </c>
      <c r="Z169" s="2872"/>
    </row>
    <row r="170" spans="1:26" ht="12" customHeight="1" x14ac:dyDescent="0.2">
      <c r="A170" s="6112"/>
      <c r="B170" s="6115"/>
      <c r="C170" s="2879" t="s">
        <v>3758</v>
      </c>
      <c r="D170" s="2879"/>
      <c r="E170" s="2880">
        <v>-20</v>
      </c>
      <c r="F170" s="2890">
        <v>2</v>
      </c>
      <c r="N170" s="6122"/>
      <c r="O170" s="2901" t="s">
        <v>9908</v>
      </c>
      <c r="P170" s="2879" t="s">
        <v>8287</v>
      </c>
      <c r="Q170" s="2883">
        <v>5</v>
      </c>
      <c r="R170" s="2927">
        <v>8</v>
      </c>
      <c r="S170" s="2883">
        <v>20</v>
      </c>
      <c r="T170" s="2883">
        <v>3</v>
      </c>
      <c r="U170" s="2883">
        <v>6</v>
      </c>
      <c r="V170" s="2883">
        <v>11</v>
      </c>
      <c r="W170" s="2883">
        <v>1</v>
      </c>
      <c r="X170" s="2884" t="str">
        <f>O170&amp;P170</f>
        <v>Aumento De Daño Real+40</v>
      </c>
      <c r="Z170" s="2872"/>
    </row>
    <row r="171" spans="1:26" ht="12" customHeight="1" x14ac:dyDescent="0.2">
      <c r="A171" s="6112"/>
      <c r="B171" s="6115"/>
      <c r="C171" s="2879" t="s">
        <v>9910</v>
      </c>
      <c r="D171" s="2879"/>
      <c r="E171" s="2880"/>
      <c r="F171" s="2890"/>
      <c r="N171" s="6122"/>
      <c r="O171" s="2901" t="s">
        <v>9908</v>
      </c>
      <c r="P171" s="2879" t="s">
        <v>8288</v>
      </c>
      <c r="Q171" s="2883">
        <v>7</v>
      </c>
      <c r="R171" s="2927">
        <v>10</v>
      </c>
      <c r="S171" s="2883">
        <v>25</v>
      </c>
      <c r="T171" s="2883">
        <v>4</v>
      </c>
      <c r="U171" s="2883">
        <v>8</v>
      </c>
      <c r="V171" s="2883">
        <v>14</v>
      </c>
      <c r="W171" s="2883">
        <v>2</v>
      </c>
      <c r="X171" s="2884" t="str">
        <f>O171&amp;P171</f>
        <v>Aumento De Daño Real+50</v>
      </c>
      <c r="Z171" s="2872"/>
    </row>
    <row r="172" spans="1:26" ht="12" customHeight="1" x14ac:dyDescent="0.2">
      <c r="A172" s="6112"/>
      <c r="B172" s="6115"/>
      <c r="C172" s="2879" t="s">
        <v>9846</v>
      </c>
      <c r="D172" s="2879" t="s">
        <v>2015</v>
      </c>
      <c r="E172" s="2880">
        <v>-10</v>
      </c>
      <c r="F172" s="2890">
        <v>1</v>
      </c>
      <c r="N172" s="6122"/>
      <c r="O172" s="2901" t="s">
        <v>9908</v>
      </c>
      <c r="P172" s="2879" t="s">
        <v>9694</v>
      </c>
      <c r="Q172" s="2883">
        <v>10</v>
      </c>
      <c r="R172" s="2927">
        <v>13</v>
      </c>
      <c r="S172" s="2883">
        <v>35</v>
      </c>
      <c r="T172" s="2883">
        <v>6</v>
      </c>
      <c r="U172" s="2883">
        <v>12</v>
      </c>
      <c r="V172" s="2883">
        <v>21</v>
      </c>
      <c r="W172" s="2883">
        <v>2</v>
      </c>
      <c r="X172" s="2884" t="str">
        <f>O172&amp;P172</f>
        <v>Aumento De Daño Real+75</v>
      </c>
      <c r="Z172" s="2872"/>
    </row>
    <row r="173" spans="1:26" ht="12" customHeight="1" x14ac:dyDescent="0.2">
      <c r="A173" s="6112"/>
      <c r="B173" s="6115"/>
      <c r="C173" s="2879" t="s">
        <v>9846</v>
      </c>
      <c r="D173" s="2879" t="s">
        <v>2018</v>
      </c>
      <c r="E173" s="2880">
        <v>-15</v>
      </c>
      <c r="F173" s="2890">
        <v>1</v>
      </c>
      <c r="N173" s="6122"/>
      <c r="O173" s="2901" t="s">
        <v>9908</v>
      </c>
      <c r="P173" s="2879" t="s">
        <v>9698</v>
      </c>
      <c r="Q173" s="2883">
        <v>12</v>
      </c>
      <c r="R173" s="2927">
        <v>15</v>
      </c>
      <c r="S173" s="2883">
        <v>40</v>
      </c>
      <c r="T173" s="2883">
        <v>8</v>
      </c>
      <c r="U173" s="2883">
        <v>16</v>
      </c>
      <c r="V173" s="2883">
        <v>28</v>
      </c>
      <c r="W173" s="2883">
        <v>3</v>
      </c>
      <c r="X173" s="2884" t="str">
        <f>O173&amp;P173</f>
        <v>Aumento De Daño Real+90</v>
      </c>
      <c r="Z173" s="2872"/>
    </row>
    <row r="174" spans="1:26" ht="12" customHeight="1" x14ac:dyDescent="0.2">
      <c r="A174" s="6112"/>
      <c r="B174" s="6115"/>
      <c r="C174" s="2879" t="s">
        <v>9846</v>
      </c>
      <c r="D174" s="2879" t="s">
        <v>2023</v>
      </c>
      <c r="E174" s="2880">
        <v>-25</v>
      </c>
      <c r="F174" s="2890">
        <v>2</v>
      </c>
      <c r="N174" s="6122"/>
      <c r="O174" s="2901" t="s">
        <v>9908</v>
      </c>
      <c r="P174" s="2879" t="s">
        <v>9701</v>
      </c>
      <c r="Q174" s="2883">
        <v>14</v>
      </c>
      <c r="R174" s="2927">
        <v>18</v>
      </c>
      <c r="S174" s="2883">
        <v>50</v>
      </c>
      <c r="T174" s="2883">
        <v>10</v>
      </c>
      <c r="U174" s="2883">
        <v>20</v>
      </c>
      <c r="V174" s="2883">
        <v>35</v>
      </c>
      <c r="W174" s="2883">
        <v>3</v>
      </c>
      <c r="X174" s="2884" t="str">
        <f>O174&amp;P174</f>
        <v>Aumento De Daño Real+100</v>
      </c>
      <c r="Z174" s="2872"/>
    </row>
    <row r="175" spans="1:26" ht="12" customHeight="1" x14ac:dyDescent="0.2">
      <c r="A175" s="6112"/>
      <c r="B175" s="6115"/>
      <c r="C175" s="2879" t="s">
        <v>9911</v>
      </c>
      <c r="D175" s="2879"/>
      <c r="E175" s="2880"/>
      <c r="F175" s="2890"/>
      <c r="N175" s="6122"/>
      <c r="O175" s="2901" t="s">
        <v>9912</v>
      </c>
      <c r="P175" s="2879"/>
      <c r="Q175" s="2883"/>
      <c r="R175" s="2927"/>
      <c r="S175" s="2883"/>
      <c r="T175" s="2883"/>
      <c r="U175" s="2883"/>
      <c r="V175" s="2883"/>
      <c r="W175" s="2883"/>
      <c r="X175" s="2884" t="str">
        <f>O175&amp;P175</f>
        <v>&gt; MULTIPLICADOR AL DAÑO</v>
      </c>
      <c r="Z175" s="2872"/>
    </row>
    <row r="176" spans="1:26" ht="12" customHeight="1" x14ac:dyDescent="0.2">
      <c r="A176" s="6112"/>
      <c r="B176" s="6115"/>
      <c r="C176" s="2879" t="s">
        <v>9847</v>
      </c>
      <c r="D176" s="2879" t="s">
        <v>9913</v>
      </c>
      <c r="E176" s="2880">
        <v>-5</v>
      </c>
      <c r="F176" s="2890">
        <v>1</v>
      </c>
      <c r="N176" s="6122"/>
      <c r="O176" s="2901" t="s">
        <v>9914</v>
      </c>
      <c r="P176" s="2879" t="s">
        <v>9915</v>
      </c>
      <c r="Q176" s="2883">
        <v>10</v>
      </c>
      <c r="R176" s="2927">
        <v>15</v>
      </c>
      <c r="S176" s="2883">
        <v>25</v>
      </c>
      <c r="T176" s="2883">
        <v>4</v>
      </c>
      <c r="U176" s="2883">
        <v>8</v>
      </c>
      <c r="V176" s="2883">
        <v>14</v>
      </c>
      <c r="W176" s="2883">
        <v>1</v>
      </c>
      <c r="X176" s="2884" t="str">
        <f>O176&amp;P176</f>
        <v>Multiplicador Al Dañox2</v>
      </c>
      <c r="Z176" s="2872"/>
    </row>
    <row r="177" spans="1:26" ht="12" customHeight="1" x14ac:dyDescent="0.2">
      <c r="A177" s="6112"/>
      <c r="B177" s="6115"/>
      <c r="C177" s="2879" t="s">
        <v>9847</v>
      </c>
      <c r="D177" s="2879" t="s">
        <v>9916</v>
      </c>
      <c r="E177" s="2880">
        <v>-10</v>
      </c>
      <c r="F177" s="2890">
        <v>1</v>
      </c>
      <c r="N177" s="6122"/>
      <c r="O177" s="2901" t="s">
        <v>9914</v>
      </c>
      <c r="P177" s="2879" t="s">
        <v>9917</v>
      </c>
      <c r="Q177" s="2883">
        <v>15</v>
      </c>
      <c r="R177" s="2927">
        <v>20</v>
      </c>
      <c r="S177" s="2883">
        <v>40</v>
      </c>
      <c r="T177" s="2883">
        <v>8</v>
      </c>
      <c r="U177" s="2883">
        <v>16</v>
      </c>
      <c r="V177" s="2883">
        <v>28</v>
      </c>
      <c r="W177" s="2883">
        <v>2</v>
      </c>
      <c r="X177" s="2884" t="str">
        <f>O177&amp;P177</f>
        <v>Multiplicador Al Dañox3</v>
      </c>
      <c r="Z177" s="2872"/>
    </row>
    <row r="178" spans="1:26" ht="12" customHeight="1" x14ac:dyDescent="0.2">
      <c r="A178" s="6112"/>
      <c r="B178" s="6115"/>
      <c r="C178" s="2879" t="s">
        <v>9918</v>
      </c>
      <c r="D178" s="2879"/>
      <c r="E178" s="2880"/>
      <c r="F178" s="2890"/>
      <c r="N178" s="6122"/>
      <c r="O178" s="2901" t="s">
        <v>9914</v>
      </c>
      <c r="P178" s="2879" t="s">
        <v>9919</v>
      </c>
      <c r="Q178" s="2883">
        <v>20</v>
      </c>
      <c r="R178" s="2927">
        <v>30</v>
      </c>
      <c r="S178" s="2883">
        <v>80</v>
      </c>
      <c r="T178" s="2883">
        <v>12</v>
      </c>
      <c r="U178" s="2883">
        <v>24</v>
      </c>
      <c r="V178" s="2883">
        <v>42</v>
      </c>
      <c r="W178" s="2883">
        <v>3</v>
      </c>
      <c r="X178" s="2884" t="str">
        <f>O178&amp;P178</f>
        <v>Multiplicador Al Dañox4</v>
      </c>
      <c r="Z178" s="2872"/>
    </row>
    <row r="179" spans="1:26" ht="12" customHeight="1" x14ac:dyDescent="0.2">
      <c r="A179" s="6112"/>
      <c r="B179" s="6115"/>
      <c r="C179" s="2879" t="s">
        <v>9848</v>
      </c>
      <c r="D179" s="2879" t="s">
        <v>9920</v>
      </c>
      <c r="E179" s="2880">
        <v>-5</v>
      </c>
      <c r="F179" s="2890">
        <v>1</v>
      </c>
      <c r="N179" s="6122"/>
      <c r="O179" s="2901" t="s">
        <v>9921</v>
      </c>
      <c r="P179" s="2879"/>
      <c r="Q179" s="2883"/>
      <c r="R179" s="2927"/>
      <c r="S179" s="2883"/>
      <c r="T179" s="2883"/>
      <c r="U179" s="2883"/>
      <c r="V179" s="2883"/>
      <c r="W179" s="2883"/>
      <c r="X179" s="2884" t="str">
        <f>O179&amp;P179</f>
        <v>&gt; MULTIPLICADOR AL DAÑO REAL</v>
      </c>
      <c r="Z179" s="2872"/>
    </row>
    <row r="180" spans="1:26" ht="12" customHeight="1" x14ac:dyDescent="0.2">
      <c r="A180" s="6112"/>
      <c r="B180" s="6115"/>
      <c r="C180" s="2879" t="s">
        <v>9848</v>
      </c>
      <c r="D180" s="2879" t="s">
        <v>9922</v>
      </c>
      <c r="E180" s="2880">
        <v>-10</v>
      </c>
      <c r="F180" s="2890">
        <v>1</v>
      </c>
      <c r="N180" s="6122"/>
      <c r="O180" s="2901" t="s">
        <v>9923</v>
      </c>
      <c r="P180" s="2879" t="s">
        <v>9915</v>
      </c>
      <c r="Q180" s="2883">
        <v>20</v>
      </c>
      <c r="R180" s="2927">
        <v>30</v>
      </c>
      <c r="S180" s="2883">
        <v>40</v>
      </c>
      <c r="T180" s="2883">
        <v>8</v>
      </c>
      <c r="U180" s="2883">
        <v>16</v>
      </c>
      <c r="V180" s="2883">
        <v>28</v>
      </c>
      <c r="W180" s="2883">
        <v>1</v>
      </c>
      <c r="X180" s="2884" t="str">
        <f>O180&amp;P180</f>
        <v>Multiplicador Al Daño Realx2</v>
      </c>
      <c r="Z180" s="2872"/>
    </row>
    <row r="181" spans="1:26" ht="12" customHeight="1" x14ac:dyDescent="0.2">
      <c r="A181" s="6112"/>
      <c r="B181" s="6115"/>
      <c r="C181" s="2879" t="s">
        <v>9848</v>
      </c>
      <c r="D181" s="2879" t="s">
        <v>9924</v>
      </c>
      <c r="E181" s="2880">
        <v>-15</v>
      </c>
      <c r="F181" s="2890">
        <v>2</v>
      </c>
      <c r="N181" s="6122"/>
      <c r="O181" s="2901" t="s">
        <v>9923</v>
      </c>
      <c r="P181" s="2879" t="s">
        <v>9917</v>
      </c>
      <c r="Q181" s="2883">
        <v>30</v>
      </c>
      <c r="R181" s="2927">
        <v>36</v>
      </c>
      <c r="S181" s="2883">
        <v>70</v>
      </c>
      <c r="T181" s="2883">
        <v>16</v>
      </c>
      <c r="U181" s="2883">
        <v>32</v>
      </c>
      <c r="V181" s="2883">
        <v>56</v>
      </c>
      <c r="W181" s="2883">
        <v>2</v>
      </c>
      <c r="X181" s="2884" t="str">
        <f>O181&amp;P181</f>
        <v>Multiplicador Al Daño Realx3</v>
      </c>
      <c r="Z181" s="2872"/>
    </row>
    <row r="182" spans="1:26" ht="12" customHeight="1" x14ac:dyDescent="0.2">
      <c r="A182" s="6112"/>
      <c r="B182" s="6115"/>
      <c r="C182" s="2879" t="s">
        <v>9848</v>
      </c>
      <c r="D182" s="2879" t="s">
        <v>9925</v>
      </c>
      <c r="E182" s="2880">
        <v>-20</v>
      </c>
      <c r="F182" s="2890">
        <v>2</v>
      </c>
      <c r="N182" s="6122"/>
      <c r="O182" s="2901" t="s">
        <v>9923</v>
      </c>
      <c r="P182" s="2879" t="s">
        <v>9919</v>
      </c>
      <c r="Q182" s="2883">
        <v>40</v>
      </c>
      <c r="R182" s="2927">
        <v>48</v>
      </c>
      <c r="S182" s="2883">
        <v>100</v>
      </c>
      <c r="T182" s="2883">
        <v>22</v>
      </c>
      <c r="U182" s="2883">
        <v>44</v>
      </c>
      <c r="V182" s="2883">
        <v>77</v>
      </c>
      <c r="W182" s="2883">
        <v>3</v>
      </c>
      <c r="X182" s="2884" t="str">
        <f>O182&amp;P182</f>
        <v>Multiplicador Al Daño Realx4</v>
      </c>
      <c r="Z182" s="2872"/>
    </row>
    <row r="183" spans="1:26" ht="12" customHeight="1" x14ac:dyDescent="0.2">
      <c r="A183" s="6112"/>
      <c r="B183" s="6115"/>
      <c r="C183" s="2879" t="s">
        <v>9848</v>
      </c>
      <c r="D183" s="2879" t="s">
        <v>8147</v>
      </c>
      <c r="E183" s="2880">
        <v>-25</v>
      </c>
      <c r="F183" s="2890">
        <v>3</v>
      </c>
      <c r="N183" s="6122"/>
      <c r="O183" s="2901" t="s">
        <v>9926</v>
      </c>
      <c r="P183" s="2879"/>
      <c r="Q183" s="2883"/>
      <c r="R183" s="2927"/>
      <c r="S183" s="2883"/>
      <c r="T183" s="2883"/>
      <c r="U183" s="2883"/>
      <c r="V183" s="2883"/>
      <c r="W183" s="2883"/>
      <c r="X183" s="2884" t="str">
        <f>O183&amp;P183</f>
        <v>&gt; SUSTITUCIÓN DE DAÑO</v>
      </c>
      <c r="Z183" s="2872"/>
    </row>
    <row r="184" spans="1:26" ht="12" customHeight="1" x14ac:dyDescent="0.2">
      <c r="A184" s="6112"/>
      <c r="B184" s="6115"/>
      <c r="C184" s="2879" t="s">
        <v>9927</v>
      </c>
      <c r="D184" s="2879"/>
      <c r="E184" s="2880"/>
      <c r="F184" s="2890"/>
      <c r="N184" s="6122"/>
      <c r="O184" s="2901" t="s">
        <v>9928</v>
      </c>
      <c r="P184" s="2879" t="s">
        <v>9929</v>
      </c>
      <c r="Q184" s="2883">
        <v>1</v>
      </c>
      <c r="R184" s="2927">
        <v>2</v>
      </c>
      <c r="S184" s="2883">
        <v>5</v>
      </c>
      <c r="T184" s="2883">
        <v>1</v>
      </c>
      <c r="U184" s="2883">
        <v>2</v>
      </c>
      <c r="V184" s="2883">
        <v>4</v>
      </c>
      <c r="W184" s="2883">
        <v>1</v>
      </c>
      <c r="X184" s="2884" t="str">
        <f>O184&amp;P184</f>
        <v>Sustitución De Daño50</v>
      </c>
      <c r="Z184" s="2872"/>
    </row>
    <row r="185" spans="1:26" ht="12" customHeight="1" x14ac:dyDescent="0.2">
      <c r="A185" s="6112"/>
      <c r="B185" s="6115"/>
      <c r="C185" s="2879" t="s">
        <v>9849</v>
      </c>
      <c r="D185" s="2879"/>
      <c r="E185" s="2880">
        <v>-30</v>
      </c>
      <c r="F185" s="2890">
        <v>1</v>
      </c>
      <c r="N185" s="6122"/>
      <c r="O185" s="2901" t="s">
        <v>9928</v>
      </c>
      <c r="P185" s="2879" t="s">
        <v>8344</v>
      </c>
      <c r="Q185" s="2883">
        <v>3</v>
      </c>
      <c r="R185" s="2927">
        <v>5</v>
      </c>
      <c r="S185" s="2883">
        <v>10</v>
      </c>
      <c r="T185" s="2883">
        <v>2</v>
      </c>
      <c r="U185" s="2883">
        <v>4</v>
      </c>
      <c r="V185" s="2883">
        <v>7</v>
      </c>
      <c r="W185" s="2883">
        <v>1</v>
      </c>
      <c r="X185" s="2884" t="str">
        <f>O185&amp;P185</f>
        <v>Sustitución De Daño100</v>
      </c>
      <c r="Z185" s="2872"/>
    </row>
    <row r="186" spans="1:26" ht="12" customHeight="1" x14ac:dyDescent="0.2">
      <c r="A186" s="6112"/>
      <c r="B186" s="6115"/>
      <c r="C186" s="2879" t="s">
        <v>9930</v>
      </c>
      <c r="D186" s="2879"/>
      <c r="E186" s="2880"/>
      <c r="F186" s="2890"/>
      <c r="N186" s="6122"/>
      <c r="O186" s="2901" t="s">
        <v>9928</v>
      </c>
      <c r="P186" s="2879" t="s">
        <v>8345</v>
      </c>
      <c r="Q186" s="2883">
        <v>5</v>
      </c>
      <c r="R186" s="2927">
        <v>8</v>
      </c>
      <c r="S186" s="2883">
        <v>15</v>
      </c>
      <c r="T186" s="2883">
        <v>3</v>
      </c>
      <c r="U186" s="2883">
        <v>6</v>
      </c>
      <c r="V186" s="2883">
        <v>11</v>
      </c>
      <c r="W186" s="2883">
        <v>1</v>
      </c>
      <c r="X186" s="2884" t="str">
        <f>O186&amp;P186</f>
        <v>Sustitución De Daño120</v>
      </c>
      <c r="Z186" s="2872"/>
    </row>
    <row r="187" spans="1:26" ht="12" customHeight="1" x14ac:dyDescent="0.2">
      <c r="A187" s="6112"/>
      <c r="B187" s="6115"/>
      <c r="C187" s="2879" t="s">
        <v>3759</v>
      </c>
      <c r="D187" s="2879"/>
      <c r="E187" s="2880">
        <v>-15</v>
      </c>
      <c r="F187" s="2890">
        <v>1</v>
      </c>
      <c r="N187" s="6122"/>
      <c r="O187" s="2901" t="s">
        <v>9928</v>
      </c>
      <c r="P187" s="2879" t="s">
        <v>9931</v>
      </c>
      <c r="Q187" s="2883">
        <v>7</v>
      </c>
      <c r="R187" s="2927">
        <v>10</v>
      </c>
      <c r="S187" s="2883">
        <v>20</v>
      </c>
      <c r="T187" s="2883">
        <v>5</v>
      </c>
      <c r="U187" s="2883">
        <v>10</v>
      </c>
      <c r="V187" s="2883">
        <v>18</v>
      </c>
      <c r="W187" s="2883">
        <v>2</v>
      </c>
      <c r="X187" s="2884" t="str">
        <f>O187&amp;P187</f>
        <v>Sustitución De Daño150</v>
      </c>
      <c r="Z187" s="2872"/>
    </row>
    <row r="188" spans="1:26" ht="12" customHeight="1" x14ac:dyDescent="0.2">
      <c r="A188" s="6112"/>
      <c r="B188" s="6115"/>
      <c r="C188" s="2879" t="s">
        <v>9932</v>
      </c>
      <c r="D188" s="2879"/>
      <c r="E188" s="2880"/>
      <c r="F188" s="2890"/>
      <c r="N188" s="6122"/>
      <c r="O188" s="2901" t="s">
        <v>9928</v>
      </c>
      <c r="P188" s="2879" t="s">
        <v>9933</v>
      </c>
      <c r="Q188" s="2883">
        <v>9</v>
      </c>
      <c r="R188" s="2927">
        <v>12</v>
      </c>
      <c r="S188" s="2883">
        <v>25</v>
      </c>
      <c r="T188" s="2883">
        <v>7</v>
      </c>
      <c r="U188" s="2883">
        <v>14</v>
      </c>
      <c r="V188" s="2883">
        <v>25</v>
      </c>
      <c r="W188" s="2883">
        <v>2</v>
      </c>
      <c r="X188" s="2884" t="str">
        <f>O188&amp;P188</f>
        <v>Sustitución De Daño180</v>
      </c>
      <c r="Z188" s="2872"/>
    </row>
    <row r="189" spans="1:26" ht="12" customHeight="1" x14ac:dyDescent="0.2">
      <c r="A189" s="6112"/>
      <c r="B189" s="6115"/>
      <c r="C189" s="2879" t="s">
        <v>3760</v>
      </c>
      <c r="D189" s="2879" t="s">
        <v>9934</v>
      </c>
      <c r="E189" s="2880">
        <v>-5</v>
      </c>
      <c r="F189" s="2890">
        <v>1</v>
      </c>
      <c r="N189" s="6122"/>
      <c r="O189" s="2901" t="s">
        <v>9928</v>
      </c>
      <c r="P189" s="2879" t="s">
        <v>9935</v>
      </c>
      <c r="Q189" s="2883">
        <v>12</v>
      </c>
      <c r="R189" s="2927">
        <v>15</v>
      </c>
      <c r="S189" s="2883">
        <v>30</v>
      </c>
      <c r="T189" s="2883">
        <v>9</v>
      </c>
      <c r="U189" s="2883">
        <v>18</v>
      </c>
      <c r="V189" s="2883">
        <v>32</v>
      </c>
      <c r="W189" s="2883">
        <v>3</v>
      </c>
      <c r="X189" s="2884" t="str">
        <f>O189&amp;P189</f>
        <v>Sustitución De Daño200</v>
      </c>
      <c r="Z189" s="2872"/>
    </row>
    <row r="190" spans="1:26" ht="12" customHeight="1" x14ac:dyDescent="0.2">
      <c r="A190" s="6112"/>
      <c r="B190" s="6115"/>
      <c r="C190" s="2879" t="s">
        <v>3760</v>
      </c>
      <c r="D190" s="2879" t="s">
        <v>9936</v>
      </c>
      <c r="E190" s="2880">
        <v>-10</v>
      </c>
      <c r="F190" s="2890">
        <v>1</v>
      </c>
      <c r="N190" s="6122"/>
      <c r="O190" s="2901" t="s">
        <v>9928</v>
      </c>
      <c r="P190" s="2879" t="s">
        <v>9937</v>
      </c>
      <c r="Q190" s="2883">
        <v>15</v>
      </c>
      <c r="R190" s="2927">
        <v>19</v>
      </c>
      <c r="S190" s="2883">
        <v>35</v>
      </c>
      <c r="T190" s="2883">
        <v>12</v>
      </c>
      <c r="U190" s="2883">
        <v>24</v>
      </c>
      <c r="V190" s="2883">
        <v>42</v>
      </c>
      <c r="W190" s="2883">
        <v>3</v>
      </c>
      <c r="X190" s="2884" t="str">
        <f>O190&amp;P190</f>
        <v>Sustitución De Daño250</v>
      </c>
      <c r="Z190" s="2872"/>
    </row>
    <row r="191" spans="1:26" ht="12" customHeight="1" x14ac:dyDescent="0.2">
      <c r="A191" s="6112"/>
      <c r="B191" s="6115"/>
      <c r="C191" s="2879" t="s">
        <v>9938</v>
      </c>
      <c r="D191" s="2879"/>
      <c r="E191" s="2880"/>
      <c r="F191" s="2890"/>
      <c r="N191" s="6122"/>
      <c r="O191" s="2901" t="s">
        <v>9939</v>
      </c>
      <c r="P191" s="2879"/>
      <c r="Q191" s="2883"/>
      <c r="R191" s="2927"/>
      <c r="S191" s="2883"/>
      <c r="T191" s="2883"/>
      <c r="U191" s="2883"/>
      <c r="V191" s="2883"/>
      <c r="W191" s="2883"/>
      <c r="X191" s="2884" t="str">
        <f>O191&amp;P191</f>
        <v>&gt; SUSTITUCIÓN DE DAÑO REAL</v>
      </c>
      <c r="Z191" s="2872"/>
    </row>
    <row r="192" spans="1:26" ht="12" customHeight="1" x14ac:dyDescent="0.2">
      <c r="A192" s="6112"/>
      <c r="B192" s="6115"/>
      <c r="C192" s="2879" t="s">
        <v>9850</v>
      </c>
      <c r="D192" s="2879" t="s">
        <v>9940</v>
      </c>
      <c r="E192" s="2880">
        <v>-5</v>
      </c>
      <c r="F192" s="2890">
        <v>1</v>
      </c>
      <c r="N192" s="6122"/>
      <c r="O192" s="2901" t="s">
        <v>9941</v>
      </c>
      <c r="P192" s="2879" t="s">
        <v>9929</v>
      </c>
      <c r="Q192" s="2883">
        <v>3</v>
      </c>
      <c r="R192" s="2927">
        <v>5</v>
      </c>
      <c r="S192" s="2883">
        <v>10</v>
      </c>
      <c r="T192" s="2883">
        <v>2</v>
      </c>
      <c r="U192" s="2883">
        <v>4</v>
      </c>
      <c r="V192" s="2883">
        <v>7</v>
      </c>
      <c r="W192" s="2883">
        <v>1</v>
      </c>
      <c r="X192" s="2884" t="str">
        <f>O192&amp;P192</f>
        <v>Sustitución De Daño Real50</v>
      </c>
      <c r="Z192" s="2872"/>
    </row>
    <row r="193" spans="1:26" ht="12" customHeight="1" x14ac:dyDescent="0.2">
      <c r="A193" s="6112"/>
      <c r="B193" s="6115"/>
      <c r="C193" s="2879" t="s">
        <v>9850</v>
      </c>
      <c r="D193" s="2879" t="s">
        <v>9942</v>
      </c>
      <c r="E193" s="2880">
        <v>-10</v>
      </c>
      <c r="F193" s="2890">
        <v>2</v>
      </c>
      <c r="N193" s="6122"/>
      <c r="O193" s="2901" t="s">
        <v>9941</v>
      </c>
      <c r="P193" s="2879" t="s">
        <v>8344</v>
      </c>
      <c r="Q193" s="2883">
        <v>5</v>
      </c>
      <c r="R193" s="2927">
        <v>8</v>
      </c>
      <c r="S193" s="2883">
        <v>15</v>
      </c>
      <c r="T193" s="2883">
        <v>5</v>
      </c>
      <c r="U193" s="2883">
        <v>10</v>
      </c>
      <c r="V193" s="2883">
        <v>18</v>
      </c>
      <c r="W193" s="2883">
        <v>1</v>
      </c>
      <c r="X193" s="2884" t="str">
        <f>O193&amp;P193</f>
        <v>Sustitución De Daño Real100</v>
      </c>
      <c r="Z193" s="2872"/>
    </row>
    <row r="194" spans="1:26" ht="12" customHeight="1" x14ac:dyDescent="0.2">
      <c r="A194" s="6112"/>
      <c r="B194" s="6115"/>
      <c r="C194" s="2879" t="s">
        <v>9850</v>
      </c>
      <c r="D194" s="2879" t="s">
        <v>9943</v>
      </c>
      <c r="E194" s="2880">
        <v>-15</v>
      </c>
      <c r="F194" s="2890">
        <v>3</v>
      </c>
      <c r="N194" s="6122"/>
      <c r="O194" s="2901" t="s">
        <v>9941</v>
      </c>
      <c r="P194" s="2879" t="s">
        <v>8345</v>
      </c>
      <c r="Q194" s="2883">
        <v>8</v>
      </c>
      <c r="R194" s="2927">
        <v>11</v>
      </c>
      <c r="S194" s="2883">
        <v>20</v>
      </c>
      <c r="T194" s="2883">
        <v>6</v>
      </c>
      <c r="U194" s="2883">
        <v>12</v>
      </c>
      <c r="V194" s="2883">
        <v>21</v>
      </c>
      <c r="W194" s="2883">
        <v>1</v>
      </c>
      <c r="X194" s="2884" t="str">
        <f>O194&amp;P194</f>
        <v>Sustitución De Daño Real120</v>
      </c>
      <c r="Z194" s="2872"/>
    </row>
    <row r="195" spans="1:26" ht="12" customHeight="1" x14ac:dyDescent="0.2">
      <c r="A195" s="6112"/>
      <c r="B195" s="6115"/>
      <c r="C195" s="2879" t="s">
        <v>9944</v>
      </c>
      <c r="D195" s="2879"/>
      <c r="E195" s="2880"/>
      <c r="F195" s="2890"/>
      <c r="N195" s="6122"/>
      <c r="O195" s="2901" t="s">
        <v>9941</v>
      </c>
      <c r="P195" s="2879" t="s">
        <v>9931</v>
      </c>
      <c r="Q195" s="2883">
        <v>12</v>
      </c>
      <c r="R195" s="2927">
        <v>15</v>
      </c>
      <c r="S195" s="2883">
        <v>30</v>
      </c>
      <c r="T195" s="2883">
        <v>8</v>
      </c>
      <c r="U195" s="2883">
        <v>16</v>
      </c>
      <c r="V195" s="2883">
        <v>28</v>
      </c>
      <c r="W195" s="2883">
        <v>2</v>
      </c>
      <c r="X195" s="2884" t="str">
        <f>O195&amp;P195</f>
        <v>Sustitución De Daño Real150</v>
      </c>
      <c r="Z195" s="2872"/>
    </row>
    <row r="196" spans="1:26" ht="12" customHeight="1" x14ac:dyDescent="0.2">
      <c r="A196" s="6112"/>
      <c r="B196" s="6115"/>
      <c r="C196" s="2879" t="s">
        <v>9851</v>
      </c>
      <c r="D196" s="2879" t="s">
        <v>9945</v>
      </c>
      <c r="E196" s="2880">
        <v>-10</v>
      </c>
      <c r="F196" s="2890">
        <v>1</v>
      </c>
      <c r="N196" s="6122"/>
      <c r="O196" s="2901" t="s">
        <v>9941</v>
      </c>
      <c r="P196" s="2879" t="s">
        <v>9933</v>
      </c>
      <c r="Q196" s="2883">
        <v>15</v>
      </c>
      <c r="R196" s="2927">
        <v>19</v>
      </c>
      <c r="S196" s="2883">
        <v>40</v>
      </c>
      <c r="T196" s="2883">
        <v>10</v>
      </c>
      <c r="U196" s="2883">
        <v>20</v>
      </c>
      <c r="V196" s="2883">
        <v>35</v>
      </c>
      <c r="W196" s="2883">
        <v>2</v>
      </c>
      <c r="X196" s="2884" t="str">
        <f>O196&amp;P196</f>
        <v>Sustitución De Daño Real180</v>
      </c>
      <c r="Z196" s="2872"/>
    </row>
    <row r="197" spans="1:26" ht="12" customHeight="1" x14ac:dyDescent="0.2">
      <c r="A197" s="6112"/>
      <c r="B197" s="6115"/>
      <c r="C197" s="2879" t="s">
        <v>9851</v>
      </c>
      <c r="D197" s="2879" t="s">
        <v>9946</v>
      </c>
      <c r="E197" s="2880">
        <v>-20</v>
      </c>
      <c r="F197" s="2890">
        <v>1</v>
      </c>
      <c r="N197" s="6122"/>
      <c r="O197" s="2901" t="s">
        <v>9941</v>
      </c>
      <c r="P197" s="2879" t="s">
        <v>9935</v>
      </c>
      <c r="Q197" s="2883">
        <v>18</v>
      </c>
      <c r="R197" s="2927">
        <v>22</v>
      </c>
      <c r="S197" s="2883">
        <v>50</v>
      </c>
      <c r="T197" s="2883">
        <v>12</v>
      </c>
      <c r="U197" s="2883">
        <v>24</v>
      </c>
      <c r="V197" s="2883">
        <v>42</v>
      </c>
      <c r="W197" s="2883">
        <v>3</v>
      </c>
      <c r="X197" s="2884" t="str">
        <f>O197&amp;P197</f>
        <v>Sustitución De Daño Real200</v>
      </c>
      <c r="Z197" s="2872"/>
    </row>
    <row r="198" spans="1:26" ht="12" customHeight="1" x14ac:dyDescent="0.2">
      <c r="A198" s="6112"/>
      <c r="B198" s="6115"/>
      <c r="C198" s="2879" t="s">
        <v>9851</v>
      </c>
      <c r="D198" s="2879" t="s">
        <v>9947</v>
      </c>
      <c r="E198" s="2880">
        <v>-25</v>
      </c>
      <c r="F198" s="2890">
        <v>2</v>
      </c>
      <c r="N198" s="6122"/>
      <c r="O198" s="2901" t="s">
        <v>3252</v>
      </c>
      <c r="P198" s="2879"/>
      <c r="Q198" s="2883"/>
      <c r="R198" s="2927"/>
      <c r="S198" s="2883"/>
      <c r="T198" s="2883"/>
      <c r="U198" s="2883"/>
      <c r="V198" s="2883"/>
      <c r="W198" s="2883"/>
      <c r="X198" s="2884" t="str">
        <f>O198&amp;P198</f>
        <v>&gt;&gt;EFECTOS DE ACCION</v>
      </c>
      <c r="Z198" s="2872"/>
    </row>
    <row r="199" spans="1:26" ht="12" customHeight="1" x14ac:dyDescent="0.2">
      <c r="A199" s="6112"/>
      <c r="B199" s="6115"/>
      <c r="C199" s="2879" t="s">
        <v>9851</v>
      </c>
      <c r="D199" s="2879" t="s">
        <v>9948</v>
      </c>
      <c r="E199" s="2880">
        <v>-30</v>
      </c>
      <c r="F199" s="2890">
        <v>2</v>
      </c>
      <c r="N199" s="6122"/>
      <c r="O199" s="2901" t="s">
        <v>9949</v>
      </c>
      <c r="P199" s="2879"/>
      <c r="Q199" s="2883"/>
      <c r="R199" s="2927"/>
      <c r="S199" s="2883"/>
      <c r="T199" s="2883"/>
      <c r="U199" s="2883"/>
      <c r="V199" s="2883"/>
      <c r="W199" s="2883"/>
      <c r="X199" s="2884" t="str">
        <f>O199&amp;P199</f>
        <v>&gt; ATAQUE ADICIONAL</v>
      </c>
      <c r="Z199" s="2872"/>
    </row>
    <row r="200" spans="1:26" ht="12" customHeight="1" thickBot="1" x14ac:dyDescent="0.25">
      <c r="A200" s="6112"/>
      <c r="B200" s="6116"/>
      <c r="C200" s="2887" t="s">
        <v>9851</v>
      </c>
      <c r="D200" s="2887" t="s">
        <v>9950</v>
      </c>
      <c r="E200" s="2888">
        <v>-40</v>
      </c>
      <c r="F200" s="2891">
        <v>3</v>
      </c>
      <c r="N200" s="6122"/>
      <c r="O200" s="2901" t="s">
        <v>9731</v>
      </c>
      <c r="P200" s="2879" t="s">
        <v>3286</v>
      </c>
      <c r="Q200" s="2883">
        <v>6</v>
      </c>
      <c r="R200" s="2927">
        <v>9</v>
      </c>
      <c r="S200" s="2883">
        <v>20</v>
      </c>
      <c r="T200" s="2883">
        <v>3</v>
      </c>
      <c r="U200" s="2883">
        <v>6</v>
      </c>
      <c r="V200" s="2883">
        <v>11</v>
      </c>
      <c r="W200" s="2883">
        <v>1</v>
      </c>
      <c r="X200" s="2884" t="str">
        <f>O200&amp;P200</f>
        <v>Ataque Adicional+1</v>
      </c>
      <c r="Z200" s="2872"/>
    </row>
    <row r="201" spans="1:26" ht="12" customHeight="1" x14ac:dyDescent="0.2">
      <c r="A201" s="6112"/>
      <c r="N201" s="6122"/>
      <c r="O201" s="2901" t="s">
        <v>9731</v>
      </c>
      <c r="P201" s="2879" t="s">
        <v>3230</v>
      </c>
      <c r="Q201" s="2883">
        <v>12</v>
      </c>
      <c r="R201" s="2927">
        <v>15</v>
      </c>
      <c r="S201" s="2883">
        <v>30</v>
      </c>
      <c r="T201" s="2883">
        <v>6</v>
      </c>
      <c r="U201" s="2883">
        <v>12</v>
      </c>
      <c r="V201" s="2883">
        <v>21</v>
      </c>
      <c r="W201" s="2883">
        <v>1</v>
      </c>
      <c r="X201" s="2884" t="str">
        <f>O201&amp;P201</f>
        <v>Ataque Adicional+2</v>
      </c>
      <c r="Z201" s="2872"/>
    </row>
    <row r="202" spans="1:26" ht="12" customHeight="1" x14ac:dyDescent="0.2">
      <c r="A202" s="6112"/>
      <c r="N202" s="6122"/>
      <c r="O202" s="2901" t="s">
        <v>9731</v>
      </c>
      <c r="P202" s="2879" t="s">
        <v>3231</v>
      </c>
      <c r="Q202" s="2883">
        <v>18</v>
      </c>
      <c r="R202" s="2927">
        <v>22</v>
      </c>
      <c r="S202" s="2883">
        <v>40</v>
      </c>
      <c r="T202" s="2883">
        <v>9</v>
      </c>
      <c r="U202" s="2883">
        <v>18</v>
      </c>
      <c r="V202" s="2883">
        <v>32</v>
      </c>
      <c r="W202" s="2883">
        <v>1</v>
      </c>
      <c r="X202" s="2884" t="str">
        <f>O202&amp;P202</f>
        <v>Ataque Adicional+3</v>
      </c>
      <c r="Z202" s="2872"/>
    </row>
    <row r="203" spans="1:26" ht="12" customHeight="1" x14ac:dyDescent="0.2">
      <c r="A203" s="6112"/>
      <c r="N203" s="6122"/>
      <c r="O203" s="2901" t="s">
        <v>9731</v>
      </c>
      <c r="P203" s="2879" t="s">
        <v>3712</v>
      </c>
      <c r="Q203" s="2883">
        <v>24</v>
      </c>
      <c r="R203" s="2927">
        <v>29</v>
      </c>
      <c r="S203" s="2883">
        <v>50</v>
      </c>
      <c r="T203" s="2883">
        <v>12</v>
      </c>
      <c r="U203" s="2883">
        <v>24</v>
      </c>
      <c r="V203" s="2883">
        <v>42</v>
      </c>
      <c r="W203" s="2883">
        <v>2</v>
      </c>
      <c r="X203" s="2884" t="str">
        <f>O203&amp;P203</f>
        <v>Ataque Adicional+4</v>
      </c>
      <c r="Z203" s="2872"/>
    </row>
    <row r="204" spans="1:26" ht="12" customHeight="1" x14ac:dyDescent="0.2">
      <c r="A204" s="6112"/>
      <c r="N204" s="6122"/>
      <c r="O204" s="2901" t="s">
        <v>9731</v>
      </c>
      <c r="P204" s="2879" t="s">
        <v>7643</v>
      </c>
      <c r="Q204" s="2883">
        <v>30</v>
      </c>
      <c r="R204" s="2927">
        <v>36</v>
      </c>
      <c r="S204" s="2883">
        <v>60</v>
      </c>
      <c r="T204" s="2883">
        <v>15</v>
      </c>
      <c r="U204" s="2883">
        <v>30</v>
      </c>
      <c r="V204" s="2883">
        <v>53</v>
      </c>
      <c r="W204" s="2883">
        <v>3</v>
      </c>
      <c r="X204" s="2884" t="str">
        <f>O204&amp;P204</f>
        <v>Ataque Adicional+5</v>
      </c>
      <c r="Z204" s="2872"/>
    </row>
    <row r="205" spans="1:26" ht="12" customHeight="1" x14ac:dyDescent="0.2">
      <c r="A205" s="6112"/>
      <c r="N205" s="6122"/>
      <c r="O205" s="2901" t="s">
        <v>9731</v>
      </c>
      <c r="P205" s="2879" t="s">
        <v>3708</v>
      </c>
      <c r="Q205" s="2883">
        <v>10</v>
      </c>
      <c r="R205" s="2927">
        <v>10</v>
      </c>
      <c r="S205" s="2883">
        <v>30</v>
      </c>
      <c r="T205" s="2883">
        <v>5</v>
      </c>
      <c r="U205" s="2883">
        <v>10</v>
      </c>
      <c r="V205" s="2883">
        <v>18</v>
      </c>
      <c r="W205" s="2883"/>
      <c r="X205" s="2884" t="str">
        <f>O205&amp;P205</f>
        <v>Ataque AdicionalAtaque Contínuo</v>
      </c>
      <c r="Z205" s="2872"/>
    </row>
    <row r="206" spans="1:26" ht="12" customHeight="1" x14ac:dyDescent="0.2">
      <c r="A206" s="6112"/>
      <c r="N206" s="6122"/>
      <c r="O206" s="2901" t="s">
        <v>9731</v>
      </c>
      <c r="P206" s="2879" t="s">
        <v>3709</v>
      </c>
      <c r="Q206" s="2883">
        <v>6</v>
      </c>
      <c r="R206" s="2927">
        <v>6</v>
      </c>
      <c r="S206" s="2883">
        <v>20</v>
      </c>
      <c r="T206" s="2883">
        <v>2</v>
      </c>
      <c r="U206" s="2883">
        <v>4</v>
      </c>
      <c r="V206" s="2883">
        <v>7</v>
      </c>
      <c r="W206" s="2883"/>
      <c r="X206" s="2884" t="str">
        <f>O206&amp;P206</f>
        <v>Ataque AdicionalBono de Cansancio Añadido</v>
      </c>
      <c r="Z206" s="2872"/>
    </row>
    <row r="207" spans="1:26" ht="12" customHeight="1" x14ac:dyDescent="0.2">
      <c r="A207" s="6112"/>
      <c r="N207" s="6122"/>
      <c r="O207" s="2901" t="s">
        <v>9731</v>
      </c>
      <c r="P207" s="2879" t="s">
        <v>9951</v>
      </c>
      <c r="Q207" s="2883">
        <v>-3</v>
      </c>
      <c r="R207" s="2927">
        <v>-3</v>
      </c>
      <c r="S207" s="2883">
        <v>-10</v>
      </c>
      <c r="T207" s="2883"/>
      <c r="U207" s="2883"/>
      <c r="V207" s="2883"/>
      <c r="W207" s="2883"/>
      <c r="X207" s="2884" t="str">
        <f>O207&amp;P207</f>
        <v>Ataque AdicionalHasta 2</v>
      </c>
      <c r="Z207" s="2872"/>
    </row>
    <row r="208" spans="1:26" ht="12" customHeight="1" x14ac:dyDescent="0.2">
      <c r="A208" s="6112"/>
      <c r="N208" s="6122"/>
      <c r="O208" s="2901" t="s">
        <v>9731</v>
      </c>
      <c r="P208" s="2879" t="s">
        <v>9952</v>
      </c>
      <c r="Q208" s="2883">
        <v>-6</v>
      </c>
      <c r="R208" s="2927">
        <v>-6</v>
      </c>
      <c r="S208" s="2883">
        <v>-20</v>
      </c>
      <c r="T208" s="2883"/>
      <c r="U208" s="2883"/>
      <c r="V208" s="2883"/>
      <c r="W208" s="2883"/>
      <c r="X208" s="2884" t="str">
        <f>O208&amp;P208</f>
        <v xml:space="preserve">Ataque Adicional3+ </v>
      </c>
      <c r="Z208" s="2872"/>
    </row>
    <row r="209" spans="1:26" ht="12" customHeight="1" x14ac:dyDescent="0.2">
      <c r="A209" s="6112"/>
      <c r="N209" s="6122"/>
      <c r="O209" s="2901" t="s">
        <v>9953</v>
      </c>
      <c r="P209" s="2879"/>
      <c r="Q209" s="2883"/>
      <c r="R209" s="2927"/>
      <c r="S209" s="2883"/>
      <c r="T209" s="2883"/>
      <c r="U209" s="2883"/>
      <c r="V209" s="2883"/>
      <c r="W209" s="2883"/>
      <c r="X209" s="2884" t="str">
        <f>O209&amp;P209</f>
        <v>&gt; ATAQUE ADICIONAL LIMITADO</v>
      </c>
      <c r="Z209" s="2872"/>
    </row>
    <row r="210" spans="1:26" ht="12" customHeight="1" x14ac:dyDescent="0.2">
      <c r="A210" s="6112"/>
      <c r="N210" s="6122"/>
      <c r="O210" s="2901" t="s">
        <v>9734</v>
      </c>
      <c r="P210" s="2879" t="s">
        <v>3286</v>
      </c>
      <c r="Q210" s="2883">
        <v>3</v>
      </c>
      <c r="R210" s="2927">
        <v>5</v>
      </c>
      <c r="S210" s="2883">
        <v>5</v>
      </c>
      <c r="T210" s="2883">
        <v>1</v>
      </c>
      <c r="U210" s="2883">
        <v>2</v>
      </c>
      <c r="V210" s="2883">
        <v>4</v>
      </c>
      <c r="W210" s="2883">
        <v>1</v>
      </c>
      <c r="X210" s="2884" t="str">
        <f>O210&amp;P210</f>
        <v>Ataque Adicional Limitado+1</v>
      </c>
      <c r="Z210" s="2872"/>
    </row>
    <row r="211" spans="1:26" ht="12" customHeight="1" x14ac:dyDescent="0.2">
      <c r="A211" s="6112"/>
      <c r="N211" s="6122"/>
      <c r="O211" s="2901" t="s">
        <v>9734</v>
      </c>
      <c r="P211" s="2879" t="s">
        <v>3230</v>
      </c>
      <c r="Q211" s="2883">
        <v>6</v>
      </c>
      <c r="R211" s="2927">
        <v>9</v>
      </c>
      <c r="S211" s="2883">
        <v>10</v>
      </c>
      <c r="T211" s="2883">
        <v>2</v>
      </c>
      <c r="U211" s="2883">
        <v>4</v>
      </c>
      <c r="V211" s="2883">
        <v>7</v>
      </c>
      <c r="W211" s="2883">
        <v>1</v>
      </c>
      <c r="X211" s="2884" t="str">
        <f>O211&amp;P211</f>
        <v>Ataque Adicional Limitado+2</v>
      </c>
      <c r="Z211" s="2872"/>
    </row>
    <row r="212" spans="1:26" ht="12" customHeight="1" x14ac:dyDescent="0.2">
      <c r="A212" s="6112"/>
      <c r="N212" s="6122"/>
      <c r="O212" s="2901" t="s">
        <v>9734</v>
      </c>
      <c r="P212" s="2879" t="s">
        <v>3231</v>
      </c>
      <c r="Q212" s="2883">
        <v>9</v>
      </c>
      <c r="R212" s="2927">
        <v>12</v>
      </c>
      <c r="S212" s="2883">
        <v>15</v>
      </c>
      <c r="T212" s="2883">
        <v>3</v>
      </c>
      <c r="U212" s="2883">
        <v>6</v>
      </c>
      <c r="V212" s="2883">
        <v>11</v>
      </c>
      <c r="W212" s="2883">
        <v>1</v>
      </c>
      <c r="X212" s="2884" t="str">
        <f>O212&amp;P212</f>
        <v>Ataque Adicional Limitado+3</v>
      </c>
      <c r="Z212" s="2872"/>
    </row>
    <row r="213" spans="1:26" ht="12" customHeight="1" x14ac:dyDescent="0.2">
      <c r="A213" s="6112"/>
      <c r="C213" s="2892"/>
      <c r="D213" s="2892"/>
      <c r="N213" s="6122"/>
      <c r="O213" s="2901" t="s">
        <v>9734</v>
      </c>
      <c r="P213" s="2879" t="s">
        <v>3712</v>
      </c>
      <c r="Q213" s="2883">
        <v>12</v>
      </c>
      <c r="R213" s="2927">
        <v>15</v>
      </c>
      <c r="S213" s="2883">
        <v>20</v>
      </c>
      <c r="T213" s="2883">
        <v>4</v>
      </c>
      <c r="U213" s="2883">
        <v>8</v>
      </c>
      <c r="V213" s="2883">
        <v>14</v>
      </c>
      <c r="W213" s="2883">
        <v>1</v>
      </c>
      <c r="X213" s="2884" t="str">
        <f>O213&amp;P213</f>
        <v>Ataque Adicional Limitado+4</v>
      </c>
      <c r="Z213" s="2872"/>
    </row>
    <row r="214" spans="1:26" ht="12" customHeight="1" x14ac:dyDescent="0.2">
      <c r="A214" s="6112"/>
      <c r="N214" s="6122"/>
      <c r="O214" s="2901" t="s">
        <v>9734</v>
      </c>
      <c r="P214" s="2879" t="s">
        <v>7643</v>
      </c>
      <c r="Q214" s="2883">
        <v>15</v>
      </c>
      <c r="R214" s="2927">
        <v>19</v>
      </c>
      <c r="S214" s="2883">
        <v>30</v>
      </c>
      <c r="T214" s="2883">
        <v>6</v>
      </c>
      <c r="U214" s="2883">
        <v>12</v>
      </c>
      <c r="V214" s="2883">
        <v>21</v>
      </c>
      <c r="W214" s="2883">
        <v>1</v>
      </c>
      <c r="X214" s="2884" t="str">
        <f>O214&amp;P214</f>
        <v>Ataque Adicional Limitado+5</v>
      </c>
      <c r="Z214" s="2872"/>
    </row>
    <row r="215" spans="1:26" ht="12" customHeight="1" x14ac:dyDescent="0.2">
      <c r="A215" s="6112"/>
      <c r="C215" s="2892"/>
      <c r="D215" s="2892"/>
      <c r="N215" s="6122"/>
      <c r="O215" s="2901" t="s">
        <v>9734</v>
      </c>
      <c r="P215" s="2879" t="s">
        <v>9954</v>
      </c>
      <c r="Q215" s="2883">
        <v>18</v>
      </c>
      <c r="R215" s="2927">
        <v>22</v>
      </c>
      <c r="S215" s="2883">
        <v>40</v>
      </c>
      <c r="T215" s="2883">
        <v>8</v>
      </c>
      <c r="U215" s="2883">
        <v>16</v>
      </c>
      <c r="V215" s="2883">
        <v>28</v>
      </c>
      <c r="W215" s="2883">
        <v>2</v>
      </c>
      <c r="X215" s="2884" t="str">
        <f>O215&amp;P215</f>
        <v>Ataque Adicional Limitado+6</v>
      </c>
      <c r="Z215" s="2872"/>
    </row>
    <row r="216" spans="1:26" ht="12" customHeight="1" x14ac:dyDescent="0.2">
      <c r="A216" s="6112"/>
      <c r="N216" s="6122"/>
      <c r="O216" s="2901" t="s">
        <v>9734</v>
      </c>
      <c r="P216" s="2879" t="s">
        <v>7658</v>
      </c>
      <c r="Q216" s="2883">
        <v>22</v>
      </c>
      <c r="R216" s="2927">
        <v>26</v>
      </c>
      <c r="S216" s="2883">
        <v>50</v>
      </c>
      <c r="T216" s="2883">
        <v>10</v>
      </c>
      <c r="U216" s="2883">
        <v>20</v>
      </c>
      <c r="V216" s="2883">
        <v>35</v>
      </c>
      <c r="W216" s="2883">
        <v>2</v>
      </c>
      <c r="X216" s="2884" t="str">
        <f>O216&amp;P216</f>
        <v>Ataque Adicional Limitado+8</v>
      </c>
      <c r="Z216" s="2872"/>
    </row>
    <row r="217" spans="1:26" ht="12" customHeight="1" x14ac:dyDescent="0.2">
      <c r="A217" s="6112"/>
      <c r="C217" s="2892"/>
      <c r="D217" s="2892"/>
      <c r="N217" s="6122"/>
      <c r="O217" s="2901" t="s">
        <v>9734</v>
      </c>
      <c r="P217" s="2879" t="s">
        <v>8285</v>
      </c>
      <c r="Q217" s="2883">
        <v>26</v>
      </c>
      <c r="R217" s="2927">
        <v>32</v>
      </c>
      <c r="S217" s="2883">
        <v>60</v>
      </c>
      <c r="T217" s="2883">
        <v>12</v>
      </c>
      <c r="U217" s="2883">
        <v>24</v>
      </c>
      <c r="V217" s="2883">
        <v>42</v>
      </c>
      <c r="W217" s="2883">
        <v>3</v>
      </c>
      <c r="X217" s="2884" t="str">
        <f>O217&amp;P217</f>
        <v>Ataque Adicional Limitado+10</v>
      </c>
      <c r="Z217" s="2872"/>
    </row>
    <row r="218" spans="1:26" ht="12" customHeight="1" x14ac:dyDescent="0.2">
      <c r="A218" s="6112"/>
      <c r="N218" s="6122"/>
      <c r="O218" s="2901" t="s">
        <v>9734</v>
      </c>
      <c r="P218" s="2879" t="s">
        <v>3708</v>
      </c>
      <c r="Q218" s="2883">
        <v>10</v>
      </c>
      <c r="R218" s="2927">
        <v>10</v>
      </c>
      <c r="S218" s="2883">
        <v>30</v>
      </c>
      <c r="T218" s="2883">
        <v>5</v>
      </c>
      <c r="U218" s="2883">
        <v>10</v>
      </c>
      <c r="V218" s="2883">
        <v>18</v>
      </c>
      <c r="W218" s="2883"/>
      <c r="X218" s="2884" t="str">
        <f>O218&amp;P218</f>
        <v>Ataque Adicional LimitadoAtaque Contínuo</v>
      </c>
      <c r="Z218" s="2872"/>
    </row>
    <row r="219" spans="1:26" ht="12" customHeight="1" x14ac:dyDescent="0.2">
      <c r="A219" s="6112"/>
      <c r="N219" s="6122"/>
      <c r="O219" s="2901" t="s">
        <v>9955</v>
      </c>
      <c r="P219" s="2879" t="s">
        <v>7690</v>
      </c>
      <c r="Q219" s="2883"/>
      <c r="R219" s="2927"/>
      <c r="S219" s="2883"/>
      <c r="T219" s="2883"/>
      <c r="U219" s="2883"/>
      <c r="V219" s="2883"/>
      <c r="W219" s="2883"/>
      <c r="X219" s="2884" t="str">
        <f>O219&amp;P219</f>
        <v>&gt; DEFENSAS ADICIONALES</v>
      </c>
      <c r="Z219" s="2872"/>
    </row>
    <row r="220" spans="1:26" ht="12" customHeight="1" x14ac:dyDescent="0.2">
      <c r="A220" s="6112"/>
      <c r="N220" s="6122"/>
      <c r="O220" s="2901" t="s">
        <v>9736</v>
      </c>
      <c r="P220" s="2879" t="s">
        <v>3286</v>
      </c>
      <c r="Q220" s="2883">
        <v>1</v>
      </c>
      <c r="R220" s="2927">
        <v>2</v>
      </c>
      <c r="S220" s="2883">
        <v>5</v>
      </c>
      <c r="T220" s="2883">
        <v>1</v>
      </c>
      <c r="U220" s="2883">
        <v>2</v>
      </c>
      <c r="V220" s="2883">
        <v>4</v>
      </c>
      <c r="W220" s="2883">
        <v>1</v>
      </c>
      <c r="X220" s="2884" t="str">
        <f>O220&amp;P220</f>
        <v>Defensas Adicionales+1</v>
      </c>
      <c r="Z220" s="2872"/>
    </row>
    <row r="221" spans="1:26" ht="12" customHeight="1" x14ac:dyDescent="0.2">
      <c r="A221" s="6112"/>
      <c r="N221" s="6122"/>
      <c r="O221" s="2901" t="s">
        <v>9736</v>
      </c>
      <c r="P221" s="2879" t="s">
        <v>3230</v>
      </c>
      <c r="Q221" s="2883">
        <v>2</v>
      </c>
      <c r="R221" s="2927">
        <v>4</v>
      </c>
      <c r="S221" s="2883">
        <v>5</v>
      </c>
      <c r="T221" s="2883">
        <v>2</v>
      </c>
      <c r="U221" s="2883">
        <v>4</v>
      </c>
      <c r="V221" s="2883">
        <v>7</v>
      </c>
      <c r="W221" s="2883">
        <v>1</v>
      </c>
      <c r="X221" s="2884" t="str">
        <f>O221&amp;P221</f>
        <v>Defensas Adicionales+2</v>
      </c>
      <c r="Z221" s="2872"/>
    </row>
    <row r="222" spans="1:26" ht="12" customHeight="1" x14ac:dyDescent="0.2">
      <c r="A222" s="6112"/>
      <c r="N222" s="6122"/>
      <c r="O222" s="2901" t="s">
        <v>9736</v>
      </c>
      <c r="P222" s="2879" t="s">
        <v>3231</v>
      </c>
      <c r="Q222" s="2883">
        <v>3</v>
      </c>
      <c r="R222" s="2927">
        <v>5</v>
      </c>
      <c r="S222" s="2883">
        <v>10</v>
      </c>
      <c r="T222" s="2883">
        <v>3</v>
      </c>
      <c r="U222" s="2883">
        <v>6</v>
      </c>
      <c r="V222" s="2883">
        <v>11</v>
      </c>
      <c r="W222" s="2883">
        <v>1</v>
      </c>
      <c r="X222" s="2884" t="str">
        <f>O222&amp;P222</f>
        <v>Defensas Adicionales+3</v>
      </c>
      <c r="Z222" s="2872"/>
    </row>
    <row r="223" spans="1:26" ht="12" customHeight="1" x14ac:dyDescent="0.2">
      <c r="A223" s="6112"/>
      <c r="N223" s="6122"/>
      <c r="O223" s="2901" t="s">
        <v>9736</v>
      </c>
      <c r="P223" s="2879" t="s">
        <v>3712</v>
      </c>
      <c r="Q223" s="2883">
        <v>4</v>
      </c>
      <c r="R223" s="2927">
        <v>6</v>
      </c>
      <c r="S223" s="2883">
        <v>15</v>
      </c>
      <c r="T223" s="2883">
        <v>4</v>
      </c>
      <c r="U223" s="2883">
        <v>8</v>
      </c>
      <c r="V223" s="2883">
        <v>14</v>
      </c>
      <c r="W223" s="2883">
        <v>1</v>
      </c>
      <c r="X223" s="2884" t="str">
        <f>O223&amp;P223</f>
        <v>Defensas Adicionales+4</v>
      </c>
      <c r="Z223" s="2872"/>
    </row>
    <row r="224" spans="1:26" ht="12" customHeight="1" x14ac:dyDescent="0.2">
      <c r="A224" s="6112"/>
      <c r="N224" s="6122"/>
      <c r="O224" s="2901" t="s">
        <v>9736</v>
      </c>
      <c r="P224" s="2879" t="s">
        <v>9954</v>
      </c>
      <c r="Q224" s="2883">
        <v>5</v>
      </c>
      <c r="R224" s="2927">
        <v>8</v>
      </c>
      <c r="S224" s="2883">
        <v>20</v>
      </c>
      <c r="T224" s="2883">
        <v>6</v>
      </c>
      <c r="U224" s="2883">
        <v>12</v>
      </c>
      <c r="V224" s="2883">
        <v>21</v>
      </c>
      <c r="W224" s="2883">
        <v>1</v>
      </c>
      <c r="X224" s="2884" t="str">
        <f>O224&amp;P224</f>
        <v>Defensas Adicionales+6</v>
      </c>
      <c r="Z224" s="2872"/>
    </row>
    <row r="225" spans="1:26" ht="12" customHeight="1" x14ac:dyDescent="0.2">
      <c r="A225" s="6112"/>
      <c r="N225" s="6122"/>
      <c r="O225" s="2901" t="s">
        <v>9736</v>
      </c>
      <c r="P225" s="2879" t="s">
        <v>7658</v>
      </c>
      <c r="Q225" s="2883">
        <v>6</v>
      </c>
      <c r="R225" s="2927">
        <v>9</v>
      </c>
      <c r="S225" s="2883">
        <v>25</v>
      </c>
      <c r="T225" s="2883">
        <v>8</v>
      </c>
      <c r="U225" s="2883">
        <v>16</v>
      </c>
      <c r="V225" s="2883">
        <v>28</v>
      </c>
      <c r="W225" s="2883">
        <v>1</v>
      </c>
      <c r="X225" s="2884" t="str">
        <f>O225&amp;P225</f>
        <v>Defensas Adicionales+8</v>
      </c>
      <c r="Z225" s="2872"/>
    </row>
    <row r="226" spans="1:26" ht="12" customHeight="1" x14ac:dyDescent="0.2">
      <c r="A226" s="6112"/>
      <c r="N226" s="6122"/>
      <c r="O226" s="2901" t="s">
        <v>9736</v>
      </c>
      <c r="P226" s="2879" t="s">
        <v>8285</v>
      </c>
      <c r="Q226" s="2883">
        <v>7</v>
      </c>
      <c r="R226" s="2927">
        <v>10</v>
      </c>
      <c r="S226" s="2883">
        <v>30</v>
      </c>
      <c r="T226" s="2883">
        <v>10</v>
      </c>
      <c r="U226" s="2883">
        <v>20</v>
      </c>
      <c r="V226" s="2883">
        <v>35</v>
      </c>
      <c r="W226" s="2883">
        <v>2</v>
      </c>
      <c r="X226" s="2884" t="str">
        <f>O226&amp;P226</f>
        <v>Defensas Adicionales+10</v>
      </c>
      <c r="Z226" s="2872"/>
    </row>
    <row r="227" spans="1:26" ht="12" customHeight="1" x14ac:dyDescent="0.2">
      <c r="A227" s="6112"/>
      <c r="N227" s="6122"/>
      <c r="O227" s="2901" t="s">
        <v>9736</v>
      </c>
      <c r="P227" s="2879" t="s">
        <v>9956</v>
      </c>
      <c r="Q227" s="2883">
        <v>8</v>
      </c>
      <c r="R227" s="2927">
        <v>11</v>
      </c>
      <c r="S227" s="2883">
        <v>35</v>
      </c>
      <c r="T227" s="2883">
        <v>12</v>
      </c>
      <c r="U227" s="2883">
        <v>24</v>
      </c>
      <c r="V227" s="2883">
        <v>42</v>
      </c>
      <c r="W227" s="2883">
        <v>3</v>
      </c>
      <c r="X227" s="2884" t="str">
        <f>O227&amp;P227</f>
        <v>Defensas AdicionalesIlimitadas</v>
      </c>
      <c r="Z227" s="2872"/>
    </row>
    <row r="228" spans="1:26" ht="12" customHeight="1" x14ac:dyDescent="0.2">
      <c r="A228" s="6112"/>
      <c r="N228" s="6122"/>
      <c r="O228" s="2901" t="s">
        <v>9736</v>
      </c>
      <c r="P228" s="2879" t="s">
        <v>3709</v>
      </c>
      <c r="Q228" s="2883">
        <v>6</v>
      </c>
      <c r="R228" s="2927">
        <v>6</v>
      </c>
      <c r="S228" s="2883">
        <v>20</v>
      </c>
      <c r="T228" s="2883">
        <v>2</v>
      </c>
      <c r="U228" s="2883">
        <v>4</v>
      </c>
      <c r="V228" s="2883">
        <v>7</v>
      </c>
      <c r="W228" s="2883"/>
      <c r="X228" s="2884" t="str">
        <f>O228&amp;P228</f>
        <v>Defensas AdicionalesBono de Cansancio Añadido</v>
      </c>
      <c r="Z228" s="2872"/>
    </row>
    <row r="229" spans="1:26" ht="12" customHeight="1" x14ac:dyDescent="0.2">
      <c r="A229" s="6112"/>
      <c r="C229" s="2892"/>
      <c r="D229" s="2892"/>
      <c r="N229" s="6122"/>
      <c r="O229" s="2901" t="s">
        <v>9957</v>
      </c>
      <c r="P229" s="2879" t="s">
        <v>7690</v>
      </c>
      <c r="Q229" s="2883"/>
      <c r="R229" s="2927"/>
      <c r="S229" s="2883"/>
      <c r="T229" s="2883"/>
      <c r="U229" s="2883"/>
      <c r="V229" s="2883"/>
      <c r="W229" s="2883"/>
      <c r="X229" s="2884" t="str">
        <f>O229&amp;P229</f>
        <v>&gt; ACCIONES ADICIONALES</v>
      </c>
      <c r="Z229" s="2872"/>
    </row>
    <row r="230" spans="1:26" ht="12" customHeight="1" x14ac:dyDescent="0.2">
      <c r="A230" s="6112"/>
      <c r="N230" s="6122"/>
      <c r="O230" s="2901" t="s">
        <v>9739</v>
      </c>
      <c r="P230" s="2879" t="s">
        <v>3286</v>
      </c>
      <c r="Q230" s="2883">
        <v>1</v>
      </c>
      <c r="R230" s="2927">
        <v>2</v>
      </c>
      <c r="S230" s="2883">
        <v>5</v>
      </c>
      <c r="T230" s="2883">
        <v>1</v>
      </c>
      <c r="U230" s="2883">
        <v>2</v>
      </c>
      <c r="V230" s="2883">
        <v>4</v>
      </c>
      <c r="W230" s="2883">
        <v>1</v>
      </c>
      <c r="X230" s="2884" t="str">
        <f>O230&amp;P230</f>
        <v>Acciones Adicionales+1</v>
      </c>
      <c r="Z230" s="2872"/>
    </row>
    <row r="231" spans="1:26" ht="12" customHeight="1" x14ac:dyDescent="0.2">
      <c r="A231" s="6112"/>
      <c r="N231" s="6122"/>
      <c r="O231" s="2901" t="s">
        <v>9739</v>
      </c>
      <c r="P231" s="2879" t="s">
        <v>3230</v>
      </c>
      <c r="Q231" s="2883">
        <v>2</v>
      </c>
      <c r="R231" s="2927">
        <v>4</v>
      </c>
      <c r="S231" s="2883">
        <v>5</v>
      </c>
      <c r="T231" s="2883">
        <v>2</v>
      </c>
      <c r="U231" s="2883">
        <v>4</v>
      </c>
      <c r="V231" s="2883">
        <v>7</v>
      </c>
      <c r="W231" s="2883">
        <v>1</v>
      </c>
      <c r="X231" s="2884" t="str">
        <f>O231&amp;P231</f>
        <v>Acciones Adicionales+2</v>
      </c>
      <c r="Z231" s="2872"/>
    </row>
    <row r="232" spans="1:26" ht="12" customHeight="1" x14ac:dyDescent="0.2">
      <c r="A232" s="6112"/>
      <c r="N232" s="6122"/>
      <c r="O232" s="2901" t="s">
        <v>9739</v>
      </c>
      <c r="P232" s="2879" t="s">
        <v>3231</v>
      </c>
      <c r="Q232" s="2883">
        <v>3</v>
      </c>
      <c r="R232" s="2927">
        <v>5</v>
      </c>
      <c r="S232" s="2883">
        <v>10</v>
      </c>
      <c r="T232" s="2883">
        <v>3</v>
      </c>
      <c r="U232" s="2883">
        <v>6</v>
      </c>
      <c r="V232" s="2883">
        <v>11</v>
      </c>
      <c r="W232" s="2883">
        <v>1</v>
      </c>
      <c r="X232" s="2884" t="str">
        <f>O232&amp;P232</f>
        <v>Acciones Adicionales+3</v>
      </c>
      <c r="Z232" s="2872"/>
    </row>
    <row r="233" spans="1:26" ht="12" customHeight="1" x14ac:dyDescent="0.2">
      <c r="A233" s="6112"/>
      <c r="N233" s="6122"/>
      <c r="O233" s="2901" t="s">
        <v>9739</v>
      </c>
      <c r="P233" s="2879" t="s">
        <v>3712</v>
      </c>
      <c r="Q233" s="2883">
        <v>4</v>
      </c>
      <c r="R233" s="2927">
        <v>6</v>
      </c>
      <c r="S233" s="2883">
        <v>15</v>
      </c>
      <c r="T233" s="2883">
        <v>4</v>
      </c>
      <c r="U233" s="2883">
        <v>8</v>
      </c>
      <c r="V233" s="2883">
        <v>14</v>
      </c>
      <c r="W233" s="2883">
        <v>1</v>
      </c>
      <c r="X233" s="2884" t="str">
        <f>O233&amp;P233</f>
        <v>Acciones Adicionales+4</v>
      </c>
      <c r="Z233" s="2872"/>
    </row>
    <row r="234" spans="1:26" ht="12" customHeight="1" x14ac:dyDescent="0.2">
      <c r="A234" s="6112"/>
      <c r="N234" s="6122"/>
      <c r="O234" s="2901" t="s">
        <v>9739</v>
      </c>
      <c r="P234" s="2879" t="s">
        <v>7643</v>
      </c>
      <c r="Q234" s="2883">
        <v>5</v>
      </c>
      <c r="R234" s="2927">
        <v>8</v>
      </c>
      <c r="S234" s="2883">
        <v>20</v>
      </c>
      <c r="T234" s="2883">
        <v>6</v>
      </c>
      <c r="U234" s="2883">
        <v>12</v>
      </c>
      <c r="V234" s="2883">
        <v>21</v>
      </c>
      <c r="W234" s="2883">
        <v>1</v>
      </c>
      <c r="X234" s="2884" t="str">
        <f>O234&amp;P234</f>
        <v>Acciones Adicionales+5</v>
      </c>
      <c r="Z234" s="2872"/>
    </row>
    <row r="235" spans="1:26" ht="12" customHeight="1" x14ac:dyDescent="0.2">
      <c r="A235" s="6112"/>
      <c r="N235" s="6122"/>
      <c r="O235" s="2901" t="s">
        <v>9739</v>
      </c>
      <c r="P235" s="2879" t="s">
        <v>9954</v>
      </c>
      <c r="Q235" s="2883">
        <v>6</v>
      </c>
      <c r="R235" s="2927">
        <v>9</v>
      </c>
      <c r="S235" s="2883">
        <v>25</v>
      </c>
      <c r="T235" s="2883">
        <v>8</v>
      </c>
      <c r="U235" s="2883">
        <v>16</v>
      </c>
      <c r="V235" s="2883">
        <v>28</v>
      </c>
      <c r="W235" s="2883">
        <v>1</v>
      </c>
      <c r="X235" s="2884" t="str">
        <f>O235&amp;P235</f>
        <v>Acciones Adicionales+6</v>
      </c>
      <c r="Z235" s="2872"/>
    </row>
    <row r="236" spans="1:26" ht="12" customHeight="1" x14ac:dyDescent="0.2">
      <c r="A236" s="6112"/>
      <c r="N236" s="6122"/>
      <c r="O236" s="2901" t="s">
        <v>9739</v>
      </c>
      <c r="P236" s="2879" t="s">
        <v>7658</v>
      </c>
      <c r="Q236" s="2883">
        <v>7</v>
      </c>
      <c r="R236" s="2927">
        <v>10</v>
      </c>
      <c r="S236" s="2883">
        <v>30</v>
      </c>
      <c r="T236" s="2883">
        <v>10</v>
      </c>
      <c r="U236" s="2883">
        <v>20</v>
      </c>
      <c r="V236" s="2883">
        <v>35</v>
      </c>
      <c r="W236" s="2883">
        <v>2</v>
      </c>
      <c r="X236" s="2884" t="str">
        <f>O236&amp;P236</f>
        <v>Acciones Adicionales+8</v>
      </c>
      <c r="Z236" s="2872"/>
    </row>
    <row r="237" spans="1:26" ht="12" customHeight="1" x14ac:dyDescent="0.2">
      <c r="A237" s="6112"/>
      <c r="N237" s="6122"/>
      <c r="O237" s="2901" t="s">
        <v>9739</v>
      </c>
      <c r="P237" s="2879" t="s">
        <v>8285</v>
      </c>
      <c r="Q237" s="2883">
        <v>8</v>
      </c>
      <c r="R237" s="2927">
        <v>11</v>
      </c>
      <c r="S237" s="2883">
        <v>35</v>
      </c>
      <c r="T237" s="2883">
        <v>12</v>
      </c>
      <c r="U237" s="2883">
        <v>24</v>
      </c>
      <c r="V237" s="2883">
        <v>42</v>
      </c>
      <c r="W237" s="2883">
        <v>3</v>
      </c>
      <c r="X237" s="2884" t="str">
        <f>O237&amp;P237</f>
        <v>Acciones Adicionales+10</v>
      </c>
      <c r="Z237" s="2872"/>
    </row>
    <row r="238" spans="1:26" ht="12" customHeight="1" x14ac:dyDescent="0.2">
      <c r="A238" s="6112"/>
      <c r="N238" s="6122"/>
      <c r="O238" s="2901" t="s">
        <v>9739</v>
      </c>
      <c r="P238" s="2879" t="s">
        <v>3709</v>
      </c>
      <c r="Q238" s="2883">
        <v>6</v>
      </c>
      <c r="R238" s="2927">
        <v>6</v>
      </c>
      <c r="S238" s="2883">
        <v>20</v>
      </c>
      <c r="T238" s="2883">
        <v>1</v>
      </c>
      <c r="U238" s="2883">
        <v>2</v>
      </c>
      <c r="V238" s="2883">
        <v>4</v>
      </c>
      <c r="W238" s="2883"/>
      <c r="X238" s="2884" t="str">
        <f>O238&amp;P238</f>
        <v>Acciones AdicionalesBono de Cansancio Añadido</v>
      </c>
      <c r="Z238" s="2872"/>
    </row>
    <row r="239" spans="1:26" ht="12" customHeight="1" x14ac:dyDescent="0.2">
      <c r="A239" s="6112"/>
      <c r="N239" s="6122"/>
      <c r="O239" s="2901" t="s">
        <v>3267</v>
      </c>
      <c r="P239" s="2879" t="s">
        <v>7690</v>
      </c>
      <c r="Q239" s="2883"/>
      <c r="R239" s="2927"/>
      <c r="S239" s="2883"/>
      <c r="T239" s="2883"/>
      <c r="U239" s="2883"/>
      <c r="V239" s="2883"/>
      <c r="W239" s="2883"/>
      <c r="X239" s="2884" t="str">
        <f>O239&amp;P239</f>
        <v>&gt;&gt;EFECTOS DE REACCIÓN</v>
      </c>
      <c r="Z239" s="2872"/>
    </row>
    <row r="240" spans="1:26" ht="12" customHeight="1" x14ac:dyDescent="0.2">
      <c r="A240" s="6112"/>
      <c r="C240" s="2892"/>
      <c r="D240" s="2892"/>
      <c r="N240" s="6122"/>
      <c r="O240" s="2901" t="s">
        <v>9958</v>
      </c>
      <c r="P240" s="2879" t="s">
        <v>7690</v>
      </c>
      <c r="Q240" s="2883"/>
      <c r="R240" s="2927"/>
      <c r="S240" s="2883"/>
      <c r="T240" s="2883"/>
      <c r="U240" s="2883"/>
      <c r="V240" s="2883"/>
      <c r="W240" s="2883"/>
      <c r="X240" s="2884" t="str">
        <f>O240&amp;P240</f>
        <v>&gt; INCREMENTAR TURNO</v>
      </c>
      <c r="Z240" s="2872"/>
    </row>
    <row r="241" spans="1:26" ht="12" customHeight="1" x14ac:dyDescent="0.2">
      <c r="A241" s="6112"/>
      <c r="N241" s="6122"/>
      <c r="O241" s="2901" t="s">
        <v>9743</v>
      </c>
      <c r="P241" s="2879" t="s">
        <v>8439</v>
      </c>
      <c r="Q241" s="2883">
        <v>1</v>
      </c>
      <c r="R241" s="2927">
        <v>2</v>
      </c>
      <c r="S241" s="2883">
        <v>5</v>
      </c>
      <c r="T241" s="2883">
        <v>1</v>
      </c>
      <c r="U241" s="2883">
        <v>2</v>
      </c>
      <c r="V241" s="2883">
        <v>4</v>
      </c>
      <c r="W241" s="2883">
        <v>1</v>
      </c>
      <c r="X241" s="2884" t="str">
        <f>O241&amp;P241</f>
        <v>Incrementar Turno+25</v>
      </c>
      <c r="Z241" s="2872"/>
    </row>
    <row r="242" spans="1:26" ht="12" customHeight="1" x14ac:dyDescent="0.2">
      <c r="A242" s="6112"/>
      <c r="N242" s="6122"/>
      <c r="O242" s="2901" t="s">
        <v>9743</v>
      </c>
      <c r="P242" s="2879" t="s">
        <v>8288</v>
      </c>
      <c r="Q242" s="2883">
        <v>2</v>
      </c>
      <c r="R242" s="2927">
        <v>4</v>
      </c>
      <c r="S242" s="2883">
        <v>10</v>
      </c>
      <c r="T242" s="2883">
        <v>1</v>
      </c>
      <c r="U242" s="2883">
        <v>2</v>
      </c>
      <c r="V242" s="2883">
        <v>4</v>
      </c>
      <c r="W242" s="2883">
        <v>1</v>
      </c>
      <c r="X242" s="2884" t="str">
        <f>O242&amp;P242</f>
        <v>Incrementar Turno+50</v>
      </c>
      <c r="Z242" s="2872"/>
    </row>
    <row r="243" spans="1:26" ht="12" customHeight="1" x14ac:dyDescent="0.2">
      <c r="A243" s="6112"/>
      <c r="N243" s="6122"/>
      <c r="O243" s="2901" t="s">
        <v>9743</v>
      </c>
      <c r="P243" s="2879" t="s">
        <v>9694</v>
      </c>
      <c r="Q243" s="2883">
        <v>4</v>
      </c>
      <c r="R243" s="2927">
        <v>6</v>
      </c>
      <c r="S243" s="2883">
        <v>15</v>
      </c>
      <c r="T243" s="2883">
        <v>2</v>
      </c>
      <c r="U243" s="2883">
        <v>4</v>
      </c>
      <c r="V243" s="2883">
        <v>7</v>
      </c>
      <c r="W243" s="2883">
        <v>1</v>
      </c>
      <c r="X243" s="2884" t="str">
        <f>O243&amp;P243</f>
        <v>Incrementar Turno+75</v>
      </c>
      <c r="Z243" s="2872"/>
    </row>
    <row r="244" spans="1:26" ht="12" customHeight="1" x14ac:dyDescent="0.2">
      <c r="A244" s="6112"/>
      <c r="N244" s="6122"/>
      <c r="O244" s="2901" t="s">
        <v>9743</v>
      </c>
      <c r="P244" s="2879" t="s">
        <v>9701</v>
      </c>
      <c r="Q244" s="2883">
        <v>6</v>
      </c>
      <c r="R244" s="2927">
        <v>9</v>
      </c>
      <c r="S244" s="2883">
        <v>20</v>
      </c>
      <c r="T244" s="2883">
        <v>3</v>
      </c>
      <c r="U244" s="2883">
        <v>6</v>
      </c>
      <c r="V244" s="2883">
        <v>11</v>
      </c>
      <c r="W244" s="2883">
        <v>1</v>
      </c>
      <c r="X244" s="2884" t="str">
        <f>O244&amp;P244</f>
        <v>Incrementar Turno+100</v>
      </c>
      <c r="Z244" s="2872"/>
    </row>
    <row r="245" spans="1:26" ht="12" customHeight="1" x14ac:dyDescent="0.2">
      <c r="A245" s="6112"/>
      <c r="N245" s="6122"/>
      <c r="O245" s="2901" t="s">
        <v>9743</v>
      </c>
      <c r="P245" s="2879" t="s">
        <v>9702</v>
      </c>
      <c r="Q245" s="2883">
        <v>8</v>
      </c>
      <c r="R245" s="2927">
        <v>11</v>
      </c>
      <c r="S245" s="2883">
        <v>25</v>
      </c>
      <c r="T245" s="2883">
        <v>4</v>
      </c>
      <c r="U245" s="2883">
        <v>8</v>
      </c>
      <c r="V245" s="2883">
        <v>14</v>
      </c>
      <c r="W245" s="2883">
        <v>2</v>
      </c>
      <c r="X245" s="2884" t="str">
        <f>O245&amp;P245</f>
        <v>Incrementar Turno+125</v>
      </c>
      <c r="Z245" s="2872"/>
    </row>
    <row r="246" spans="1:26" ht="12" customHeight="1" x14ac:dyDescent="0.2">
      <c r="A246" s="6112"/>
      <c r="N246" s="6122"/>
      <c r="O246" s="2901" t="s">
        <v>9743</v>
      </c>
      <c r="P246" s="2879" t="s">
        <v>9704</v>
      </c>
      <c r="Q246" s="2883">
        <v>10</v>
      </c>
      <c r="R246" s="2927">
        <v>13</v>
      </c>
      <c r="S246" s="2883">
        <v>30</v>
      </c>
      <c r="T246" s="2883">
        <v>5</v>
      </c>
      <c r="U246" s="2883">
        <v>10</v>
      </c>
      <c r="V246" s="2883">
        <v>18</v>
      </c>
      <c r="W246" s="2883">
        <v>2</v>
      </c>
      <c r="X246" s="2884" t="str">
        <f>O246&amp;P246</f>
        <v>Incrementar Turno+150</v>
      </c>
      <c r="Z246" s="2872"/>
    </row>
    <row r="247" spans="1:26" ht="12" customHeight="1" x14ac:dyDescent="0.2">
      <c r="A247" s="6112"/>
      <c r="N247" s="6122"/>
      <c r="O247" s="2901" t="s">
        <v>9743</v>
      </c>
      <c r="P247" s="2879" t="s">
        <v>9707</v>
      </c>
      <c r="Q247" s="2883">
        <v>12</v>
      </c>
      <c r="R247" s="2927">
        <v>15</v>
      </c>
      <c r="S247" s="2883">
        <v>35</v>
      </c>
      <c r="T247" s="2883">
        <v>6</v>
      </c>
      <c r="U247" s="2883">
        <v>12</v>
      </c>
      <c r="V247" s="2883">
        <v>21</v>
      </c>
      <c r="W247" s="2883">
        <v>3</v>
      </c>
      <c r="X247" s="2884" t="str">
        <f>O247&amp;P247</f>
        <v>Incrementar Turno+175</v>
      </c>
      <c r="Z247" s="2872"/>
    </row>
    <row r="248" spans="1:26" ht="12" customHeight="1" x14ac:dyDescent="0.2">
      <c r="A248" s="6112"/>
      <c r="N248" s="6122"/>
      <c r="O248" s="2901" t="s">
        <v>9743</v>
      </c>
      <c r="P248" s="2879" t="s">
        <v>9709</v>
      </c>
      <c r="Q248" s="2883">
        <v>14</v>
      </c>
      <c r="R248" s="2927">
        <v>18</v>
      </c>
      <c r="S248" s="2883">
        <v>40</v>
      </c>
      <c r="T248" s="2883">
        <v>7</v>
      </c>
      <c r="U248" s="2883">
        <v>14</v>
      </c>
      <c r="V248" s="2883">
        <v>25</v>
      </c>
      <c r="W248" s="2883">
        <v>3</v>
      </c>
      <c r="X248" s="2884" t="str">
        <f>O248&amp;P248</f>
        <v>Incrementar Turno+200</v>
      </c>
      <c r="Z248" s="2872"/>
    </row>
    <row r="249" spans="1:26" ht="12" customHeight="1" x14ac:dyDescent="0.2">
      <c r="A249" s="6112"/>
      <c r="N249" s="6122"/>
      <c r="O249" s="2901" t="s">
        <v>9959</v>
      </c>
      <c r="P249" s="2879" t="s">
        <v>7690</v>
      </c>
      <c r="Q249" s="2883"/>
      <c r="R249" s="2927"/>
      <c r="S249" s="2883"/>
      <c r="T249" s="2883"/>
      <c r="U249" s="2883"/>
      <c r="V249" s="2883"/>
      <c r="W249" s="2883"/>
      <c r="X249" s="2884" t="str">
        <f>O249&amp;P249</f>
        <v>&gt; RECUPERAR ACCIÓN</v>
      </c>
      <c r="Z249" s="2872"/>
    </row>
    <row r="250" spans="1:26" ht="12" customHeight="1" x14ac:dyDescent="0.2">
      <c r="A250" s="6112"/>
      <c r="N250" s="6122"/>
      <c r="O250" s="2901" t="s">
        <v>3711</v>
      </c>
      <c r="P250" s="2879" t="s">
        <v>7690</v>
      </c>
      <c r="Q250" s="2883">
        <v>6</v>
      </c>
      <c r="R250" s="2927">
        <v>9</v>
      </c>
      <c r="S250" s="2883">
        <v>25</v>
      </c>
      <c r="T250" s="2883">
        <v>2</v>
      </c>
      <c r="U250" s="2883">
        <v>4</v>
      </c>
      <c r="V250" s="2883">
        <v>7</v>
      </c>
      <c r="W250" s="2883">
        <v>1</v>
      </c>
      <c r="X250" s="2884" t="str">
        <f>O250&amp;P250</f>
        <v>Recuperar Acción</v>
      </c>
      <c r="Z250" s="2872"/>
    </row>
    <row r="251" spans="1:26" ht="12" customHeight="1" x14ac:dyDescent="0.2">
      <c r="A251" s="6112"/>
      <c r="C251" s="2892"/>
      <c r="D251" s="2892"/>
      <c r="N251" s="6122"/>
      <c r="O251" s="2901" t="s">
        <v>9960</v>
      </c>
      <c r="P251" s="2879" t="s">
        <v>7690</v>
      </c>
      <c r="Q251" s="2883"/>
      <c r="R251" s="2927"/>
      <c r="S251" s="2883"/>
      <c r="T251" s="2883"/>
      <c r="U251" s="2883"/>
      <c r="V251" s="2883"/>
      <c r="W251" s="2883"/>
      <c r="X251" s="2884" t="str">
        <f>O251&amp;P251</f>
        <v>&gt; PREVISIÓN</v>
      </c>
      <c r="Z251" s="2872"/>
    </row>
    <row r="252" spans="1:26" ht="12" customHeight="1" x14ac:dyDescent="0.2">
      <c r="A252" s="6112"/>
      <c r="N252" s="6122"/>
      <c r="O252" s="2901" t="s">
        <v>3277</v>
      </c>
      <c r="P252" s="2879" t="s">
        <v>9961</v>
      </c>
      <c r="Q252" s="2883">
        <v>3</v>
      </c>
      <c r="R252" s="2927">
        <v>5</v>
      </c>
      <c r="S252" s="2883">
        <v>10</v>
      </c>
      <c r="T252" s="2883">
        <v>1</v>
      </c>
      <c r="U252" s="2883">
        <v>2</v>
      </c>
      <c r="V252" s="2883">
        <v>4</v>
      </c>
      <c r="W252" s="2883">
        <v>1</v>
      </c>
      <c r="X252" s="2884" t="str">
        <f>O252&amp;P252</f>
        <v>PrevisiónA Mitad</v>
      </c>
      <c r="Z252" s="2872"/>
    </row>
    <row r="253" spans="1:26" ht="12" customHeight="1" x14ac:dyDescent="0.2">
      <c r="A253" s="6112"/>
      <c r="N253" s="6122"/>
      <c r="O253" s="2901" t="s">
        <v>3277</v>
      </c>
      <c r="P253" s="2879" t="s">
        <v>8147</v>
      </c>
      <c r="Q253" s="2883">
        <v>6</v>
      </c>
      <c r="R253" s="2927">
        <v>9</v>
      </c>
      <c r="S253" s="2883">
        <v>25</v>
      </c>
      <c r="T253" s="2883">
        <v>3</v>
      </c>
      <c r="U253" s="2883">
        <v>6</v>
      </c>
      <c r="V253" s="2883">
        <v>11</v>
      </c>
      <c r="W253" s="2883">
        <v>1</v>
      </c>
      <c r="X253" s="2884" t="str">
        <f>O253&amp;P253</f>
        <v>PrevisiónCompleto</v>
      </c>
      <c r="Z253" s="2872"/>
    </row>
    <row r="254" spans="1:26" ht="12" customHeight="1" x14ac:dyDescent="0.2">
      <c r="A254" s="6112"/>
      <c r="N254" s="6122"/>
      <c r="O254" s="2901" t="s">
        <v>3281</v>
      </c>
      <c r="P254" s="2879" t="s">
        <v>7690</v>
      </c>
      <c r="Q254" s="2883"/>
      <c r="R254" s="2927"/>
      <c r="S254" s="2883"/>
      <c r="T254" s="2883"/>
      <c r="U254" s="2883"/>
      <c r="V254" s="2883"/>
      <c r="W254" s="2883"/>
      <c r="X254" s="2884" t="str">
        <f>O254&amp;P254</f>
        <v>&gt;&gt;EFECTOS ESPACIALES</v>
      </c>
      <c r="Z254" s="2872"/>
    </row>
    <row r="255" spans="1:26" ht="12" customHeight="1" x14ac:dyDescent="0.2">
      <c r="A255" s="6112"/>
      <c r="N255" s="6122"/>
      <c r="O255" s="2901" t="s">
        <v>9962</v>
      </c>
      <c r="P255" s="2879" t="s">
        <v>7690</v>
      </c>
      <c r="Q255" s="2883"/>
      <c r="R255" s="2927"/>
      <c r="S255" s="2883"/>
      <c r="T255" s="2883"/>
      <c r="U255" s="2883"/>
      <c r="V255" s="2883"/>
      <c r="W255" s="2883"/>
      <c r="X255" s="2884" t="str">
        <f>O255&amp;P255</f>
        <v>&gt; ATAQUE A DISTANCIA</v>
      </c>
      <c r="Z255" s="2872"/>
    </row>
    <row r="256" spans="1:26" ht="12" customHeight="1" x14ac:dyDescent="0.2">
      <c r="A256" s="6112"/>
      <c r="N256" s="6122"/>
      <c r="O256" s="2901" t="s">
        <v>9963</v>
      </c>
      <c r="P256" s="2879" t="s">
        <v>5479</v>
      </c>
      <c r="Q256" s="2883">
        <v>1</v>
      </c>
      <c r="R256" s="2927">
        <v>2</v>
      </c>
      <c r="S256" s="2883">
        <v>5</v>
      </c>
      <c r="T256" s="2883">
        <v>1</v>
      </c>
      <c r="U256" s="2883">
        <v>2</v>
      </c>
      <c r="V256" s="2883">
        <v>4</v>
      </c>
      <c r="W256" s="2883">
        <v>1</v>
      </c>
      <c r="X256" s="2884" t="str">
        <f>O256&amp;P256</f>
        <v>Ataque A Distancia5 metros</v>
      </c>
      <c r="Z256" s="2872"/>
    </row>
    <row r="257" spans="1:26" ht="12" customHeight="1" x14ac:dyDescent="0.2">
      <c r="A257" s="6112"/>
      <c r="N257" s="6122"/>
      <c r="O257" s="2901" t="s">
        <v>9963</v>
      </c>
      <c r="P257" s="2879" t="s">
        <v>9964</v>
      </c>
      <c r="Q257" s="2883">
        <v>2</v>
      </c>
      <c r="R257" s="2927">
        <v>4</v>
      </c>
      <c r="S257" s="2883">
        <v>10</v>
      </c>
      <c r="T257" s="2883">
        <v>1</v>
      </c>
      <c r="U257" s="2883">
        <v>2</v>
      </c>
      <c r="V257" s="2883">
        <v>4</v>
      </c>
      <c r="W257" s="2883">
        <v>1</v>
      </c>
      <c r="X257" s="2884" t="str">
        <f>O257&amp;P257</f>
        <v>Ataque A Distancia10 metros</v>
      </c>
      <c r="Z257" s="2872"/>
    </row>
    <row r="258" spans="1:26" ht="12" customHeight="1" x14ac:dyDescent="0.2">
      <c r="A258" s="6112"/>
      <c r="N258" s="6122"/>
      <c r="O258" s="2901" t="s">
        <v>9963</v>
      </c>
      <c r="P258" s="2879" t="s">
        <v>9666</v>
      </c>
      <c r="Q258" s="2883">
        <v>3</v>
      </c>
      <c r="R258" s="2927">
        <v>5</v>
      </c>
      <c r="S258" s="2883">
        <v>10</v>
      </c>
      <c r="T258" s="2883">
        <v>2</v>
      </c>
      <c r="U258" s="2883">
        <v>4</v>
      </c>
      <c r="V258" s="2883">
        <v>7</v>
      </c>
      <c r="W258" s="2883">
        <v>1</v>
      </c>
      <c r="X258" s="2884" t="str">
        <f>O258&amp;P258</f>
        <v>Ataque A Distancia20 metros</v>
      </c>
      <c r="Z258" s="2872"/>
    </row>
    <row r="259" spans="1:26" ht="12" customHeight="1" x14ac:dyDescent="0.2">
      <c r="A259" s="6112"/>
      <c r="N259" s="6122"/>
      <c r="O259" s="2901" t="s">
        <v>9963</v>
      </c>
      <c r="P259" s="2879" t="s">
        <v>5481</v>
      </c>
      <c r="Q259" s="2883">
        <v>4</v>
      </c>
      <c r="R259" s="2927">
        <v>6</v>
      </c>
      <c r="S259" s="2883">
        <v>15</v>
      </c>
      <c r="T259" s="2883">
        <v>3</v>
      </c>
      <c r="U259" s="2883">
        <v>6</v>
      </c>
      <c r="V259" s="2883">
        <v>11</v>
      </c>
      <c r="W259" s="2883">
        <v>1</v>
      </c>
      <c r="X259" s="2884" t="str">
        <f>O259&amp;P259</f>
        <v>Ataque A Distancia50 metros</v>
      </c>
      <c r="Z259" s="2872"/>
    </row>
    <row r="260" spans="1:26" ht="12" customHeight="1" x14ac:dyDescent="0.2">
      <c r="A260" s="6112"/>
      <c r="N260" s="6122"/>
      <c r="O260" s="2901" t="s">
        <v>9963</v>
      </c>
      <c r="P260" s="2879" t="s">
        <v>5517</v>
      </c>
      <c r="Q260" s="2883">
        <v>5</v>
      </c>
      <c r="R260" s="2927">
        <v>8</v>
      </c>
      <c r="S260" s="2883">
        <v>20</v>
      </c>
      <c r="T260" s="2883">
        <v>4</v>
      </c>
      <c r="U260" s="2883">
        <v>8</v>
      </c>
      <c r="V260" s="2883">
        <v>14</v>
      </c>
      <c r="W260" s="2883">
        <v>1</v>
      </c>
      <c r="X260" s="2884" t="str">
        <f>O260&amp;P260</f>
        <v>Ataque A Distancia100 metros</v>
      </c>
      <c r="Z260" s="2872"/>
    </row>
    <row r="261" spans="1:26" ht="12" customHeight="1" x14ac:dyDescent="0.2">
      <c r="A261" s="6112"/>
      <c r="N261" s="6122"/>
      <c r="O261" s="2901" t="s">
        <v>9963</v>
      </c>
      <c r="P261" s="2879" t="s">
        <v>5953</v>
      </c>
      <c r="Q261" s="2883">
        <v>6</v>
      </c>
      <c r="R261" s="2927">
        <v>9</v>
      </c>
      <c r="S261" s="2883">
        <v>25</v>
      </c>
      <c r="T261" s="2883">
        <v>5</v>
      </c>
      <c r="U261" s="2883">
        <v>10</v>
      </c>
      <c r="V261" s="2883">
        <v>18</v>
      </c>
      <c r="W261" s="2883">
        <v>2</v>
      </c>
      <c r="X261" s="2884" t="str">
        <f>O261&amp;P261</f>
        <v>Ataque A Distancia250 metros</v>
      </c>
      <c r="Z261" s="2872"/>
    </row>
    <row r="262" spans="1:26" ht="12" customHeight="1" x14ac:dyDescent="0.2">
      <c r="A262" s="6112"/>
      <c r="N262" s="6122"/>
      <c r="O262" s="2901" t="s">
        <v>9963</v>
      </c>
      <c r="P262" s="2879" t="s">
        <v>5833</v>
      </c>
      <c r="Q262" s="2883">
        <v>8</v>
      </c>
      <c r="R262" s="2927">
        <v>11</v>
      </c>
      <c r="S262" s="2883">
        <v>30</v>
      </c>
      <c r="T262" s="2883">
        <v>6</v>
      </c>
      <c r="U262" s="2883">
        <v>12</v>
      </c>
      <c r="V262" s="2883">
        <v>21</v>
      </c>
      <c r="W262" s="2883">
        <v>2</v>
      </c>
      <c r="X262" s="2884" t="str">
        <f>O262&amp;P262</f>
        <v>Ataque A Distancia500 metros</v>
      </c>
      <c r="Z262" s="2872"/>
    </row>
    <row r="263" spans="1:26" ht="12" customHeight="1" x14ac:dyDescent="0.2">
      <c r="A263" s="6112"/>
      <c r="N263" s="6122"/>
      <c r="O263" s="2901" t="s">
        <v>9963</v>
      </c>
      <c r="P263" s="2879" t="s">
        <v>5834</v>
      </c>
      <c r="Q263" s="2883">
        <v>10</v>
      </c>
      <c r="R263" s="2927">
        <v>13</v>
      </c>
      <c r="S263" s="2883">
        <v>35</v>
      </c>
      <c r="T263" s="2883">
        <v>8</v>
      </c>
      <c r="U263" s="2883">
        <v>16</v>
      </c>
      <c r="V263" s="2883">
        <v>28</v>
      </c>
      <c r="W263" s="2883">
        <v>2</v>
      </c>
      <c r="X263" s="2884" t="str">
        <f>O263&amp;P263</f>
        <v>Ataque A Distancia1 kilómetro</v>
      </c>
      <c r="Z263" s="2872"/>
    </row>
    <row r="264" spans="1:26" ht="12" customHeight="1" x14ac:dyDescent="0.2">
      <c r="A264" s="6112"/>
      <c r="N264" s="6122"/>
      <c r="O264" s="2901" t="s">
        <v>9963</v>
      </c>
      <c r="P264" s="2879" t="s">
        <v>9965</v>
      </c>
      <c r="Q264" s="2883">
        <v>14</v>
      </c>
      <c r="R264" s="2927">
        <v>18</v>
      </c>
      <c r="S264" s="2883">
        <v>40</v>
      </c>
      <c r="T264" s="2883">
        <v>10</v>
      </c>
      <c r="U264" s="2883">
        <v>20</v>
      </c>
      <c r="V264" s="2883">
        <v>35</v>
      </c>
      <c r="W264" s="2883">
        <v>3</v>
      </c>
      <c r="X264" s="2884" t="str">
        <f>O264&amp;P264</f>
        <v>Ataque A Distancia5 kilómetros</v>
      </c>
      <c r="Z264" s="2872"/>
    </row>
    <row r="265" spans="1:26" ht="12" customHeight="1" x14ac:dyDescent="0.2">
      <c r="A265" s="6112"/>
      <c r="N265" s="6122"/>
      <c r="O265" s="2901" t="s">
        <v>9963</v>
      </c>
      <c r="P265" s="2879" t="s">
        <v>5884</v>
      </c>
      <c r="Q265" s="2883">
        <v>18</v>
      </c>
      <c r="R265" s="2927">
        <v>22</v>
      </c>
      <c r="S265" s="2883">
        <v>45</v>
      </c>
      <c r="T265" s="2883">
        <v>12</v>
      </c>
      <c r="U265" s="2883">
        <v>24</v>
      </c>
      <c r="V265" s="2883">
        <v>42</v>
      </c>
      <c r="W265" s="2883">
        <v>3</v>
      </c>
      <c r="X265" s="2884" t="str">
        <f>O265&amp;P265</f>
        <v>Ataque A Distancia10 kilómetros</v>
      </c>
      <c r="Z265" s="2872"/>
    </row>
    <row r="266" spans="1:26" ht="12" customHeight="1" x14ac:dyDescent="0.2">
      <c r="A266" s="6112"/>
      <c r="N266" s="6122"/>
      <c r="O266" s="2901" t="s">
        <v>9963</v>
      </c>
      <c r="P266" s="2879" t="s">
        <v>5885</v>
      </c>
      <c r="Q266" s="2883">
        <v>22</v>
      </c>
      <c r="R266" s="2927">
        <v>26</v>
      </c>
      <c r="S266" s="2883">
        <v>50</v>
      </c>
      <c r="T266" s="2883">
        <v>14</v>
      </c>
      <c r="U266" s="2883">
        <v>28</v>
      </c>
      <c r="V266" s="2883">
        <v>49</v>
      </c>
      <c r="W266" s="2883">
        <v>3</v>
      </c>
      <c r="X266" s="2884" t="str">
        <f>O266&amp;P266</f>
        <v>Ataque A Distancia100 kilómetros</v>
      </c>
      <c r="Z266" s="2872"/>
    </row>
    <row r="267" spans="1:26" ht="12" customHeight="1" x14ac:dyDescent="0.2">
      <c r="A267" s="6112"/>
      <c r="N267" s="6122"/>
      <c r="O267" s="2901" t="s">
        <v>9963</v>
      </c>
      <c r="P267" s="2879" t="s">
        <v>3028</v>
      </c>
      <c r="Q267" s="2883">
        <v>4</v>
      </c>
      <c r="R267" s="2927">
        <v>4</v>
      </c>
      <c r="S267" s="2883">
        <v>10</v>
      </c>
      <c r="T267" s="2883">
        <v>1</v>
      </c>
      <c r="U267" s="2883">
        <v>2</v>
      </c>
      <c r="V267" s="2883">
        <v>4</v>
      </c>
      <c r="W267" s="2883"/>
      <c r="X267" s="2884" t="str">
        <f>O267&amp;P267</f>
        <v>Ataque A DistanciaProyección</v>
      </c>
      <c r="Z267" s="2872"/>
    </row>
    <row r="268" spans="1:26" ht="12" customHeight="1" x14ac:dyDescent="0.2">
      <c r="A268" s="6112"/>
      <c r="N268" s="6122"/>
      <c r="O268" s="2901" t="s">
        <v>9963</v>
      </c>
      <c r="P268" s="2879" t="s">
        <v>3713</v>
      </c>
      <c r="Q268" s="2883">
        <v>8</v>
      </c>
      <c r="R268" s="2927">
        <v>8</v>
      </c>
      <c r="S268" s="2883">
        <v>20</v>
      </c>
      <c r="T268" s="2883">
        <v>1</v>
      </c>
      <c r="U268" s="2883">
        <v>2</v>
      </c>
      <c r="V268" s="2883">
        <v>4</v>
      </c>
      <c r="W268" s="2883"/>
      <c r="X268" s="2884" t="str">
        <f>O268&amp;P268</f>
        <v>Ataque A DistanciaEstela de Destrucción</v>
      </c>
      <c r="Z268" s="2872"/>
    </row>
    <row r="269" spans="1:26" ht="12" customHeight="1" x14ac:dyDescent="0.2">
      <c r="A269" s="6112"/>
      <c r="N269" s="6122"/>
      <c r="O269" s="2901" t="s">
        <v>9966</v>
      </c>
      <c r="P269" s="2879" t="s">
        <v>7690</v>
      </c>
      <c r="Q269" s="2883"/>
      <c r="R269" s="2927"/>
      <c r="S269" s="2883"/>
      <c r="T269" s="2883"/>
      <c r="U269" s="2883"/>
      <c r="V269" s="2883"/>
      <c r="W269" s="2883"/>
      <c r="X269" s="2884" t="str">
        <f>O269&amp;P269</f>
        <v>&gt; ATAQUE A DISTANCIA REAL</v>
      </c>
      <c r="Z269" s="2872"/>
    </row>
    <row r="270" spans="1:26" ht="12" customHeight="1" x14ac:dyDescent="0.2">
      <c r="A270" s="6112"/>
      <c r="N270" s="6122"/>
      <c r="O270" s="2901" t="s">
        <v>9967</v>
      </c>
      <c r="P270" s="2879" t="s">
        <v>5479</v>
      </c>
      <c r="Q270" s="2883">
        <v>2</v>
      </c>
      <c r="R270" s="2927">
        <v>4</v>
      </c>
      <c r="S270" s="2883">
        <v>10</v>
      </c>
      <c r="T270" s="2883">
        <v>2</v>
      </c>
      <c r="U270" s="2883">
        <v>4</v>
      </c>
      <c r="V270" s="2883">
        <v>7</v>
      </c>
      <c r="W270" s="2883">
        <v>1</v>
      </c>
      <c r="X270" s="2884" t="str">
        <f>O270&amp;P270</f>
        <v>Ataque A Distancia Real5 metros</v>
      </c>
      <c r="Z270" s="2872"/>
    </row>
    <row r="271" spans="1:26" ht="12" customHeight="1" x14ac:dyDescent="0.2">
      <c r="A271" s="6112"/>
      <c r="N271" s="6122"/>
      <c r="O271" s="2901" t="s">
        <v>9967</v>
      </c>
      <c r="P271" s="2879" t="s">
        <v>9964</v>
      </c>
      <c r="Q271" s="2883">
        <v>4</v>
      </c>
      <c r="R271" s="2927">
        <v>6</v>
      </c>
      <c r="S271" s="2883">
        <v>15</v>
      </c>
      <c r="T271" s="2883">
        <v>3</v>
      </c>
      <c r="U271" s="2883">
        <v>6</v>
      </c>
      <c r="V271" s="2883">
        <v>11</v>
      </c>
      <c r="W271" s="2883">
        <v>1</v>
      </c>
      <c r="X271" s="2884" t="str">
        <f>O271&amp;P271</f>
        <v>Ataque A Distancia Real10 metros</v>
      </c>
      <c r="Z271" s="2872"/>
    </row>
    <row r="272" spans="1:26" ht="12" customHeight="1" x14ac:dyDescent="0.2">
      <c r="A272" s="6112"/>
      <c r="N272" s="6122"/>
      <c r="O272" s="2901" t="s">
        <v>9967</v>
      </c>
      <c r="P272" s="2879" t="s">
        <v>9666</v>
      </c>
      <c r="Q272" s="2883">
        <v>6</v>
      </c>
      <c r="R272" s="2927">
        <v>9</v>
      </c>
      <c r="S272" s="2883">
        <v>20</v>
      </c>
      <c r="T272" s="2883">
        <v>4</v>
      </c>
      <c r="U272" s="2883">
        <v>8</v>
      </c>
      <c r="V272" s="2883">
        <v>14</v>
      </c>
      <c r="W272" s="2883">
        <v>1</v>
      </c>
      <c r="X272" s="2884" t="str">
        <f>O272&amp;P272</f>
        <v>Ataque A Distancia Real20 metros</v>
      </c>
      <c r="Z272" s="2872"/>
    </row>
    <row r="273" spans="1:26" ht="12" customHeight="1" x14ac:dyDescent="0.2">
      <c r="A273" s="6112"/>
      <c r="N273" s="6122"/>
      <c r="O273" s="2901" t="s">
        <v>9967</v>
      </c>
      <c r="P273" s="2879" t="s">
        <v>5481</v>
      </c>
      <c r="Q273" s="2883">
        <v>8</v>
      </c>
      <c r="R273" s="2927">
        <v>11</v>
      </c>
      <c r="S273" s="2883">
        <v>25</v>
      </c>
      <c r="T273" s="2883">
        <v>5</v>
      </c>
      <c r="U273" s="2883">
        <v>10</v>
      </c>
      <c r="V273" s="2883">
        <v>18</v>
      </c>
      <c r="W273" s="2883">
        <v>1</v>
      </c>
      <c r="X273" s="2884" t="str">
        <f>O273&amp;P273</f>
        <v>Ataque A Distancia Real50 metros</v>
      </c>
      <c r="Z273" s="2872"/>
    </row>
    <row r="274" spans="1:26" ht="12" customHeight="1" x14ac:dyDescent="0.2">
      <c r="A274" s="6112"/>
      <c r="N274" s="6122"/>
      <c r="O274" s="2901" t="s">
        <v>9967</v>
      </c>
      <c r="P274" s="2879" t="s">
        <v>5517</v>
      </c>
      <c r="Q274" s="2883">
        <v>10</v>
      </c>
      <c r="R274" s="2927">
        <v>13</v>
      </c>
      <c r="S274" s="2883">
        <v>35</v>
      </c>
      <c r="T274" s="2883">
        <v>6</v>
      </c>
      <c r="U274" s="2883">
        <v>12</v>
      </c>
      <c r="V274" s="2883">
        <v>21</v>
      </c>
      <c r="W274" s="2883">
        <v>2</v>
      </c>
      <c r="X274" s="2884" t="str">
        <f>O274&amp;P274</f>
        <v>Ataque A Distancia Real100 metros</v>
      </c>
      <c r="Z274" s="2872"/>
    </row>
    <row r="275" spans="1:26" ht="12" customHeight="1" x14ac:dyDescent="0.2">
      <c r="A275" s="6112"/>
      <c r="N275" s="6122"/>
      <c r="O275" s="2901" t="s">
        <v>9967</v>
      </c>
      <c r="P275" s="2879" t="s">
        <v>5953</v>
      </c>
      <c r="Q275" s="2883">
        <v>12</v>
      </c>
      <c r="R275" s="2927">
        <v>15</v>
      </c>
      <c r="S275" s="2883">
        <v>45</v>
      </c>
      <c r="T275" s="2883">
        <v>8</v>
      </c>
      <c r="U275" s="2883">
        <v>16</v>
      </c>
      <c r="V275" s="2883">
        <v>28</v>
      </c>
      <c r="W275" s="2883">
        <v>2</v>
      </c>
      <c r="X275" s="2884" t="str">
        <f>O275&amp;P275</f>
        <v>Ataque A Distancia Real250 metros</v>
      </c>
      <c r="Z275" s="2872"/>
    </row>
    <row r="276" spans="1:26" ht="12" customHeight="1" x14ac:dyDescent="0.2">
      <c r="A276" s="6112"/>
      <c r="N276" s="6122"/>
      <c r="O276" s="2901" t="s">
        <v>9967</v>
      </c>
      <c r="P276" s="2879" t="s">
        <v>5833</v>
      </c>
      <c r="Q276" s="2883">
        <v>16</v>
      </c>
      <c r="R276" s="2927">
        <v>20</v>
      </c>
      <c r="S276" s="2883">
        <v>55</v>
      </c>
      <c r="T276" s="2883">
        <v>10</v>
      </c>
      <c r="U276" s="2883">
        <v>20</v>
      </c>
      <c r="V276" s="2883">
        <v>35</v>
      </c>
      <c r="W276" s="2883">
        <v>2</v>
      </c>
      <c r="X276" s="2884" t="str">
        <f>O276&amp;P276</f>
        <v>Ataque A Distancia Real500 metros</v>
      </c>
      <c r="Z276" s="2872"/>
    </row>
    <row r="277" spans="1:26" ht="12" customHeight="1" x14ac:dyDescent="0.2">
      <c r="A277" s="6112"/>
      <c r="N277" s="6122"/>
      <c r="O277" s="2901" t="s">
        <v>9967</v>
      </c>
      <c r="P277" s="2879" t="s">
        <v>5834</v>
      </c>
      <c r="Q277" s="2883">
        <v>20</v>
      </c>
      <c r="R277" s="2927">
        <v>24</v>
      </c>
      <c r="S277" s="2883">
        <v>70</v>
      </c>
      <c r="T277" s="2883">
        <v>12</v>
      </c>
      <c r="U277" s="2883">
        <v>24</v>
      </c>
      <c r="V277" s="2883">
        <v>42</v>
      </c>
      <c r="W277" s="2883">
        <v>3</v>
      </c>
      <c r="X277" s="2884" t="str">
        <f>O277&amp;P277</f>
        <v>Ataque A Distancia Real1 kilómetro</v>
      </c>
      <c r="Z277" s="2872"/>
    </row>
    <row r="278" spans="1:26" ht="12" customHeight="1" x14ac:dyDescent="0.2">
      <c r="A278" s="6112"/>
      <c r="N278" s="6122"/>
      <c r="O278" s="2901" t="s">
        <v>9968</v>
      </c>
      <c r="P278" s="2879" t="s">
        <v>7690</v>
      </c>
      <c r="Q278" s="2883"/>
      <c r="R278" s="2927"/>
      <c r="S278" s="2883"/>
      <c r="T278" s="2883"/>
      <c r="U278" s="2883"/>
      <c r="V278" s="2883"/>
      <c r="W278" s="2883"/>
      <c r="X278" s="2884" t="str">
        <f>O278&amp;P278</f>
        <v>&gt; ATAQUE CON ÁREA</v>
      </c>
      <c r="Z278" s="2872"/>
    </row>
    <row r="279" spans="1:26" ht="12" customHeight="1" x14ac:dyDescent="0.2">
      <c r="A279" s="6112"/>
      <c r="N279" s="6122"/>
      <c r="O279" s="2901" t="s">
        <v>9969</v>
      </c>
      <c r="P279" s="2879" t="s">
        <v>9970</v>
      </c>
      <c r="Q279" s="2883">
        <v>1</v>
      </c>
      <c r="R279" s="2927">
        <v>2</v>
      </c>
      <c r="S279" s="2883">
        <v>5</v>
      </c>
      <c r="T279" s="2883">
        <v>1</v>
      </c>
      <c r="U279" s="2883">
        <v>2</v>
      </c>
      <c r="V279" s="2883">
        <v>4</v>
      </c>
      <c r="W279" s="2883">
        <v>1</v>
      </c>
      <c r="X279" s="2884" t="str">
        <f>O279&amp;P279</f>
        <v>Ataque Con Área1 metro de radio</v>
      </c>
      <c r="Z279" s="2872"/>
    </row>
    <row r="280" spans="1:26" ht="12" customHeight="1" x14ac:dyDescent="0.2">
      <c r="A280" s="6112"/>
      <c r="N280" s="6122"/>
      <c r="O280" s="2901" t="s">
        <v>9969</v>
      </c>
      <c r="P280" s="2879" t="s">
        <v>3974</v>
      </c>
      <c r="Q280" s="2883">
        <v>2</v>
      </c>
      <c r="R280" s="2927">
        <v>4</v>
      </c>
      <c r="S280" s="2883">
        <v>10</v>
      </c>
      <c r="T280" s="2883">
        <v>1</v>
      </c>
      <c r="U280" s="2883">
        <v>2</v>
      </c>
      <c r="V280" s="2883">
        <v>4</v>
      </c>
      <c r="W280" s="2883">
        <v>1</v>
      </c>
      <c r="X280" s="2884" t="str">
        <f>O280&amp;P280</f>
        <v>Ataque Con Área5 metros de radio</v>
      </c>
      <c r="Z280" s="2872"/>
    </row>
    <row r="281" spans="1:26" ht="12" customHeight="1" x14ac:dyDescent="0.2">
      <c r="A281" s="6112"/>
      <c r="C281" s="2892"/>
      <c r="D281" s="2892"/>
      <c r="N281" s="6122"/>
      <c r="O281" s="2901" t="s">
        <v>9969</v>
      </c>
      <c r="P281" s="2879" t="s">
        <v>4863</v>
      </c>
      <c r="Q281" s="2883">
        <v>3</v>
      </c>
      <c r="R281" s="2927">
        <v>5</v>
      </c>
      <c r="S281" s="2883">
        <v>15</v>
      </c>
      <c r="T281" s="2883">
        <v>2</v>
      </c>
      <c r="U281" s="2883">
        <v>4</v>
      </c>
      <c r="V281" s="2883">
        <v>7</v>
      </c>
      <c r="W281" s="2883">
        <v>1</v>
      </c>
      <c r="X281" s="2884" t="str">
        <f>O281&amp;P281</f>
        <v>Ataque Con Área10 metros de radio</v>
      </c>
      <c r="Z281" s="2872"/>
    </row>
    <row r="282" spans="1:26" ht="12" customHeight="1" x14ac:dyDescent="0.2">
      <c r="A282" s="6112"/>
      <c r="N282" s="6122"/>
      <c r="O282" s="2901" t="s">
        <v>9969</v>
      </c>
      <c r="P282" s="2879" t="s">
        <v>3975</v>
      </c>
      <c r="Q282" s="2883">
        <v>4</v>
      </c>
      <c r="R282" s="2927">
        <v>6</v>
      </c>
      <c r="S282" s="2883">
        <v>20</v>
      </c>
      <c r="T282" s="2883">
        <v>3</v>
      </c>
      <c r="U282" s="2883">
        <v>6</v>
      </c>
      <c r="V282" s="2883">
        <v>11</v>
      </c>
      <c r="W282" s="2883">
        <v>1</v>
      </c>
      <c r="X282" s="2884" t="str">
        <f>O282&amp;P282</f>
        <v>Ataque Con Área25 metros de radio</v>
      </c>
      <c r="Z282" s="2872"/>
    </row>
    <row r="283" spans="1:26" ht="12" customHeight="1" x14ac:dyDescent="0.2">
      <c r="A283" s="6112"/>
      <c r="C283" s="2892"/>
      <c r="D283" s="2892"/>
      <c r="N283" s="6122"/>
      <c r="O283" s="2901" t="s">
        <v>9969</v>
      </c>
      <c r="P283" s="2879" t="s">
        <v>4089</v>
      </c>
      <c r="Q283" s="2883">
        <v>6</v>
      </c>
      <c r="R283" s="2927">
        <v>9</v>
      </c>
      <c r="S283" s="2883">
        <v>25</v>
      </c>
      <c r="T283" s="2883">
        <v>4</v>
      </c>
      <c r="U283" s="2883">
        <v>8</v>
      </c>
      <c r="V283" s="2883">
        <v>14</v>
      </c>
      <c r="W283" s="2883">
        <v>2</v>
      </c>
      <c r="X283" s="2884" t="str">
        <f>O283&amp;P283</f>
        <v>Ataque Con Área50 metros de radio</v>
      </c>
      <c r="Z283" s="2872"/>
    </row>
    <row r="284" spans="1:26" ht="12" customHeight="1" x14ac:dyDescent="0.2">
      <c r="A284" s="6112"/>
      <c r="N284" s="6122"/>
      <c r="O284" s="2901" t="s">
        <v>9969</v>
      </c>
      <c r="P284" s="2879" t="s">
        <v>3976</v>
      </c>
      <c r="Q284" s="2883">
        <v>8</v>
      </c>
      <c r="R284" s="2927">
        <v>11</v>
      </c>
      <c r="S284" s="2883">
        <v>30</v>
      </c>
      <c r="T284" s="2883">
        <v>5</v>
      </c>
      <c r="U284" s="2883">
        <v>10</v>
      </c>
      <c r="V284" s="2883">
        <v>18</v>
      </c>
      <c r="W284" s="2883">
        <v>2</v>
      </c>
      <c r="X284" s="2884" t="str">
        <f>O284&amp;P284</f>
        <v>Ataque Con Área100 metros de radio</v>
      </c>
      <c r="Z284" s="2872"/>
    </row>
    <row r="285" spans="1:26" ht="12" customHeight="1" x14ac:dyDescent="0.2">
      <c r="A285" s="6112"/>
      <c r="N285" s="6122"/>
      <c r="O285" s="2901" t="s">
        <v>9969</v>
      </c>
      <c r="P285" s="2879" t="s">
        <v>3977</v>
      </c>
      <c r="Q285" s="2883">
        <v>10</v>
      </c>
      <c r="R285" s="2927">
        <v>13</v>
      </c>
      <c r="S285" s="2883">
        <v>40</v>
      </c>
      <c r="T285" s="2883">
        <v>6</v>
      </c>
      <c r="U285" s="2883">
        <v>12</v>
      </c>
      <c r="V285" s="2883">
        <v>21</v>
      </c>
      <c r="W285" s="2883">
        <v>2</v>
      </c>
      <c r="X285" s="2884" t="str">
        <f>O285&amp;P285</f>
        <v>Ataque Con Área500 metros de radio</v>
      </c>
      <c r="Z285" s="2872"/>
    </row>
    <row r="286" spans="1:26" ht="12" customHeight="1" x14ac:dyDescent="0.2">
      <c r="A286" s="6112"/>
      <c r="N286" s="6122"/>
      <c r="O286" s="2901" t="s">
        <v>9969</v>
      </c>
      <c r="P286" s="2879" t="s">
        <v>4090</v>
      </c>
      <c r="Q286" s="2883">
        <v>12</v>
      </c>
      <c r="R286" s="2927">
        <v>15</v>
      </c>
      <c r="S286" s="2883">
        <v>50</v>
      </c>
      <c r="T286" s="2883">
        <v>8</v>
      </c>
      <c r="U286" s="2883">
        <v>16</v>
      </c>
      <c r="V286" s="2883">
        <v>28</v>
      </c>
      <c r="W286" s="2883">
        <v>3</v>
      </c>
      <c r="X286" s="2884" t="str">
        <f>O286&amp;P286</f>
        <v>Ataque Con Área1 kilómetro de radio</v>
      </c>
      <c r="Z286" s="2872"/>
    </row>
    <row r="287" spans="1:26" ht="12" customHeight="1" x14ac:dyDescent="0.2">
      <c r="A287" s="6112"/>
      <c r="N287" s="6122"/>
      <c r="O287" s="2901" t="s">
        <v>9969</v>
      </c>
      <c r="P287" s="2879" t="s">
        <v>9971</v>
      </c>
      <c r="Q287" s="2883">
        <v>16</v>
      </c>
      <c r="R287" s="2927">
        <v>20</v>
      </c>
      <c r="S287" s="2883">
        <v>60</v>
      </c>
      <c r="T287" s="2883">
        <v>10</v>
      </c>
      <c r="U287" s="2883">
        <v>20</v>
      </c>
      <c r="V287" s="2883">
        <v>35</v>
      </c>
      <c r="W287" s="2883">
        <v>3</v>
      </c>
      <c r="X287" s="2884" t="str">
        <f>O287&amp;P287</f>
        <v>Ataque Con Área5 kilómetros de radio</v>
      </c>
      <c r="Z287" s="2872"/>
    </row>
    <row r="288" spans="1:26" ht="12" customHeight="1" x14ac:dyDescent="0.2">
      <c r="A288" s="6112"/>
      <c r="N288" s="6122"/>
      <c r="O288" s="2901" t="s">
        <v>9969</v>
      </c>
      <c r="P288" s="2879" t="s">
        <v>3714</v>
      </c>
      <c r="Q288" s="2883">
        <v>2</v>
      </c>
      <c r="R288" s="2927">
        <v>2</v>
      </c>
      <c r="S288" s="2883">
        <v>10</v>
      </c>
      <c r="T288" s="2883">
        <v>1</v>
      </c>
      <c r="U288" s="2883">
        <v>2</v>
      </c>
      <c r="V288" s="2883">
        <v>4</v>
      </c>
      <c r="W288" s="2883"/>
      <c r="X288" s="2884" t="str">
        <f>O288&amp;P288</f>
        <v>Ataque Con ÁreaElección de Blanco</v>
      </c>
      <c r="Z288" s="2872"/>
    </row>
    <row r="289" spans="1:26" ht="12" customHeight="1" x14ac:dyDescent="0.2">
      <c r="A289" s="6112"/>
      <c r="N289" s="6122"/>
      <c r="O289" s="2901" t="s">
        <v>9972</v>
      </c>
      <c r="P289" s="2879" t="s">
        <v>7690</v>
      </c>
      <c r="Q289" s="2883"/>
      <c r="R289" s="2927"/>
      <c r="S289" s="2883"/>
      <c r="T289" s="2883"/>
      <c r="U289" s="2883"/>
      <c r="V289" s="2883"/>
      <c r="W289" s="2883"/>
      <c r="X289" s="2884" t="str">
        <f>O289&amp;P289</f>
        <v>&gt; ATAQUE CON ÁREA REAL</v>
      </c>
      <c r="Z289" s="2872"/>
    </row>
    <row r="290" spans="1:26" ht="12" customHeight="1" x14ac:dyDescent="0.2">
      <c r="A290" s="6112"/>
      <c r="N290" s="6122"/>
      <c r="O290" s="2901" t="s">
        <v>9973</v>
      </c>
      <c r="P290" s="2879" t="s">
        <v>9970</v>
      </c>
      <c r="Q290" s="2883">
        <v>2</v>
      </c>
      <c r="R290" s="2927">
        <v>4</v>
      </c>
      <c r="S290" s="2883">
        <v>10</v>
      </c>
      <c r="T290" s="2883">
        <v>2</v>
      </c>
      <c r="U290" s="2883">
        <v>4</v>
      </c>
      <c r="V290" s="2883">
        <v>4</v>
      </c>
      <c r="W290" s="2883">
        <v>1</v>
      </c>
      <c r="X290" s="2884" t="str">
        <f>O290&amp;P290</f>
        <v>Ataque Con Área Real1 metro de radio</v>
      </c>
      <c r="Z290" s="2872"/>
    </row>
    <row r="291" spans="1:26" ht="12" customHeight="1" x14ac:dyDescent="0.2">
      <c r="A291" s="6112"/>
      <c r="N291" s="6122"/>
      <c r="O291" s="2901" t="s">
        <v>9973</v>
      </c>
      <c r="P291" s="2879" t="s">
        <v>3974</v>
      </c>
      <c r="Q291" s="2883">
        <v>4</v>
      </c>
      <c r="R291" s="2927">
        <v>6</v>
      </c>
      <c r="S291" s="2883">
        <v>15</v>
      </c>
      <c r="T291" s="2883">
        <v>3</v>
      </c>
      <c r="U291" s="2883">
        <v>6</v>
      </c>
      <c r="V291" s="2883">
        <v>6</v>
      </c>
      <c r="W291" s="2883">
        <v>1</v>
      </c>
      <c r="X291" s="2884" t="str">
        <f>O291&amp;P291</f>
        <v>Ataque Con Área Real5 metros de radio</v>
      </c>
      <c r="Z291" s="2872"/>
    </row>
    <row r="292" spans="1:26" ht="12" customHeight="1" x14ac:dyDescent="0.2">
      <c r="A292" s="6112"/>
      <c r="N292" s="6122"/>
      <c r="O292" s="2901" t="s">
        <v>9973</v>
      </c>
      <c r="P292" s="2879" t="s">
        <v>4863</v>
      </c>
      <c r="Q292" s="2883">
        <v>6</v>
      </c>
      <c r="R292" s="2927">
        <v>9</v>
      </c>
      <c r="S292" s="2883">
        <v>20</v>
      </c>
      <c r="T292" s="2883">
        <v>4</v>
      </c>
      <c r="U292" s="2883">
        <v>8</v>
      </c>
      <c r="V292" s="2883">
        <v>8</v>
      </c>
      <c r="W292" s="2883">
        <v>1</v>
      </c>
      <c r="X292" s="2884" t="str">
        <f>O292&amp;P292</f>
        <v>Ataque Con Área Real10 metros de radio</v>
      </c>
      <c r="Z292" s="2872"/>
    </row>
    <row r="293" spans="1:26" ht="12" customHeight="1" x14ac:dyDescent="0.2">
      <c r="A293" s="6112"/>
      <c r="N293" s="6122"/>
      <c r="O293" s="2901" t="s">
        <v>9973</v>
      </c>
      <c r="P293" s="2879" t="s">
        <v>3975</v>
      </c>
      <c r="Q293" s="2883">
        <v>8</v>
      </c>
      <c r="R293" s="2927">
        <v>11</v>
      </c>
      <c r="S293" s="2883">
        <v>30</v>
      </c>
      <c r="T293" s="2883">
        <v>5</v>
      </c>
      <c r="U293" s="2883">
        <v>10</v>
      </c>
      <c r="V293" s="2883">
        <v>10</v>
      </c>
      <c r="W293" s="2883">
        <v>2</v>
      </c>
      <c r="X293" s="2884" t="str">
        <f>O293&amp;P293</f>
        <v>Ataque Con Área Real25 metros de radio</v>
      </c>
      <c r="Z293" s="2872"/>
    </row>
    <row r="294" spans="1:26" ht="12" customHeight="1" x14ac:dyDescent="0.2">
      <c r="A294" s="6112"/>
      <c r="N294" s="6122"/>
      <c r="O294" s="2901" t="s">
        <v>9973</v>
      </c>
      <c r="P294" s="2879" t="s">
        <v>4089</v>
      </c>
      <c r="Q294" s="2883">
        <v>12</v>
      </c>
      <c r="R294" s="2927">
        <v>15</v>
      </c>
      <c r="S294" s="2883">
        <v>45</v>
      </c>
      <c r="T294" s="2883">
        <v>6</v>
      </c>
      <c r="U294" s="2883">
        <v>12</v>
      </c>
      <c r="V294" s="2883">
        <v>12</v>
      </c>
      <c r="W294" s="2883">
        <v>2</v>
      </c>
      <c r="X294" s="2884" t="str">
        <f>O294&amp;P294</f>
        <v>Ataque Con Área Real50 metros de radio</v>
      </c>
      <c r="Z294" s="2872"/>
    </row>
    <row r="295" spans="1:26" ht="12" customHeight="1" x14ac:dyDescent="0.2">
      <c r="A295" s="6112"/>
      <c r="N295" s="6122"/>
      <c r="O295" s="2901" t="s">
        <v>9973</v>
      </c>
      <c r="P295" s="2879" t="s">
        <v>3976</v>
      </c>
      <c r="Q295" s="2883">
        <v>16</v>
      </c>
      <c r="R295" s="2927">
        <v>20</v>
      </c>
      <c r="S295" s="2883">
        <v>65</v>
      </c>
      <c r="T295" s="2883">
        <v>8</v>
      </c>
      <c r="U295" s="2883">
        <v>16</v>
      </c>
      <c r="V295" s="2883">
        <v>16</v>
      </c>
      <c r="W295" s="2883">
        <v>3</v>
      </c>
      <c r="X295" s="2884" t="str">
        <f>O295&amp;P295</f>
        <v>Ataque Con Área Real100 metros de radio</v>
      </c>
      <c r="Z295" s="2872"/>
    </row>
    <row r="296" spans="1:26" ht="12" customHeight="1" x14ac:dyDescent="0.2">
      <c r="A296" s="6112"/>
      <c r="N296" s="6122"/>
      <c r="O296" s="2901" t="s">
        <v>9973</v>
      </c>
      <c r="P296" s="2879" t="s">
        <v>3714</v>
      </c>
      <c r="Q296" s="2883">
        <v>2</v>
      </c>
      <c r="R296" s="2927">
        <v>2</v>
      </c>
      <c r="S296" s="2883">
        <v>10</v>
      </c>
      <c r="T296" s="2883">
        <v>1</v>
      </c>
      <c r="U296" s="2883">
        <v>2</v>
      </c>
      <c r="V296" s="2883">
        <v>4</v>
      </c>
      <c r="W296" s="2883"/>
      <c r="X296" s="2884" t="str">
        <f>O296&amp;P296</f>
        <v>Ataque Con Área RealElección de Blanco</v>
      </c>
      <c r="Z296" s="2872"/>
    </row>
    <row r="297" spans="1:26" ht="12" customHeight="1" x14ac:dyDescent="0.2">
      <c r="A297" s="6112"/>
      <c r="N297" s="6122"/>
      <c r="O297" s="2901" t="s">
        <v>9974</v>
      </c>
      <c r="P297" s="2879" t="s">
        <v>7690</v>
      </c>
      <c r="Q297" s="2883"/>
      <c r="R297" s="2927"/>
      <c r="S297" s="2883"/>
      <c r="T297" s="2883"/>
      <c r="U297" s="2883"/>
      <c r="V297" s="2883"/>
      <c r="W297" s="2883"/>
      <c r="X297" s="2884" t="str">
        <f>O297&amp;P297</f>
        <v>&gt; PARADA EN ÁREA</v>
      </c>
      <c r="Z297" s="2872"/>
    </row>
    <row r="298" spans="1:26" ht="12" customHeight="1" x14ac:dyDescent="0.2">
      <c r="A298" s="6112"/>
      <c r="N298" s="6122"/>
      <c r="O298" s="2901" t="s">
        <v>9975</v>
      </c>
      <c r="P298" s="2879" t="s">
        <v>9970</v>
      </c>
      <c r="Q298" s="2883">
        <v>1</v>
      </c>
      <c r="R298" s="2927">
        <v>2</v>
      </c>
      <c r="S298" s="2883">
        <v>5</v>
      </c>
      <c r="T298" s="2883">
        <v>1</v>
      </c>
      <c r="U298" s="2883">
        <v>2</v>
      </c>
      <c r="V298" s="2883">
        <v>4</v>
      </c>
      <c r="W298" s="2883">
        <v>1</v>
      </c>
      <c r="X298" s="2884" t="str">
        <f>O298&amp;P298</f>
        <v>Parada En Área1 metro de radio</v>
      </c>
      <c r="Z298" s="2872"/>
    </row>
    <row r="299" spans="1:26" ht="12" customHeight="1" x14ac:dyDescent="0.2">
      <c r="A299" s="6112"/>
      <c r="N299" s="6122"/>
      <c r="O299" s="2901" t="s">
        <v>9975</v>
      </c>
      <c r="P299" s="2879" t="s">
        <v>3974</v>
      </c>
      <c r="Q299" s="2883">
        <v>2</v>
      </c>
      <c r="R299" s="2927">
        <v>4</v>
      </c>
      <c r="S299" s="2883">
        <v>5</v>
      </c>
      <c r="T299" s="2883">
        <v>2</v>
      </c>
      <c r="U299" s="2883">
        <v>4</v>
      </c>
      <c r="V299" s="2883">
        <v>7</v>
      </c>
      <c r="W299" s="2883">
        <v>1</v>
      </c>
      <c r="X299" s="2884" t="str">
        <f>O299&amp;P299</f>
        <v>Parada En Área5 metros de radio</v>
      </c>
      <c r="Z299" s="2872"/>
    </row>
    <row r="300" spans="1:26" ht="12" customHeight="1" x14ac:dyDescent="0.2">
      <c r="A300" s="6112"/>
      <c r="N300" s="6122"/>
      <c r="O300" s="2901" t="s">
        <v>9975</v>
      </c>
      <c r="P300" s="2879" t="s">
        <v>4863</v>
      </c>
      <c r="Q300" s="2883">
        <v>3</v>
      </c>
      <c r="R300" s="2927">
        <v>5</v>
      </c>
      <c r="S300" s="2883">
        <v>10</v>
      </c>
      <c r="T300" s="2883">
        <v>3</v>
      </c>
      <c r="U300" s="2883">
        <v>6</v>
      </c>
      <c r="V300" s="2883">
        <v>11</v>
      </c>
      <c r="W300" s="2883">
        <v>1</v>
      </c>
      <c r="X300" s="2884" t="str">
        <f>O300&amp;P300</f>
        <v>Parada En Área10 metros de radio</v>
      </c>
      <c r="Z300" s="2872"/>
    </row>
    <row r="301" spans="1:26" ht="12" customHeight="1" x14ac:dyDescent="0.2">
      <c r="A301" s="6112"/>
      <c r="N301" s="6122"/>
      <c r="O301" s="2901" t="s">
        <v>9975</v>
      </c>
      <c r="P301" s="2879" t="s">
        <v>3975</v>
      </c>
      <c r="Q301" s="2883">
        <v>4</v>
      </c>
      <c r="R301" s="2927">
        <v>6</v>
      </c>
      <c r="S301" s="2883">
        <v>15</v>
      </c>
      <c r="T301" s="2883">
        <v>4</v>
      </c>
      <c r="U301" s="2883">
        <v>8</v>
      </c>
      <c r="V301" s="2883">
        <v>14</v>
      </c>
      <c r="W301" s="2883">
        <v>1</v>
      </c>
      <c r="X301" s="2884" t="str">
        <f>O301&amp;P301</f>
        <v>Parada En Área25 metros de radio</v>
      </c>
      <c r="Z301" s="2872"/>
    </row>
    <row r="302" spans="1:26" ht="12" customHeight="1" x14ac:dyDescent="0.2">
      <c r="A302" s="6112"/>
      <c r="N302" s="6122"/>
      <c r="O302" s="2901" t="s">
        <v>9975</v>
      </c>
      <c r="P302" s="2879" t="s">
        <v>4089</v>
      </c>
      <c r="Q302" s="2883">
        <v>5</v>
      </c>
      <c r="R302" s="2927">
        <v>8</v>
      </c>
      <c r="S302" s="2883">
        <v>20</v>
      </c>
      <c r="T302" s="2883">
        <v>5</v>
      </c>
      <c r="U302" s="2883">
        <v>10</v>
      </c>
      <c r="V302" s="2883">
        <v>18</v>
      </c>
      <c r="W302" s="2883">
        <v>2</v>
      </c>
      <c r="X302" s="2884" t="str">
        <f>O302&amp;P302</f>
        <v>Parada En Área50 metros de radio</v>
      </c>
      <c r="Z302" s="2872"/>
    </row>
    <row r="303" spans="1:26" ht="12" customHeight="1" x14ac:dyDescent="0.2">
      <c r="A303" s="6112"/>
      <c r="N303" s="6122"/>
      <c r="O303" s="2901" t="s">
        <v>9975</v>
      </c>
      <c r="P303" s="2879" t="s">
        <v>3976</v>
      </c>
      <c r="Q303" s="2883">
        <v>6</v>
      </c>
      <c r="R303" s="2927">
        <v>9</v>
      </c>
      <c r="S303" s="2883">
        <v>25</v>
      </c>
      <c r="T303" s="2883">
        <v>6</v>
      </c>
      <c r="U303" s="2883">
        <v>12</v>
      </c>
      <c r="V303" s="2883">
        <v>21</v>
      </c>
      <c r="W303" s="2883">
        <v>2</v>
      </c>
      <c r="X303" s="2884" t="str">
        <f>O303&amp;P303</f>
        <v>Parada En Área100 metros de radio</v>
      </c>
      <c r="Z303" s="2872"/>
    </row>
    <row r="304" spans="1:26" ht="12" customHeight="1" x14ac:dyDescent="0.2">
      <c r="A304" s="6112"/>
      <c r="N304" s="6122"/>
      <c r="O304" s="2901" t="s">
        <v>9975</v>
      </c>
      <c r="P304" s="2879" t="s">
        <v>3977</v>
      </c>
      <c r="Q304" s="2883">
        <v>8</v>
      </c>
      <c r="R304" s="2927">
        <v>11</v>
      </c>
      <c r="S304" s="2883">
        <v>30</v>
      </c>
      <c r="T304" s="2883">
        <v>7</v>
      </c>
      <c r="U304" s="2883">
        <v>14</v>
      </c>
      <c r="V304" s="2883">
        <v>25</v>
      </c>
      <c r="W304" s="2883">
        <v>3</v>
      </c>
      <c r="X304" s="2884" t="str">
        <f>O304&amp;P304</f>
        <v>Parada En Área500 metros de radio</v>
      </c>
      <c r="Z304" s="2872"/>
    </row>
    <row r="305" spans="1:26" ht="12" customHeight="1" x14ac:dyDescent="0.2">
      <c r="A305" s="6112"/>
      <c r="N305" s="6122"/>
      <c r="O305" s="2901" t="s">
        <v>9975</v>
      </c>
      <c r="P305" s="2879" t="s">
        <v>4090</v>
      </c>
      <c r="Q305" s="2883">
        <v>10</v>
      </c>
      <c r="R305" s="2927">
        <v>13</v>
      </c>
      <c r="S305" s="2883">
        <v>35</v>
      </c>
      <c r="T305" s="2883">
        <v>8</v>
      </c>
      <c r="U305" s="2883">
        <v>16</v>
      </c>
      <c r="V305" s="2883">
        <v>28</v>
      </c>
      <c r="W305" s="2883">
        <v>3</v>
      </c>
      <c r="X305" s="2884" t="str">
        <f>O305&amp;P305</f>
        <v>Parada En Área1 kilómetro de radio</v>
      </c>
      <c r="Z305" s="2872"/>
    </row>
    <row r="306" spans="1:26" ht="12" customHeight="1" x14ac:dyDescent="0.2">
      <c r="A306" s="6112"/>
      <c r="N306" s="6122"/>
      <c r="O306" s="2901" t="s">
        <v>9976</v>
      </c>
      <c r="P306" s="2879" t="s">
        <v>7690</v>
      </c>
      <c r="Q306" s="2883"/>
      <c r="R306" s="2927"/>
      <c r="S306" s="2883"/>
      <c r="T306" s="2883"/>
      <c r="U306" s="2883"/>
      <c r="V306" s="2883"/>
      <c r="W306" s="2883"/>
      <c r="X306" s="2884" t="str">
        <f>O306&amp;P306</f>
        <v>&gt; TRANSPORTE AUTOMÁTICO</v>
      </c>
      <c r="Z306" s="2872"/>
    </row>
    <row r="307" spans="1:26" ht="12" customHeight="1" x14ac:dyDescent="0.2">
      <c r="A307" s="6112"/>
      <c r="N307" s="6122"/>
      <c r="O307" s="2901" t="s">
        <v>9762</v>
      </c>
      <c r="P307" s="2879" t="s">
        <v>9964</v>
      </c>
      <c r="Q307" s="2883">
        <v>2</v>
      </c>
      <c r="R307" s="2927">
        <v>4</v>
      </c>
      <c r="S307" s="2883">
        <v>5</v>
      </c>
      <c r="T307" s="2883">
        <v>1</v>
      </c>
      <c r="U307" s="2883">
        <v>2</v>
      </c>
      <c r="V307" s="2883">
        <v>4</v>
      </c>
      <c r="W307" s="2883">
        <v>1</v>
      </c>
      <c r="X307" s="2884" t="str">
        <f>O307&amp;P307</f>
        <v>Transporte Automático10 metros</v>
      </c>
      <c r="Z307" s="2872"/>
    </row>
    <row r="308" spans="1:26" ht="12" customHeight="1" x14ac:dyDescent="0.2">
      <c r="A308" s="6112"/>
      <c r="N308" s="6122"/>
      <c r="O308" s="2901" t="s">
        <v>9762</v>
      </c>
      <c r="P308" s="2879" t="s">
        <v>9666</v>
      </c>
      <c r="Q308" s="2883">
        <v>3</v>
      </c>
      <c r="R308" s="2927">
        <v>5</v>
      </c>
      <c r="S308" s="2883">
        <v>10</v>
      </c>
      <c r="T308" s="2883">
        <v>2</v>
      </c>
      <c r="U308" s="2883">
        <v>4</v>
      </c>
      <c r="V308" s="2883">
        <v>7</v>
      </c>
      <c r="W308" s="2883">
        <v>1</v>
      </c>
      <c r="X308" s="2884" t="str">
        <f>O308&amp;P308</f>
        <v>Transporte Automático20 metros</v>
      </c>
      <c r="Z308" s="2872"/>
    </row>
    <row r="309" spans="1:26" ht="12" customHeight="1" x14ac:dyDescent="0.2">
      <c r="A309" s="6112"/>
      <c r="N309" s="6122"/>
      <c r="O309" s="2901" t="s">
        <v>9762</v>
      </c>
      <c r="P309" s="2879" t="s">
        <v>5481</v>
      </c>
      <c r="Q309" s="2883">
        <v>4</v>
      </c>
      <c r="R309" s="2927">
        <v>6</v>
      </c>
      <c r="S309" s="2883">
        <v>10</v>
      </c>
      <c r="T309" s="2883">
        <v>3</v>
      </c>
      <c r="U309" s="2883">
        <v>6</v>
      </c>
      <c r="V309" s="2883">
        <v>11</v>
      </c>
      <c r="W309" s="2883">
        <v>1</v>
      </c>
      <c r="X309" s="2884" t="str">
        <f>O309&amp;P309</f>
        <v>Transporte Automático50 metros</v>
      </c>
      <c r="Z309" s="2872"/>
    </row>
    <row r="310" spans="1:26" ht="12" customHeight="1" x14ac:dyDescent="0.2">
      <c r="A310" s="6112"/>
      <c r="N310" s="6122"/>
      <c r="O310" s="2901" t="s">
        <v>9762</v>
      </c>
      <c r="P310" s="2879" t="s">
        <v>5517</v>
      </c>
      <c r="Q310" s="2883">
        <v>5</v>
      </c>
      <c r="R310" s="2927">
        <v>8</v>
      </c>
      <c r="S310" s="2883">
        <v>15</v>
      </c>
      <c r="T310" s="2883">
        <v>4</v>
      </c>
      <c r="U310" s="2883">
        <v>8</v>
      </c>
      <c r="V310" s="2883">
        <v>14</v>
      </c>
      <c r="W310" s="2883">
        <v>1</v>
      </c>
      <c r="X310" s="2884" t="str">
        <f>O310&amp;P310</f>
        <v>Transporte Automático100 metros</v>
      </c>
      <c r="Z310" s="2872"/>
    </row>
    <row r="311" spans="1:26" ht="12" customHeight="1" x14ac:dyDescent="0.2">
      <c r="A311" s="6112"/>
      <c r="N311" s="6122"/>
      <c r="O311" s="2901" t="s">
        <v>9762</v>
      </c>
      <c r="P311" s="2879" t="s">
        <v>5953</v>
      </c>
      <c r="Q311" s="2883">
        <v>6</v>
      </c>
      <c r="R311" s="2927">
        <v>9</v>
      </c>
      <c r="S311" s="2883">
        <v>20</v>
      </c>
      <c r="T311" s="2883">
        <v>5</v>
      </c>
      <c r="U311" s="2883">
        <v>10</v>
      </c>
      <c r="V311" s="2883">
        <v>18</v>
      </c>
      <c r="W311" s="2883">
        <v>1</v>
      </c>
      <c r="X311" s="2884" t="str">
        <f>O311&amp;P311</f>
        <v>Transporte Automático250 metros</v>
      </c>
      <c r="Z311" s="2872"/>
    </row>
    <row r="312" spans="1:26" ht="12" customHeight="1" x14ac:dyDescent="0.2">
      <c r="A312" s="6112"/>
      <c r="N312" s="6122"/>
      <c r="O312" s="2901" t="s">
        <v>9762</v>
      </c>
      <c r="P312" s="2879" t="s">
        <v>5833</v>
      </c>
      <c r="Q312" s="2883">
        <v>8</v>
      </c>
      <c r="R312" s="2927">
        <v>11</v>
      </c>
      <c r="S312" s="2883">
        <v>25</v>
      </c>
      <c r="T312" s="2883">
        <v>6</v>
      </c>
      <c r="U312" s="2883">
        <v>12</v>
      </c>
      <c r="V312" s="2883">
        <v>21</v>
      </c>
      <c r="W312" s="2883">
        <v>2</v>
      </c>
      <c r="X312" s="2884" t="str">
        <f>O312&amp;P312</f>
        <v>Transporte Automático500 metros</v>
      </c>
      <c r="Z312" s="2872"/>
    </row>
    <row r="313" spans="1:26" ht="12" customHeight="1" x14ac:dyDescent="0.2">
      <c r="A313" s="6112"/>
      <c r="C313" s="2892"/>
      <c r="D313" s="2892"/>
      <c r="N313" s="6122"/>
      <c r="O313" s="2901" t="s">
        <v>9762</v>
      </c>
      <c r="P313" s="2879" t="s">
        <v>5834</v>
      </c>
      <c r="Q313" s="2883">
        <v>10</v>
      </c>
      <c r="R313" s="2927">
        <v>13</v>
      </c>
      <c r="S313" s="2883">
        <v>30</v>
      </c>
      <c r="T313" s="2883">
        <v>7</v>
      </c>
      <c r="U313" s="2883">
        <v>14</v>
      </c>
      <c r="V313" s="2883">
        <v>25</v>
      </c>
      <c r="W313" s="2883">
        <v>2</v>
      </c>
      <c r="X313" s="2884" t="str">
        <f>O313&amp;P313</f>
        <v>Transporte Automático1 kilómetro</v>
      </c>
      <c r="Z313" s="2872"/>
    </row>
    <row r="314" spans="1:26" ht="12" customHeight="1" x14ac:dyDescent="0.2">
      <c r="A314" s="6112"/>
      <c r="N314" s="6122"/>
      <c r="O314" s="2901" t="s">
        <v>9762</v>
      </c>
      <c r="P314" s="2879" t="s">
        <v>9965</v>
      </c>
      <c r="Q314" s="2883">
        <v>14</v>
      </c>
      <c r="R314" s="2927">
        <v>18</v>
      </c>
      <c r="S314" s="2883">
        <v>35</v>
      </c>
      <c r="T314" s="2883">
        <v>8</v>
      </c>
      <c r="U314" s="2883">
        <v>16</v>
      </c>
      <c r="V314" s="2883">
        <v>28</v>
      </c>
      <c r="W314" s="2883">
        <v>2</v>
      </c>
      <c r="X314" s="2884" t="str">
        <f>O314&amp;P314</f>
        <v>Transporte Automático5 kilómetros</v>
      </c>
      <c r="Z314" s="2872"/>
    </row>
    <row r="315" spans="1:26" ht="12" customHeight="1" x14ac:dyDescent="0.2">
      <c r="A315" s="6112"/>
      <c r="N315" s="6122"/>
      <c r="O315" s="2901" t="s">
        <v>9762</v>
      </c>
      <c r="P315" s="2879" t="s">
        <v>5884</v>
      </c>
      <c r="Q315" s="2883">
        <v>18</v>
      </c>
      <c r="R315" s="2927">
        <v>22</v>
      </c>
      <c r="S315" s="2883">
        <v>40</v>
      </c>
      <c r="T315" s="2883">
        <v>10</v>
      </c>
      <c r="U315" s="2883">
        <v>20</v>
      </c>
      <c r="V315" s="2883">
        <v>35</v>
      </c>
      <c r="W315" s="2883">
        <v>3</v>
      </c>
      <c r="X315" s="2884" t="str">
        <f>O315&amp;P315</f>
        <v>Transporte Automático10 kilómetros</v>
      </c>
      <c r="Z315" s="2872"/>
    </row>
    <row r="316" spans="1:26" ht="12" customHeight="1" x14ac:dyDescent="0.2">
      <c r="A316" s="6112"/>
      <c r="N316" s="6122"/>
      <c r="O316" s="2901" t="s">
        <v>9762</v>
      </c>
      <c r="P316" s="2879" t="s">
        <v>5885</v>
      </c>
      <c r="Q316" s="2883">
        <v>22</v>
      </c>
      <c r="R316" s="2927">
        <v>26</v>
      </c>
      <c r="S316" s="2883">
        <v>50</v>
      </c>
      <c r="T316" s="2883">
        <v>12</v>
      </c>
      <c r="U316" s="2883">
        <v>24</v>
      </c>
      <c r="V316" s="2883">
        <v>42</v>
      </c>
      <c r="W316" s="2883">
        <v>3</v>
      </c>
      <c r="X316" s="2884" t="str">
        <f>O316&amp;P316</f>
        <v>Transporte Automático100 kilómetros</v>
      </c>
      <c r="Z316" s="2872"/>
    </row>
    <row r="317" spans="1:26" ht="12" customHeight="1" x14ac:dyDescent="0.2">
      <c r="A317" s="6112"/>
      <c r="N317" s="6122"/>
      <c r="O317" s="2901" t="s">
        <v>3302</v>
      </c>
      <c r="P317" s="2879"/>
      <c r="Q317" s="2883"/>
      <c r="R317" s="2927"/>
      <c r="S317" s="2883"/>
      <c r="T317" s="2883"/>
      <c r="U317" s="2883"/>
      <c r="V317" s="2883"/>
      <c r="W317" s="2883"/>
      <c r="X317" s="2884" t="str">
        <f>O317&amp;P317</f>
        <v>&gt;&gt;EFECTOS DE ENTEREZA</v>
      </c>
      <c r="Z317" s="2872"/>
    </row>
    <row r="318" spans="1:26" ht="12" customHeight="1" x14ac:dyDescent="0.2">
      <c r="A318" s="6112"/>
      <c r="N318" s="6122"/>
      <c r="O318" s="2901" t="s">
        <v>9977</v>
      </c>
      <c r="P318" s="2879" t="s">
        <v>7690</v>
      </c>
      <c r="Q318" s="2883"/>
      <c r="R318" s="2927"/>
      <c r="S318" s="2883"/>
      <c r="T318" s="2883"/>
      <c r="U318" s="2883"/>
      <c r="V318" s="2883"/>
      <c r="W318" s="2883"/>
      <c r="X318" s="2884" t="str">
        <f>O318&amp;P318</f>
        <v>&gt; AUMENTAR ROTURA</v>
      </c>
      <c r="Z318" s="2872"/>
    </row>
    <row r="319" spans="1:26" ht="12" customHeight="1" x14ac:dyDescent="0.2">
      <c r="A319" s="6112"/>
      <c r="N319" s="6122"/>
      <c r="O319" s="2901" t="s">
        <v>9764</v>
      </c>
      <c r="P319" s="2879" t="s">
        <v>7643</v>
      </c>
      <c r="Q319" s="2883">
        <v>1</v>
      </c>
      <c r="R319" s="2927">
        <v>2</v>
      </c>
      <c r="S319" s="2883">
        <v>5</v>
      </c>
      <c r="T319" s="2883">
        <v>1</v>
      </c>
      <c r="U319" s="2883">
        <v>2</v>
      </c>
      <c r="V319" s="2883">
        <v>4</v>
      </c>
      <c r="W319" s="2883">
        <v>1</v>
      </c>
      <c r="X319" s="2884" t="str">
        <f>O319&amp;P319</f>
        <v>Aumentar Rotura+5</v>
      </c>
      <c r="Z319" s="2872"/>
    </row>
    <row r="320" spans="1:26" ht="12" customHeight="1" x14ac:dyDescent="0.2">
      <c r="A320" s="6112"/>
      <c r="N320" s="6122"/>
      <c r="O320" s="2901" t="s">
        <v>9764</v>
      </c>
      <c r="P320" s="2879" t="s">
        <v>8285</v>
      </c>
      <c r="Q320" s="2883">
        <v>2</v>
      </c>
      <c r="R320" s="2927">
        <v>4</v>
      </c>
      <c r="S320" s="2883">
        <v>10</v>
      </c>
      <c r="T320" s="2883">
        <v>1</v>
      </c>
      <c r="U320" s="2883">
        <v>2</v>
      </c>
      <c r="V320" s="2883">
        <v>4</v>
      </c>
      <c r="W320" s="2883">
        <v>1</v>
      </c>
      <c r="X320" s="2884" t="str">
        <f>O320&amp;P320</f>
        <v>Aumentar Rotura+10</v>
      </c>
      <c r="Z320" s="2872"/>
    </row>
    <row r="321" spans="1:26" ht="12" customHeight="1" x14ac:dyDescent="0.2">
      <c r="A321" s="6112"/>
      <c r="N321" s="6122"/>
      <c r="O321" s="2901" t="s">
        <v>9764</v>
      </c>
      <c r="P321" s="2879" t="s">
        <v>8438</v>
      </c>
      <c r="Q321" s="2883">
        <v>4</v>
      </c>
      <c r="R321" s="2927">
        <v>6</v>
      </c>
      <c r="S321" s="2883">
        <v>15</v>
      </c>
      <c r="T321" s="2883">
        <v>2</v>
      </c>
      <c r="U321" s="2883">
        <v>4</v>
      </c>
      <c r="V321" s="2883">
        <v>7</v>
      </c>
      <c r="W321" s="2883">
        <v>1</v>
      </c>
      <c r="X321" s="2884" t="str">
        <f>O321&amp;P321</f>
        <v>Aumentar Rotura+15</v>
      </c>
      <c r="Z321" s="2872"/>
    </row>
    <row r="322" spans="1:26" ht="12" customHeight="1" x14ac:dyDescent="0.2">
      <c r="A322" s="6112"/>
      <c r="N322" s="6122"/>
      <c r="O322" s="2901" t="s">
        <v>9764</v>
      </c>
      <c r="P322" s="2879" t="s">
        <v>3074</v>
      </c>
      <c r="Q322" s="2883">
        <v>6</v>
      </c>
      <c r="R322" s="2927">
        <v>9</v>
      </c>
      <c r="S322" s="2883">
        <v>20</v>
      </c>
      <c r="T322" s="2883">
        <v>3</v>
      </c>
      <c r="U322" s="2883">
        <v>6</v>
      </c>
      <c r="V322" s="2883">
        <v>11</v>
      </c>
      <c r="W322" s="2883">
        <v>1</v>
      </c>
      <c r="X322" s="2884" t="str">
        <f>O322&amp;P322</f>
        <v>Aumentar Rotura+20</v>
      </c>
      <c r="Z322" s="2872"/>
    </row>
    <row r="323" spans="1:26" ht="12" customHeight="1" x14ac:dyDescent="0.2">
      <c r="A323" s="6112"/>
      <c r="N323" s="6122"/>
      <c r="O323" s="2901" t="s">
        <v>9764</v>
      </c>
      <c r="P323" s="2879" t="s">
        <v>8439</v>
      </c>
      <c r="Q323" s="2883">
        <v>8</v>
      </c>
      <c r="R323" s="2927">
        <v>11</v>
      </c>
      <c r="S323" s="2883">
        <v>25</v>
      </c>
      <c r="T323" s="2883">
        <v>4</v>
      </c>
      <c r="U323" s="2883">
        <v>8</v>
      </c>
      <c r="V323" s="2883">
        <v>14</v>
      </c>
      <c r="W323" s="2883">
        <v>2</v>
      </c>
      <c r="X323" s="2884" t="str">
        <f>O323&amp;P323</f>
        <v>Aumentar Rotura+25</v>
      </c>
      <c r="Z323" s="2872"/>
    </row>
    <row r="324" spans="1:26" ht="12" customHeight="1" x14ac:dyDescent="0.2">
      <c r="A324" s="6112"/>
      <c r="N324" s="6122"/>
      <c r="O324" s="2901" t="s">
        <v>9764</v>
      </c>
      <c r="P324" s="2879" t="s">
        <v>8286</v>
      </c>
      <c r="Q324" s="2883">
        <v>12</v>
      </c>
      <c r="R324" s="2927">
        <v>15</v>
      </c>
      <c r="S324" s="2883">
        <v>30</v>
      </c>
      <c r="T324" s="2883">
        <v>5</v>
      </c>
      <c r="U324" s="2883">
        <v>10</v>
      </c>
      <c r="V324" s="2883">
        <v>18</v>
      </c>
      <c r="W324" s="2883">
        <v>2</v>
      </c>
      <c r="X324" s="2884" t="str">
        <f>O324&amp;P324</f>
        <v>Aumentar Rotura+30</v>
      </c>
      <c r="Z324" s="2872"/>
    </row>
    <row r="325" spans="1:26" ht="12" customHeight="1" x14ac:dyDescent="0.2">
      <c r="A325" s="6112"/>
      <c r="N325" s="6122"/>
      <c r="O325" s="2901" t="s">
        <v>9764</v>
      </c>
      <c r="P325" s="2879" t="s">
        <v>9978</v>
      </c>
      <c r="Q325" s="2883">
        <v>14</v>
      </c>
      <c r="R325" s="2927">
        <v>18</v>
      </c>
      <c r="S325" s="2883">
        <v>35</v>
      </c>
      <c r="T325" s="2883">
        <v>6</v>
      </c>
      <c r="U325" s="2883">
        <v>12</v>
      </c>
      <c r="V325" s="2883">
        <v>21</v>
      </c>
      <c r="W325" s="2883">
        <v>2</v>
      </c>
      <c r="X325" s="2884" t="str">
        <f>O325&amp;P325</f>
        <v>Aumentar Rotura+35</v>
      </c>
      <c r="Z325" s="2872"/>
    </row>
    <row r="326" spans="1:26" ht="12" customHeight="1" x14ac:dyDescent="0.2">
      <c r="A326" s="6112"/>
      <c r="N326" s="6122"/>
      <c r="O326" s="2901" t="s">
        <v>9764</v>
      </c>
      <c r="P326" s="2879" t="s">
        <v>8287</v>
      </c>
      <c r="Q326" s="2883">
        <v>18</v>
      </c>
      <c r="R326" s="2927">
        <v>22</v>
      </c>
      <c r="S326" s="2883">
        <v>40</v>
      </c>
      <c r="T326" s="2883">
        <v>8</v>
      </c>
      <c r="U326" s="2883">
        <v>16</v>
      </c>
      <c r="V326" s="2883">
        <v>28</v>
      </c>
      <c r="W326" s="2883">
        <v>3</v>
      </c>
      <c r="X326" s="2884" t="str">
        <f>O326&amp;P326</f>
        <v>Aumentar Rotura+40</v>
      </c>
      <c r="Z326" s="2872"/>
    </row>
    <row r="327" spans="1:26" ht="12" customHeight="1" x14ac:dyDescent="0.2">
      <c r="A327" s="6112"/>
      <c r="N327" s="6122"/>
      <c r="O327" s="2901" t="s">
        <v>9979</v>
      </c>
      <c r="P327" s="2879" t="s">
        <v>7690</v>
      </c>
      <c r="Q327" s="2883"/>
      <c r="R327" s="2927"/>
      <c r="S327" s="2883"/>
      <c r="T327" s="2883"/>
      <c r="U327" s="2883"/>
      <c r="V327" s="2883"/>
      <c r="W327" s="2883"/>
      <c r="X327" s="2884" t="str">
        <f>O327&amp;P327</f>
        <v>&gt; AUMENTAR ENTEREZA</v>
      </c>
      <c r="Z327" s="2872"/>
    </row>
    <row r="328" spans="1:26" ht="12" customHeight="1" x14ac:dyDescent="0.2">
      <c r="A328" s="6112"/>
      <c r="N328" s="6122"/>
      <c r="O328" s="2901" t="s">
        <v>9766</v>
      </c>
      <c r="P328" s="2879" t="s">
        <v>8285</v>
      </c>
      <c r="Q328" s="2883">
        <v>1</v>
      </c>
      <c r="R328" s="2927">
        <v>2</v>
      </c>
      <c r="S328" s="2883">
        <v>5</v>
      </c>
      <c r="T328" s="2883">
        <v>1</v>
      </c>
      <c r="U328" s="2883">
        <v>2</v>
      </c>
      <c r="V328" s="2883">
        <v>4</v>
      </c>
      <c r="W328" s="2883">
        <v>1</v>
      </c>
      <c r="X328" s="2884" t="str">
        <f>O328&amp;P328</f>
        <v>Aumentar Entereza+10</v>
      </c>
      <c r="Z328" s="2872"/>
    </row>
    <row r="329" spans="1:26" ht="12" customHeight="1" x14ac:dyDescent="0.2">
      <c r="A329" s="6112"/>
      <c r="N329" s="6122"/>
      <c r="O329" s="2901" t="s">
        <v>9766</v>
      </c>
      <c r="P329" s="2879" t="s">
        <v>8438</v>
      </c>
      <c r="Q329" s="2883">
        <v>2</v>
      </c>
      <c r="R329" s="2927">
        <v>4</v>
      </c>
      <c r="S329" s="2883">
        <v>5</v>
      </c>
      <c r="T329" s="2883">
        <v>1</v>
      </c>
      <c r="U329" s="2883">
        <v>2</v>
      </c>
      <c r="V329" s="2883">
        <v>4</v>
      </c>
      <c r="W329" s="2883">
        <v>1</v>
      </c>
      <c r="X329" s="2884" t="str">
        <f>O329&amp;P329</f>
        <v>Aumentar Entereza+15</v>
      </c>
      <c r="Z329" s="2872"/>
    </row>
    <row r="330" spans="1:26" ht="12" customHeight="1" x14ac:dyDescent="0.2">
      <c r="A330" s="6112"/>
      <c r="N330" s="6122"/>
      <c r="O330" s="2901" t="s">
        <v>9766</v>
      </c>
      <c r="P330" s="2879" t="s">
        <v>3074</v>
      </c>
      <c r="Q330" s="2883">
        <v>3</v>
      </c>
      <c r="R330" s="2927">
        <v>5</v>
      </c>
      <c r="S330" s="2883">
        <v>10</v>
      </c>
      <c r="T330" s="2883">
        <v>2</v>
      </c>
      <c r="U330" s="2883">
        <v>4</v>
      </c>
      <c r="V330" s="2883">
        <v>7</v>
      </c>
      <c r="W330" s="2883">
        <v>1</v>
      </c>
      <c r="X330" s="2884" t="str">
        <f>O330&amp;P330</f>
        <v>Aumentar Entereza+20</v>
      </c>
      <c r="Z330" s="2872"/>
    </row>
    <row r="331" spans="1:26" ht="12" customHeight="1" x14ac:dyDescent="0.2">
      <c r="A331" s="6112"/>
      <c r="N331" s="6122"/>
      <c r="O331" s="2901" t="s">
        <v>9766</v>
      </c>
      <c r="P331" s="2879" t="s">
        <v>8439</v>
      </c>
      <c r="Q331" s="2883">
        <v>4</v>
      </c>
      <c r="R331" s="2927">
        <v>6</v>
      </c>
      <c r="S331" s="2883">
        <v>10</v>
      </c>
      <c r="T331" s="2883">
        <v>2</v>
      </c>
      <c r="U331" s="2883">
        <v>4</v>
      </c>
      <c r="V331" s="2883">
        <v>7</v>
      </c>
      <c r="W331" s="2883">
        <v>1</v>
      </c>
      <c r="X331" s="2884" t="str">
        <f>O331&amp;P331</f>
        <v>Aumentar Entereza+25</v>
      </c>
      <c r="Z331" s="2872"/>
    </row>
    <row r="332" spans="1:26" ht="12" customHeight="1" x14ac:dyDescent="0.2">
      <c r="A332" s="6112"/>
      <c r="N332" s="6122"/>
      <c r="O332" s="2901" t="s">
        <v>9766</v>
      </c>
      <c r="P332" s="2879" t="s">
        <v>8286</v>
      </c>
      <c r="Q332" s="2883">
        <v>5</v>
      </c>
      <c r="R332" s="2927">
        <v>8</v>
      </c>
      <c r="S332" s="2883">
        <v>15</v>
      </c>
      <c r="T332" s="2883">
        <v>3</v>
      </c>
      <c r="U332" s="2883">
        <v>6</v>
      </c>
      <c r="V332" s="2883">
        <v>11</v>
      </c>
      <c r="W332" s="2883">
        <v>2</v>
      </c>
      <c r="X332" s="2884" t="str">
        <f>O332&amp;P332</f>
        <v>Aumentar Entereza+30</v>
      </c>
      <c r="Z332" s="2872"/>
    </row>
    <row r="333" spans="1:26" ht="12" customHeight="1" x14ac:dyDescent="0.2">
      <c r="A333" s="6112"/>
      <c r="N333" s="6122"/>
      <c r="O333" s="2901" t="s">
        <v>9766</v>
      </c>
      <c r="P333" s="2879" t="s">
        <v>9978</v>
      </c>
      <c r="Q333" s="2883">
        <v>6</v>
      </c>
      <c r="R333" s="2927">
        <v>9</v>
      </c>
      <c r="S333" s="2883">
        <v>20</v>
      </c>
      <c r="T333" s="2883">
        <v>3</v>
      </c>
      <c r="U333" s="2883">
        <v>6</v>
      </c>
      <c r="V333" s="2883">
        <v>11</v>
      </c>
      <c r="W333" s="2883">
        <v>2</v>
      </c>
      <c r="X333" s="2884" t="str">
        <f>O333&amp;P333</f>
        <v>Aumentar Entereza+35</v>
      </c>
      <c r="Z333" s="2872"/>
    </row>
    <row r="334" spans="1:26" ht="12" customHeight="1" x14ac:dyDescent="0.2">
      <c r="A334" s="6112"/>
      <c r="N334" s="6122"/>
      <c r="O334" s="2901" t="s">
        <v>9766</v>
      </c>
      <c r="P334" s="2879" t="s">
        <v>8287</v>
      </c>
      <c r="Q334" s="2883">
        <v>7</v>
      </c>
      <c r="R334" s="2927">
        <v>10</v>
      </c>
      <c r="S334" s="2883">
        <v>25</v>
      </c>
      <c r="T334" s="2883">
        <v>4</v>
      </c>
      <c r="U334" s="2883">
        <v>8</v>
      </c>
      <c r="V334" s="2883">
        <v>14</v>
      </c>
      <c r="W334" s="2883">
        <v>3</v>
      </c>
      <c r="X334" s="2884" t="str">
        <f>O334&amp;P334</f>
        <v>Aumentar Entereza+40</v>
      </c>
      <c r="Z334" s="2872"/>
    </row>
    <row r="335" spans="1:26" ht="12" customHeight="1" x14ac:dyDescent="0.2">
      <c r="A335" s="6112"/>
      <c r="N335" s="6122"/>
      <c r="O335" s="2901" t="s">
        <v>9980</v>
      </c>
      <c r="P335" s="2879" t="s">
        <v>7690</v>
      </c>
      <c r="Q335" s="2883"/>
      <c r="R335" s="2927"/>
      <c r="S335" s="2883"/>
      <c r="T335" s="2883"/>
      <c r="U335" s="2883"/>
      <c r="V335" s="2883"/>
      <c r="W335" s="2883"/>
      <c r="X335" s="2884" t="str">
        <f>O335&amp;P335</f>
        <v>&gt; DESTRUIR ARMADURA</v>
      </c>
      <c r="Z335" s="2872"/>
    </row>
    <row r="336" spans="1:26" ht="12" customHeight="1" x14ac:dyDescent="0.2">
      <c r="A336" s="6112"/>
      <c r="N336" s="6122"/>
      <c r="O336" s="2901" t="s">
        <v>9769</v>
      </c>
      <c r="P336" s="2879" t="s">
        <v>9981</v>
      </c>
      <c r="Q336" s="2883">
        <v>1</v>
      </c>
      <c r="R336" s="2927">
        <v>2</v>
      </c>
      <c r="S336" s="2883">
        <v>5</v>
      </c>
      <c r="T336" s="2883">
        <v>1</v>
      </c>
      <c r="U336" s="2883">
        <v>2</v>
      </c>
      <c r="V336" s="2883">
        <v>4</v>
      </c>
      <c r="W336" s="2883">
        <v>1</v>
      </c>
      <c r="X336" s="2884" t="str">
        <f>O336&amp;P336</f>
        <v>Destruir Armadura-1 TA</v>
      </c>
      <c r="Z336" s="2872"/>
    </row>
    <row r="337" spans="1:26" ht="12" customHeight="1" x14ac:dyDescent="0.2">
      <c r="A337" s="6112"/>
      <c r="N337" s="6122"/>
      <c r="O337" s="2901" t="s">
        <v>9769</v>
      </c>
      <c r="P337" s="2879" t="s">
        <v>9982</v>
      </c>
      <c r="Q337" s="2883">
        <v>2</v>
      </c>
      <c r="R337" s="2927">
        <v>4</v>
      </c>
      <c r="S337" s="2883">
        <v>5</v>
      </c>
      <c r="T337" s="2883">
        <v>1</v>
      </c>
      <c r="U337" s="2883">
        <v>2</v>
      </c>
      <c r="V337" s="2883">
        <v>4</v>
      </c>
      <c r="W337" s="2883">
        <v>1</v>
      </c>
      <c r="X337" s="2884" t="str">
        <f>O337&amp;P337</f>
        <v>Destruir Armadura-2 TA</v>
      </c>
      <c r="Z337" s="2872"/>
    </row>
    <row r="338" spans="1:26" ht="12" customHeight="1" x14ac:dyDescent="0.2">
      <c r="A338" s="6112"/>
      <c r="N338" s="6122"/>
      <c r="O338" s="2901" t="s">
        <v>9769</v>
      </c>
      <c r="P338" s="2879" t="s">
        <v>9983</v>
      </c>
      <c r="Q338" s="2883">
        <v>3</v>
      </c>
      <c r="R338" s="2927">
        <v>5</v>
      </c>
      <c r="S338" s="2883">
        <v>10</v>
      </c>
      <c r="T338" s="2883">
        <v>2</v>
      </c>
      <c r="U338" s="2883">
        <v>4</v>
      </c>
      <c r="V338" s="2883">
        <v>7</v>
      </c>
      <c r="W338" s="2883">
        <v>1</v>
      </c>
      <c r="X338" s="2884" t="str">
        <f>O338&amp;P338</f>
        <v>Destruir Armadura-3 TA</v>
      </c>
      <c r="Z338" s="2872"/>
    </row>
    <row r="339" spans="1:26" ht="12" customHeight="1" x14ac:dyDescent="0.2">
      <c r="A339" s="6112"/>
      <c r="N339" s="6122"/>
      <c r="O339" s="2901" t="s">
        <v>9769</v>
      </c>
      <c r="P339" s="2879" t="s">
        <v>9984</v>
      </c>
      <c r="Q339" s="2883">
        <v>4</v>
      </c>
      <c r="R339" s="2927">
        <v>6</v>
      </c>
      <c r="S339" s="2883">
        <v>10</v>
      </c>
      <c r="T339" s="2883">
        <v>2</v>
      </c>
      <c r="U339" s="2883">
        <v>4</v>
      </c>
      <c r="V339" s="2883">
        <v>7</v>
      </c>
      <c r="W339" s="2883">
        <v>1</v>
      </c>
      <c r="X339" s="2884" t="str">
        <f>O339&amp;P339</f>
        <v>Destruir Armadura-4 TA</v>
      </c>
      <c r="Z339" s="2872"/>
    </row>
    <row r="340" spans="1:26" ht="12" customHeight="1" x14ac:dyDescent="0.2">
      <c r="A340" s="6112"/>
      <c r="N340" s="6122"/>
      <c r="O340" s="2901" t="s">
        <v>9769</v>
      </c>
      <c r="P340" s="2879" t="s">
        <v>9985</v>
      </c>
      <c r="Q340" s="2883">
        <v>5</v>
      </c>
      <c r="R340" s="2927">
        <v>8</v>
      </c>
      <c r="S340" s="2883">
        <v>15</v>
      </c>
      <c r="T340" s="2883">
        <v>3</v>
      </c>
      <c r="U340" s="2883">
        <v>6</v>
      </c>
      <c r="V340" s="2883">
        <v>11</v>
      </c>
      <c r="W340" s="2883">
        <v>2</v>
      </c>
      <c r="X340" s="2884" t="str">
        <f>O340&amp;P340</f>
        <v>Destruir Armadura-5 TA</v>
      </c>
      <c r="Z340" s="2872"/>
    </row>
    <row r="341" spans="1:26" ht="12" customHeight="1" x14ac:dyDescent="0.2">
      <c r="A341" s="6112"/>
      <c r="N341" s="6122"/>
      <c r="O341" s="2901" t="s">
        <v>9769</v>
      </c>
      <c r="P341" s="2879" t="s">
        <v>9986</v>
      </c>
      <c r="Q341" s="2883">
        <v>6</v>
      </c>
      <c r="R341" s="2927">
        <v>9</v>
      </c>
      <c r="S341" s="2883">
        <v>20</v>
      </c>
      <c r="T341" s="2883">
        <v>3</v>
      </c>
      <c r="U341" s="2883">
        <v>6</v>
      </c>
      <c r="V341" s="2883">
        <v>11</v>
      </c>
      <c r="W341" s="2883">
        <v>2</v>
      </c>
      <c r="X341" s="2884" t="str">
        <f>O341&amp;P341</f>
        <v>Destruir Armadura-6 TA</v>
      </c>
      <c r="Z341" s="2872"/>
    </row>
    <row r="342" spans="1:26" ht="12" customHeight="1" x14ac:dyDescent="0.2">
      <c r="A342" s="6112"/>
      <c r="N342" s="6122"/>
      <c r="O342" s="2901" t="s">
        <v>9769</v>
      </c>
      <c r="P342" s="2879" t="s">
        <v>9987</v>
      </c>
      <c r="Q342" s="2883">
        <v>8</v>
      </c>
      <c r="R342" s="2927">
        <v>11</v>
      </c>
      <c r="S342" s="2883">
        <v>25</v>
      </c>
      <c r="T342" s="2883">
        <v>4</v>
      </c>
      <c r="U342" s="2883">
        <v>8</v>
      </c>
      <c r="V342" s="2883">
        <v>14</v>
      </c>
      <c r="W342" s="2883">
        <v>2</v>
      </c>
      <c r="X342" s="2884" t="str">
        <f>O342&amp;P342</f>
        <v>Destruir Armadura-7 TA</v>
      </c>
      <c r="Z342" s="2872"/>
    </row>
    <row r="343" spans="1:26" ht="12" customHeight="1" x14ac:dyDescent="0.2">
      <c r="A343" s="6112"/>
      <c r="N343" s="6122"/>
      <c r="O343" s="2901" t="s">
        <v>9769</v>
      </c>
      <c r="P343" s="2879" t="s">
        <v>9988</v>
      </c>
      <c r="Q343" s="2883">
        <v>10</v>
      </c>
      <c r="R343" s="2927">
        <v>13</v>
      </c>
      <c r="S343" s="2883">
        <v>30</v>
      </c>
      <c r="T343" s="2883">
        <v>5</v>
      </c>
      <c r="U343" s="2883">
        <v>10</v>
      </c>
      <c r="V343" s="2883">
        <v>18</v>
      </c>
      <c r="W343" s="2883">
        <v>3</v>
      </c>
      <c r="X343" s="2884" t="str">
        <f>O343&amp;P343</f>
        <v>Destruir Armadura-8 TA</v>
      </c>
      <c r="Z343" s="2872"/>
    </row>
    <row r="344" spans="1:26" ht="12" customHeight="1" x14ac:dyDescent="0.2">
      <c r="A344" s="6112"/>
      <c r="N344" s="6122"/>
      <c r="O344" s="2901" t="s">
        <v>9769</v>
      </c>
      <c r="P344" s="2879" t="s">
        <v>9989</v>
      </c>
      <c r="Q344" s="2883">
        <v>12</v>
      </c>
      <c r="R344" s="2927">
        <v>15</v>
      </c>
      <c r="S344" s="2883">
        <v>40</v>
      </c>
      <c r="T344" s="2883">
        <v>6</v>
      </c>
      <c r="U344" s="2883">
        <v>12</v>
      </c>
      <c r="V344" s="2883">
        <v>21</v>
      </c>
      <c r="W344" s="2883">
        <v>3</v>
      </c>
      <c r="X344" s="2884" t="str">
        <f>O344&amp;P344</f>
        <v>Destruir ArmaduraSin Armadura</v>
      </c>
      <c r="Z344" s="2872"/>
    </row>
    <row r="345" spans="1:26" ht="12" customHeight="1" x14ac:dyDescent="0.2">
      <c r="A345" s="6112"/>
      <c r="N345" s="6122"/>
      <c r="O345" s="2901" t="s">
        <v>9990</v>
      </c>
      <c r="P345" s="2879" t="s">
        <v>7690</v>
      </c>
      <c r="Q345" s="2883"/>
      <c r="R345" s="2927"/>
      <c r="S345" s="2883"/>
      <c r="T345" s="2883"/>
      <c r="U345" s="2883"/>
      <c r="V345" s="2883"/>
      <c r="W345" s="2883"/>
      <c r="X345" s="2884" t="str">
        <f>O345&amp;P345</f>
        <v>&gt; ARMADURA</v>
      </c>
      <c r="Z345" s="2872"/>
    </row>
    <row r="346" spans="1:26" ht="12" customHeight="1" x14ac:dyDescent="0.2">
      <c r="A346" s="6112"/>
      <c r="N346" s="6122"/>
      <c r="O346" s="2901" t="s">
        <v>1823</v>
      </c>
      <c r="P346" s="2879" t="s">
        <v>6421</v>
      </c>
      <c r="Q346" s="2883">
        <v>1</v>
      </c>
      <c r="R346" s="2927">
        <v>2</v>
      </c>
      <c r="S346" s="2883">
        <v>5</v>
      </c>
      <c r="T346" s="2883">
        <v>1</v>
      </c>
      <c r="U346" s="2883">
        <v>2</v>
      </c>
      <c r="V346" s="2883">
        <v>4</v>
      </c>
      <c r="W346" s="2883">
        <v>1</v>
      </c>
      <c r="X346" s="2884" t="str">
        <f>O346&amp;P346</f>
        <v>ArmaduraTA 1</v>
      </c>
      <c r="Z346" s="2872"/>
    </row>
    <row r="347" spans="1:26" ht="12" customHeight="1" x14ac:dyDescent="0.2">
      <c r="A347" s="6112"/>
      <c r="N347" s="6122"/>
      <c r="O347" s="2901" t="s">
        <v>1823</v>
      </c>
      <c r="P347" s="2879" t="s">
        <v>4896</v>
      </c>
      <c r="Q347" s="2883">
        <v>2</v>
      </c>
      <c r="R347" s="2927">
        <v>4</v>
      </c>
      <c r="S347" s="2883">
        <v>5</v>
      </c>
      <c r="T347" s="2883">
        <v>1</v>
      </c>
      <c r="U347" s="2883">
        <v>2</v>
      </c>
      <c r="V347" s="2883">
        <v>4</v>
      </c>
      <c r="W347" s="2883">
        <v>1</v>
      </c>
      <c r="X347" s="2884" t="str">
        <f>O347&amp;P347</f>
        <v>ArmaduraTA 2</v>
      </c>
      <c r="Z347" s="2872"/>
    </row>
    <row r="348" spans="1:26" ht="12" customHeight="1" x14ac:dyDescent="0.2">
      <c r="A348" s="6112"/>
      <c r="N348" s="6122"/>
      <c r="O348" s="2901" t="s">
        <v>1823</v>
      </c>
      <c r="P348" s="2879" t="s">
        <v>8348</v>
      </c>
      <c r="Q348" s="2883">
        <v>4</v>
      </c>
      <c r="R348" s="2927">
        <v>6</v>
      </c>
      <c r="S348" s="2883">
        <v>10</v>
      </c>
      <c r="T348" s="2883">
        <v>2</v>
      </c>
      <c r="U348" s="2883">
        <v>4</v>
      </c>
      <c r="V348" s="2883">
        <v>7</v>
      </c>
      <c r="W348" s="2883">
        <v>1</v>
      </c>
      <c r="X348" s="2884" t="str">
        <f>O348&amp;P348</f>
        <v>ArmaduraTA 3</v>
      </c>
      <c r="Z348" s="2872"/>
    </row>
    <row r="349" spans="1:26" ht="12" customHeight="1" x14ac:dyDescent="0.2">
      <c r="A349" s="6112"/>
      <c r="N349" s="6122"/>
      <c r="O349" s="2901" t="s">
        <v>1823</v>
      </c>
      <c r="P349" s="2879" t="s">
        <v>4897</v>
      </c>
      <c r="Q349" s="2883">
        <v>6</v>
      </c>
      <c r="R349" s="2927">
        <v>9</v>
      </c>
      <c r="S349" s="2883">
        <v>15</v>
      </c>
      <c r="T349" s="2883">
        <v>2</v>
      </c>
      <c r="U349" s="2883">
        <v>4</v>
      </c>
      <c r="V349" s="2883">
        <v>7</v>
      </c>
      <c r="W349" s="2883">
        <v>1</v>
      </c>
      <c r="X349" s="2884" t="str">
        <f>O349&amp;P349</f>
        <v>ArmaduraTA 4</v>
      </c>
      <c r="Z349" s="2872"/>
    </row>
    <row r="350" spans="1:26" ht="12" customHeight="1" x14ac:dyDescent="0.2">
      <c r="A350" s="6112"/>
      <c r="N350" s="6122"/>
      <c r="O350" s="2901" t="s">
        <v>1823</v>
      </c>
      <c r="P350" s="2879" t="s">
        <v>8349</v>
      </c>
      <c r="Q350" s="2883">
        <v>8</v>
      </c>
      <c r="R350" s="2927">
        <v>11</v>
      </c>
      <c r="S350" s="2883">
        <v>20</v>
      </c>
      <c r="T350" s="2883">
        <v>3</v>
      </c>
      <c r="U350" s="2883">
        <v>6</v>
      </c>
      <c r="V350" s="2883">
        <v>11</v>
      </c>
      <c r="W350" s="2883">
        <v>2</v>
      </c>
      <c r="X350" s="2884" t="str">
        <f>O350&amp;P350</f>
        <v>ArmaduraTA 5</v>
      </c>
      <c r="Z350" s="2872"/>
    </row>
    <row r="351" spans="1:26" ht="12" customHeight="1" x14ac:dyDescent="0.2">
      <c r="A351" s="6112"/>
      <c r="N351" s="6122"/>
      <c r="O351" s="2901" t="s">
        <v>1823</v>
      </c>
      <c r="P351" s="2879" t="s">
        <v>4898</v>
      </c>
      <c r="Q351" s="2883">
        <v>10</v>
      </c>
      <c r="R351" s="2927">
        <v>13</v>
      </c>
      <c r="S351" s="2883">
        <v>25</v>
      </c>
      <c r="T351" s="2883">
        <v>3</v>
      </c>
      <c r="U351" s="2883">
        <v>6</v>
      </c>
      <c r="V351" s="2883">
        <v>11</v>
      </c>
      <c r="W351" s="2883">
        <v>2</v>
      </c>
      <c r="X351" s="2884" t="str">
        <f>O351&amp;P351</f>
        <v>ArmaduraTA 6</v>
      </c>
      <c r="Z351" s="2872"/>
    </row>
    <row r="352" spans="1:26" ht="12" customHeight="1" x14ac:dyDescent="0.2">
      <c r="A352" s="6112"/>
      <c r="N352" s="6122"/>
      <c r="O352" s="2901" t="s">
        <v>1823</v>
      </c>
      <c r="P352" s="2879" t="s">
        <v>8350</v>
      </c>
      <c r="Q352" s="2883">
        <v>12</v>
      </c>
      <c r="R352" s="2927">
        <v>15</v>
      </c>
      <c r="S352" s="2883">
        <v>30</v>
      </c>
      <c r="T352" s="2883">
        <v>4</v>
      </c>
      <c r="U352" s="2883">
        <v>8</v>
      </c>
      <c r="V352" s="2883">
        <v>14</v>
      </c>
      <c r="W352" s="2883">
        <v>3</v>
      </c>
      <c r="X352" s="2884" t="str">
        <f>O352&amp;P352</f>
        <v>ArmaduraTA 7</v>
      </c>
      <c r="Z352" s="2872"/>
    </row>
    <row r="353" spans="1:26" ht="12" customHeight="1" x14ac:dyDescent="0.2">
      <c r="A353" s="6112"/>
      <c r="N353" s="6122"/>
      <c r="O353" s="2901" t="s">
        <v>1823</v>
      </c>
      <c r="P353" s="2879" t="s">
        <v>4899</v>
      </c>
      <c r="Q353" s="2883">
        <v>14</v>
      </c>
      <c r="R353" s="2927">
        <v>18</v>
      </c>
      <c r="S353" s="2883">
        <v>40</v>
      </c>
      <c r="T353" s="2883">
        <v>5</v>
      </c>
      <c r="U353" s="2883">
        <v>10</v>
      </c>
      <c r="V353" s="2883">
        <v>18</v>
      </c>
      <c r="W353" s="2883">
        <v>3</v>
      </c>
      <c r="X353" s="2884" t="str">
        <f>O353&amp;P353</f>
        <v>ArmaduraTA 8</v>
      </c>
      <c r="Z353" s="2872"/>
    </row>
    <row r="354" spans="1:26" ht="12" customHeight="1" x14ac:dyDescent="0.2">
      <c r="A354" s="6112"/>
      <c r="N354" s="6122"/>
      <c r="O354" s="2901" t="s">
        <v>1823</v>
      </c>
      <c r="P354" s="2879" t="s">
        <v>3715</v>
      </c>
      <c r="Q354" s="2883">
        <v>4</v>
      </c>
      <c r="R354" s="2927">
        <v>4</v>
      </c>
      <c r="S354" s="2883">
        <v>15</v>
      </c>
      <c r="T354" s="2883">
        <v>2</v>
      </c>
      <c r="U354" s="2883">
        <v>4</v>
      </c>
      <c r="V354" s="2883">
        <v>7</v>
      </c>
      <c r="W354" s="2883"/>
      <c r="X354" s="2884" t="str">
        <f>O354&amp;P354</f>
        <v>ArmaduraInmodificable</v>
      </c>
      <c r="Z354" s="2872"/>
    </row>
    <row r="355" spans="1:26" ht="12" customHeight="1" x14ac:dyDescent="0.2">
      <c r="A355" s="6112"/>
      <c r="N355" s="6122"/>
      <c r="O355" s="2901" t="s">
        <v>1823</v>
      </c>
      <c r="P355" s="2879" t="s">
        <v>9991</v>
      </c>
      <c r="Q355" s="2883">
        <v>-1</v>
      </c>
      <c r="R355" s="2927">
        <v>-1</v>
      </c>
      <c r="S355" s="2883">
        <v>-5</v>
      </c>
      <c r="T355" s="2883"/>
      <c r="U355" s="2883"/>
      <c r="V355" s="2883"/>
      <c r="W355" s="2883"/>
      <c r="X355" s="2884" t="str">
        <f>O355&amp;P355</f>
        <v>ArmaduraFísica</v>
      </c>
      <c r="Z355" s="2872"/>
    </row>
    <row r="356" spans="1:26" ht="12" customHeight="1" x14ac:dyDescent="0.2">
      <c r="A356" s="6112"/>
      <c r="N356" s="6122"/>
      <c r="O356" s="2901" t="s">
        <v>1823</v>
      </c>
      <c r="P356" s="2879" t="s">
        <v>3392</v>
      </c>
      <c r="Q356" s="2883">
        <v>-1</v>
      </c>
      <c r="R356" s="2927">
        <v>-1</v>
      </c>
      <c r="S356" s="2883">
        <v>-10</v>
      </c>
      <c r="T356" s="2883"/>
      <c r="U356" s="2883"/>
      <c r="V356" s="2883"/>
      <c r="W356" s="2883"/>
      <c r="X356" s="2884" t="str">
        <f>O356&amp;P356</f>
        <v>ArmaduraLentitud</v>
      </c>
      <c r="Z356" s="2872"/>
    </row>
    <row r="357" spans="1:26" ht="12" customHeight="1" x14ac:dyDescent="0.2">
      <c r="A357" s="6112"/>
      <c r="N357" s="6122"/>
      <c r="O357" s="2901" t="s">
        <v>3317</v>
      </c>
      <c r="P357" s="2879"/>
      <c r="Q357" s="2883"/>
      <c r="R357" s="2927"/>
      <c r="S357" s="2883"/>
      <c r="T357" s="2883"/>
      <c r="U357" s="2883"/>
      <c r="V357" s="2883"/>
      <c r="W357" s="2883"/>
      <c r="X357" s="2884" t="str">
        <f>O357&amp;P357</f>
        <v>&gt;&gt;EFECTOS DE INCREMENTO</v>
      </c>
      <c r="Z357" s="2872"/>
    </row>
    <row r="358" spans="1:26" ht="12" customHeight="1" x14ac:dyDescent="0.2">
      <c r="A358" s="6112"/>
      <c r="N358" s="6122"/>
      <c r="O358" s="2901" t="s">
        <v>9992</v>
      </c>
      <c r="P358" s="2879" t="s">
        <v>7690</v>
      </c>
      <c r="Q358" s="2883"/>
      <c r="R358" s="2927"/>
      <c r="S358" s="2883"/>
      <c r="T358" s="2883"/>
      <c r="U358" s="2883"/>
      <c r="V358" s="2883"/>
      <c r="W358" s="2883"/>
      <c r="X358" s="2884" t="str">
        <f>O358&amp;P358</f>
        <v>&gt; INCREMENTO DE MOVIMIENTO</v>
      </c>
      <c r="Z358" s="2872"/>
    </row>
    <row r="359" spans="1:26" ht="12" customHeight="1" x14ac:dyDescent="0.2">
      <c r="A359" s="6112"/>
      <c r="N359" s="6122"/>
      <c r="O359" s="2901" t="s">
        <v>9993</v>
      </c>
      <c r="P359" s="2879" t="s">
        <v>3286</v>
      </c>
      <c r="Q359" s="2883">
        <v>1</v>
      </c>
      <c r="R359" s="2927">
        <v>2</v>
      </c>
      <c r="S359" s="2883">
        <v>5</v>
      </c>
      <c r="T359" s="2883">
        <v>1</v>
      </c>
      <c r="U359" s="2883">
        <v>2</v>
      </c>
      <c r="V359" s="2883">
        <v>4</v>
      </c>
      <c r="W359" s="2883">
        <v>1</v>
      </c>
      <c r="X359" s="2884" t="str">
        <f>O359&amp;P359</f>
        <v>Incremento De Movimiento+1</v>
      </c>
      <c r="Z359" s="2872"/>
    </row>
    <row r="360" spans="1:26" ht="12" customHeight="1" x14ac:dyDescent="0.2">
      <c r="A360" s="6112"/>
      <c r="N360" s="6122"/>
      <c r="O360" s="2901" t="s">
        <v>9993</v>
      </c>
      <c r="P360" s="2879" t="s">
        <v>3230</v>
      </c>
      <c r="Q360" s="2883">
        <v>2</v>
      </c>
      <c r="R360" s="2927">
        <v>4</v>
      </c>
      <c r="S360" s="2883">
        <v>10</v>
      </c>
      <c r="T360" s="2883">
        <v>2</v>
      </c>
      <c r="U360" s="2883">
        <v>4</v>
      </c>
      <c r="V360" s="2883">
        <v>7</v>
      </c>
      <c r="W360" s="2883">
        <v>1</v>
      </c>
      <c r="X360" s="2884" t="str">
        <f>O360&amp;P360</f>
        <v>Incremento De Movimiento+2</v>
      </c>
      <c r="Z360" s="2872"/>
    </row>
    <row r="361" spans="1:26" ht="12" customHeight="1" x14ac:dyDescent="0.2">
      <c r="A361" s="6112"/>
      <c r="N361" s="6122"/>
      <c r="O361" s="2901" t="s">
        <v>9993</v>
      </c>
      <c r="P361" s="2879" t="s">
        <v>3231</v>
      </c>
      <c r="Q361" s="2883">
        <v>4</v>
      </c>
      <c r="R361" s="2927">
        <v>6</v>
      </c>
      <c r="S361" s="2883">
        <v>15</v>
      </c>
      <c r="T361" s="2883">
        <v>3</v>
      </c>
      <c r="U361" s="2883">
        <v>6</v>
      </c>
      <c r="V361" s="2883">
        <v>11</v>
      </c>
      <c r="W361" s="2883">
        <v>1</v>
      </c>
      <c r="X361" s="2884" t="str">
        <f>O361&amp;P361</f>
        <v>Incremento De Movimiento+3</v>
      </c>
      <c r="Z361" s="2872"/>
    </row>
    <row r="362" spans="1:26" ht="12" customHeight="1" x14ac:dyDescent="0.2">
      <c r="A362" s="6112"/>
      <c r="N362" s="6122"/>
      <c r="O362" s="2901" t="s">
        <v>9993</v>
      </c>
      <c r="P362" s="2879" t="s">
        <v>3712</v>
      </c>
      <c r="Q362" s="2883">
        <v>6</v>
      </c>
      <c r="R362" s="2927">
        <v>9</v>
      </c>
      <c r="S362" s="2883">
        <v>20</v>
      </c>
      <c r="T362" s="2883">
        <v>4</v>
      </c>
      <c r="U362" s="2883">
        <v>8</v>
      </c>
      <c r="V362" s="2883">
        <v>14</v>
      </c>
      <c r="W362" s="2883">
        <v>2</v>
      </c>
      <c r="X362" s="2884" t="str">
        <f>O362&amp;P362</f>
        <v>Incremento De Movimiento+4</v>
      </c>
      <c r="Z362" s="2872"/>
    </row>
    <row r="363" spans="1:26" ht="12" customHeight="1" x14ac:dyDescent="0.2">
      <c r="A363" s="6112"/>
      <c r="N363" s="6122"/>
      <c r="O363" s="2901" t="s">
        <v>9993</v>
      </c>
      <c r="P363" s="2879" t="s">
        <v>7643</v>
      </c>
      <c r="Q363" s="2883">
        <v>8</v>
      </c>
      <c r="R363" s="2927">
        <v>11</v>
      </c>
      <c r="S363" s="2883">
        <v>25</v>
      </c>
      <c r="T363" s="2883">
        <v>5</v>
      </c>
      <c r="U363" s="2883">
        <v>10</v>
      </c>
      <c r="V363" s="2883">
        <v>18</v>
      </c>
      <c r="W363" s="2883">
        <v>3</v>
      </c>
      <c r="X363" s="2884" t="str">
        <f>O363&amp;P363</f>
        <v>Incremento De Movimiento+5</v>
      </c>
      <c r="Z363" s="2872"/>
    </row>
    <row r="364" spans="1:26" ht="12" customHeight="1" x14ac:dyDescent="0.2">
      <c r="A364" s="6112"/>
      <c r="N364" s="6122"/>
      <c r="O364" s="2901" t="s">
        <v>9994</v>
      </c>
      <c r="P364" s="2879" t="s">
        <v>7690</v>
      </c>
      <c r="Q364" s="2883"/>
      <c r="R364" s="2927"/>
      <c r="S364" s="2883"/>
      <c r="T364" s="2883"/>
      <c r="U364" s="2883"/>
      <c r="V364" s="2883"/>
      <c r="W364" s="2883"/>
      <c r="X364" s="2884" t="str">
        <f>O364&amp;P364</f>
        <v>&gt; INCREMENTO DE HABILIDAD</v>
      </c>
      <c r="Z364" s="2872"/>
    </row>
    <row r="365" spans="1:26" ht="12" customHeight="1" x14ac:dyDescent="0.2">
      <c r="A365" s="6112"/>
      <c r="N365" s="6122"/>
      <c r="O365" s="2901" t="s">
        <v>9995</v>
      </c>
      <c r="P365" s="2879" t="s">
        <v>8439</v>
      </c>
      <c r="Q365" s="2883">
        <v>2</v>
      </c>
      <c r="R365" s="2927">
        <v>4</v>
      </c>
      <c r="S365" s="2883">
        <v>5</v>
      </c>
      <c r="T365" s="2883">
        <v>1</v>
      </c>
      <c r="U365" s="2883">
        <v>2</v>
      </c>
      <c r="V365" s="2883">
        <v>4</v>
      </c>
      <c r="W365" s="2883">
        <v>1</v>
      </c>
      <c r="X365" s="2884" t="str">
        <f>O365&amp;P365</f>
        <v>Incremento De Habilidad+25</v>
      </c>
      <c r="Z365" s="2872"/>
    </row>
    <row r="366" spans="1:26" ht="12" customHeight="1" x14ac:dyDescent="0.2">
      <c r="A366" s="6112"/>
      <c r="N366" s="6122"/>
      <c r="O366" s="2901" t="s">
        <v>9995</v>
      </c>
      <c r="P366" s="2879" t="s">
        <v>8288</v>
      </c>
      <c r="Q366" s="2883">
        <v>4</v>
      </c>
      <c r="R366" s="2927">
        <v>6</v>
      </c>
      <c r="S366" s="2883">
        <v>5</v>
      </c>
      <c r="T366" s="2883">
        <v>2</v>
      </c>
      <c r="U366" s="2883">
        <v>4</v>
      </c>
      <c r="V366" s="2883">
        <v>7</v>
      </c>
      <c r="W366" s="2883">
        <v>1</v>
      </c>
      <c r="X366" s="2884" t="str">
        <f>O366&amp;P366</f>
        <v>Incremento De Habilidad+50</v>
      </c>
      <c r="Z366" s="2872"/>
    </row>
    <row r="367" spans="1:26" ht="12" customHeight="1" x14ac:dyDescent="0.2">
      <c r="A367" s="6112"/>
      <c r="N367" s="6122"/>
      <c r="O367" s="2901" t="s">
        <v>9995</v>
      </c>
      <c r="P367" s="2879" t="s">
        <v>9694</v>
      </c>
      <c r="Q367" s="2883">
        <v>6</v>
      </c>
      <c r="R367" s="2927">
        <v>9</v>
      </c>
      <c r="S367" s="2883">
        <v>10</v>
      </c>
      <c r="T367" s="2883">
        <v>3</v>
      </c>
      <c r="U367" s="2883">
        <v>6</v>
      </c>
      <c r="V367" s="2883">
        <v>11</v>
      </c>
      <c r="W367" s="2883">
        <v>2</v>
      </c>
      <c r="X367" s="2884" t="str">
        <f>O367&amp;P367</f>
        <v>Incremento De Habilidad+75</v>
      </c>
      <c r="Z367" s="2872"/>
    </row>
    <row r="368" spans="1:26" ht="12" customHeight="1" x14ac:dyDescent="0.2">
      <c r="A368" s="6112"/>
      <c r="N368" s="6122"/>
      <c r="O368" s="2901" t="s">
        <v>9995</v>
      </c>
      <c r="P368" s="2879" t="s">
        <v>9701</v>
      </c>
      <c r="Q368" s="2883">
        <v>9</v>
      </c>
      <c r="R368" s="2927">
        <v>12</v>
      </c>
      <c r="S368" s="2883">
        <v>15</v>
      </c>
      <c r="T368" s="2883">
        <v>4</v>
      </c>
      <c r="U368" s="2883">
        <v>8</v>
      </c>
      <c r="V368" s="2883">
        <v>14</v>
      </c>
      <c r="W368" s="2883">
        <v>2</v>
      </c>
      <c r="X368" s="2884" t="str">
        <f>O368&amp;P368</f>
        <v>Incremento De Habilidad+100</v>
      </c>
      <c r="Z368" s="2872"/>
    </row>
    <row r="369" spans="1:26" ht="12" customHeight="1" x14ac:dyDescent="0.2">
      <c r="A369" s="6112"/>
      <c r="N369" s="6122"/>
      <c r="O369" s="2901" t="s">
        <v>9995</v>
      </c>
      <c r="P369" s="2879" t="s">
        <v>9702</v>
      </c>
      <c r="Q369" s="2883">
        <v>12</v>
      </c>
      <c r="R369" s="2927">
        <v>15</v>
      </c>
      <c r="S369" s="2883">
        <v>20</v>
      </c>
      <c r="T369" s="2883">
        <v>5</v>
      </c>
      <c r="U369" s="2883">
        <v>10</v>
      </c>
      <c r="V369" s="2883">
        <v>18</v>
      </c>
      <c r="W369" s="2883">
        <v>3</v>
      </c>
      <c r="X369" s="2884" t="str">
        <f>O369&amp;P369</f>
        <v>Incremento De Habilidad+125</v>
      </c>
      <c r="Z369" s="2872"/>
    </row>
    <row r="370" spans="1:26" ht="12" customHeight="1" x14ac:dyDescent="0.2">
      <c r="A370" s="6112"/>
      <c r="N370" s="6122"/>
      <c r="O370" s="2901" t="s">
        <v>9995</v>
      </c>
      <c r="P370" s="2879" t="s">
        <v>9704</v>
      </c>
      <c r="Q370" s="2883">
        <v>15</v>
      </c>
      <c r="R370" s="2927">
        <v>19</v>
      </c>
      <c r="S370" s="2883">
        <v>25</v>
      </c>
      <c r="T370" s="2883">
        <v>6</v>
      </c>
      <c r="U370" s="2883">
        <v>12</v>
      </c>
      <c r="V370" s="2883">
        <v>21</v>
      </c>
      <c r="W370" s="2883">
        <v>3</v>
      </c>
      <c r="X370" s="2884" t="str">
        <f>O370&amp;P370</f>
        <v>Incremento De Habilidad+150</v>
      </c>
      <c r="Z370" s="2872"/>
    </row>
    <row r="371" spans="1:26" ht="12" customHeight="1" x14ac:dyDescent="0.2">
      <c r="A371" s="6112"/>
      <c r="N371" s="6122"/>
      <c r="O371" s="2901" t="s">
        <v>9996</v>
      </c>
      <c r="P371" s="2879" t="s">
        <v>7690</v>
      </c>
      <c r="Q371" s="2883"/>
      <c r="R371" s="2927"/>
      <c r="S371" s="2883"/>
      <c r="T371" s="2883"/>
      <c r="U371" s="2883"/>
      <c r="V371" s="2883"/>
      <c r="W371" s="2883"/>
      <c r="X371" s="2884" t="str">
        <f>O371&amp;P371</f>
        <v>&gt; CAPACIDAD INCREMENTADA AGI</v>
      </c>
      <c r="Z371" s="2872"/>
    </row>
    <row r="372" spans="1:26" ht="12" customHeight="1" x14ac:dyDescent="0.2">
      <c r="A372" s="6112"/>
      <c r="C372" s="2892"/>
      <c r="D372" s="2892"/>
      <c r="N372" s="6122"/>
      <c r="O372" s="2901" t="s">
        <v>9997</v>
      </c>
      <c r="P372" s="2879" t="s">
        <v>9998</v>
      </c>
      <c r="Q372" s="2883">
        <v>1</v>
      </c>
      <c r="R372" s="2927">
        <v>2</v>
      </c>
      <c r="S372" s="2883">
        <v>5</v>
      </c>
      <c r="T372" s="2883">
        <v>1</v>
      </c>
      <c r="U372" s="2883">
        <v>2</v>
      </c>
      <c r="V372" s="2883">
        <v>4</v>
      </c>
      <c r="W372" s="2883">
        <v>1</v>
      </c>
      <c r="X372" s="2884" t="str">
        <f>O372&amp;P372</f>
        <v>Capacidad Incrementada Agi+1 a AGI</v>
      </c>
      <c r="Z372" s="2872"/>
    </row>
    <row r="373" spans="1:26" ht="12" customHeight="1" x14ac:dyDescent="0.2">
      <c r="A373" s="6112"/>
      <c r="N373" s="6122"/>
      <c r="O373" s="2901" t="s">
        <v>9997</v>
      </c>
      <c r="P373" s="2879" t="s">
        <v>9999</v>
      </c>
      <c r="Q373" s="2883">
        <v>2</v>
      </c>
      <c r="R373" s="2927">
        <v>4</v>
      </c>
      <c r="S373" s="2883">
        <v>5</v>
      </c>
      <c r="T373" s="2883">
        <v>2</v>
      </c>
      <c r="U373" s="2883">
        <v>4</v>
      </c>
      <c r="V373" s="2883">
        <v>7</v>
      </c>
      <c r="W373" s="2883">
        <v>1</v>
      </c>
      <c r="X373" s="2884" t="str">
        <f>O373&amp;P373</f>
        <v>Capacidad Incrementada Agi+2 a AGI</v>
      </c>
      <c r="Z373" s="2872"/>
    </row>
    <row r="374" spans="1:26" ht="12" customHeight="1" x14ac:dyDescent="0.2">
      <c r="A374" s="6112"/>
      <c r="C374" s="2892"/>
      <c r="D374" s="2892"/>
      <c r="N374" s="6122"/>
      <c r="O374" s="2901" t="s">
        <v>9997</v>
      </c>
      <c r="P374" s="2879" t="s">
        <v>10000</v>
      </c>
      <c r="Q374" s="2883">
        <v>4</v>
      </c>
      <c r="R374" s="2927">
        <v>6</v>
      </c>
      <c r="S374" s="2883">
        <v>5</v>
      </c>
      <c r="T374" s="2883">
        <v>3</v>
      </c>
      <c r="U374" s="2883">
        <v>6</v>
      </c>
      <c r="V374" s="2883">
        <v>11</v>
      </c>
      <c r="W374" s="2883">
        <v>1</v>
      </c>
      <c r="X374" s="2884" t="str">
        <f>O374&amp;P374</f>
        <v>Capacidad Incrementada Agi+3 a AGI</v>
      </c>
      <c r="Z374" s="2872"/>
    </row>
    <row r="375" spans="1:26" ht="12" customHeight="1" x14ac:dyDescent="0.2">
      <c r="A375" s="6112"/>
      <c r="N375" s="6122"/>
      <c r="O375" s="2901" t="s">
        <v>9997</v>
      </c>
      <c r="P375" s="2879" t="s">
        <v>10001</v>
      </c>
      <c r="Q375" s="2883">
        <v>6</v>
      </c>
      <c r="R375" s="2927">
        <v>9</v>
      </c>
      <c r="S375" s="2883">
        <v>10</v>
      </c>
      <c r="T375" s="2883">
        <v>4</v>
      </c>
      <c r="U375" s="2883">
        <v>8</v>
      </c>
      <c r="V375" s="2883">
        <v>14</v>
      </c>
      <c r="W375" s="2883">
        <v>1</v>
      </c>
      <c r="X375" s="2884" t="str">
        <f>O375&amp;P375</f>
        <v>Capacidad Incrementada Agi+4 a AGI</v>
      </c>
      <c r="Z375" s="2872"/>
    </row>
    <row r="376" spans="1:26" ht="12" customHeight="1" x14ac:dyDescent="0.2">
      <c r="A376" s="6112"/>
      <c r="C376" s="2892"/>
      <c r="D376" s="2892"/>
      <c r="N376" s="6122"/>
      <c r="O376" s="2901" t="s">
        <v>9997</v>
      </c>
      <c r="P376" s="2879" t="s">
        <v>10002</v>
      </c>
      <c r="Q376" s="2883">
        <v>8</v>
      </c>
      <c r="R376" s="2927">
        <v>11</v>
      </c>
      <c r="S376" s="2883">
        <v>15</v>
      </c>
      <c r="T376" s="2883">
        <v>5</v>
      </c>
      <c r="U376" s="2883">
        <v>10</v>
      </c>
      <c r="V376" s="2883">
        <v>18</v>
      </c>
      <c r="W376" s="2883">
        <v>2</v>
      </c>
      <c r="X376" s="2884" t="str">
        <f>O376&amp;P376</f>
        <v>Capacidad Incrementada Agi+5 a AGI</v>
      </c>
      <c r="Z376" s="2872"/>
    </row>
    <row r="377" spans="1:26" ht="12" customHeight="1" x14ac:dyDescent="0.2">
      <c r="A377" s="6112"/>
      <c r="N377" s="6122"/>
      <c r="O377" s="2901" t="s">
        <v>9997</v>
      </c>
      <c r="P377" s="2879" t="s">
        <v>10003</v>
      </c>
      <c r="Q377" s="2883">
        <v>10</v>
      </c>
      <c r="R377" s="2927">
        <v>13</v>
      </c>
      <c r="S377" s="2883">
        <v>20</v>
      </c>
      <c r="T377" s="2883">
        <v>6</v>
      </c>
      <c r="U377" s="2883">
        <v>12</v>
      </c>
      <c r="V377" s="2883">
        <v>21</v>
      </c>
      <c r="W377" s="2883">
        <v>2</v>
      </c>
      <c r="X377" s="2884" t="str">
        <f>O377&amp;P377</f>
        <v>Capacidad Incrementada Agi+6 a AGI</v>
      </c>
      <c r="Z377" s="2872"/>
    </row>
    <row r="378" spans="1:26" ht="12" customHeight="1" x14ac:dyDescent="0.2">
      <c r="A378" s="6112"/>
      <c r="N378" s="6122"/>
      <c r="O378" s="2901" t="s">
        <v>9997</v>
      </c>
      <c r="P378" s="2879" t="s">
        <v>10004</v>
      </c>
      <c r="Q378" s="2883">
        <v>12</v>
      </c>
      <c r="R378" s="2927">
        <v>15</v>
      </c>
      <c r="S378" s="2883">
        <v>25</v>
      </c>
      <c r="T378" s="2883">
        <v>7</v>
      </c>
      <c r="U378" s="2883">
        <v>14</v>
      </c>
      <c r="V378" s="2883">
        <v>25</v>
      </c>
      <c r="W378" s="2883">
        <v>3</v>
      </c>
      <c r="X378" s="2884" t="str">
        <f>O378&amp;P378</f>
        <v>Capacidad Incrementada Agi+7 a AGI</v>
      </c>
      <c r="Z378" s="2872"/>
    </row>
    <row r="379" spans="1:26" ht="12" customHeight="1" x14ac:dyDescent="0.2">
      <c r="A379" s="6112"/>
      <c r="N379" s="6122"/>
      <c r="O379" s="2901" t="s">
        <v>9997</v>
      </c>
      <c r="P379" s="2879" t="s">
        <v>10005</v>
      </c>
      <c r="Q379" s="2883">
        <v>14</v>
      </c>
      <c r="R379" s="2927">
        <v>18</v>
      </c>
      <c r="S379" s="2883">
        <v>30</v>
      </c>
      <c r="T379" s="2883">
        <v>8</v>
      </c>
      <c r="U379" s="2883">
        <v>16</v>
      </c>
      <c r="V379" s="2883">
        <v>28</v>
      </c>
      <c r="W379" s="2883">
        <v>3</v>
      </c>
      <c r="X379" s="2884" t="str">
        <f>O379&amp;P379</f>
        <v>Capacidad Incrementada Agi+8 a AGI</v>
      </c>
      <c r="Z379" s="2872"/>
    </row>
    <row r="380" spans="1:26" ht="12" customHeight="1" x14ac:dyDescent="0.2">
      <c r="A380" s="6112"/>
      <c r="N380" s="6122"/>
      <c r="O380" s="2901" t="s">
        <v>10006</v>
      </c>
      <c r="P380" s="2879" t="s">
        <v>7690</v>
      </c>
      <c r="Q380" s="2883"/>
      <c r="R380" s="2927"/>
      <c r="S380" s="2883"/>
      <c r="T380" s="2883"/>
      <c r="U380" s="2883"/>
      <c r="V380" s="2883"/>
      <c r="W380" s="2883"/>
      <c r="X380" s="2884" t="str">
        <f>O380&amp;P380</f>
        <v>&gt; CAPACIDAD INCREMENTADA FUE</v>
      </c>
      <c r="Z380" s="2872"/>
    </row>
    <row r="381" spans="1:26" ht="12" customHeight="1" x14ac:dyDescent="0.2">
      <c r="A381" s="6112"/>
      <c r="N381" s="6122"/>
      <c r="O381" s="2901" t="s">
        <v>10007</v>
      </c>
      <c r="P381" s="2879" t="s">
        <v>10008</v>
      </c>
      <c r="Q381" s="2883">
        <v>1</v>
      </c>
      <c r="R381" s="2927">
        <v>2</v>
      </c>
      <c r="S381" s="2883">
        <v>5</v>
      </c>
      <c r="T381" s="2883">
        <v>1</v>
      </c>
      <c r="U381" s="2883">
        <v>2</v>
      </c>
      <c r="V381" s="2883">
        <v>4</v>
      </c>
      <c r="W381" s="2883">
        <v>1</v>
      </c>
      <c r="X381" s="2884" t="str">
        <f>O381&amp;P381</f>
        <v>Capacidad Incrementada Fue+1 a FUE</v>
      </c>
      <c r="Z381" s="2872"/>
    </row>
    <row r="382" spans="1:26" ht="12" customHeight="1" x14ac:dyDescent="0.2">
      <c r="A382" s="6112"/>
      <c r="N382" s="6122"/>
      <c r="O382" s="2901" t="s">
        <v>10007</v>
      </c>
      <c r="P382" s="2879" t="s">
        <v>10009</v>
      </c>
      <c r="Q382" s="2883">
        <v>2</v>
      </c>
      <c r="R382" s="2927">
        <v>4</v>
      </c>
      <c r="S382" s="2883">
        <v>5</v>
      </c>
      <c r="T382" s="2883">
        <v>2</v>
      </c>
      <c r="U382" s="2883">
        <v>4</v>
      </c>
      <c r="V382" s="2883">
        <v>7</v>
      </c>
      <c r="W382" s="2883">
        <v>1</v>
      </c>
      <c r="X382" s="2884" t="str">
        <f>O382&amp;P382</f>
        <v>Capacidad Incrementada Fue+2 a FUE</v>
      </c>
      <c r="Z382" s="2872"/>
    </row>
    <row r="383" spans="1:26" ht="12" customHeight="1" x14ac:dyDescent="0.2">
      <c r="A383" s="6112"/>
      <c r="N383" s="6122"/>
      <c r="O383" s="2901" t="s">
        <v>10007</v>
      </c>
      <c r="P383" s="2879" t="s">
        <v>10010</v>
      </c>
      <c r="Q383" s="2883">
        <v>4</v>
      </c>
      <c r="R383" s="2927">
        <v>6</v>
      </c>
      <c r="S383" s="2883">
        <v>5</v>
      </c>
      <c r="T383" s="2883">
        <v>3</v>
      </c>
      <c r="U383" s="2883">
        <v>6</v>
      </c>
      <c r="V383" s="2883">
        <v>11</v>
      </c>
      <c r="W383" s="2883">
        <v>1</v>
      </c>
      <c r="X383" s="2884" t="str">
        <f>O383&amp;P383</f>
        <v>Capacidad Incrementada Fue+3 a FUE</v>
      </c>
      <c r="Z383" s="2872"/>
    </row>
    <row r="384" spans="1:26" ht="12" customHeight="1" x14ac:dyDescent="0.2">
      <c r="A384" s="6112"/>
      <c r="N384" s="6122"/>
      <c r="O384" s="2901" t="s">
        <v>10007</v>
      </c>
      <c r="P384" s="2879" t="s">
        <v>10011</v>
      </c>
      <c r="Q384" s="2883">
        <v>6</v>
      </c>
      <c r="R384" s="2927">
        <v>9</v>
      </c>
      <c r="S384" s="2883">
        <v>10</v>
      </c>
      <c r="T384" s="2883">
        <v>4</v>
      </c>
      <c r="U384" s="2883">
        <v>8</v>
      </c>
      <c r="V384" s="2883">
        <v>14</v>
      </c>
      <c r="W384" s="2883">
        <v>1</v>
      </c>
      <c r="X384" s="2884" t="str">
        <f>O384&amp;P384</f>
        <v>Capacidad Incrementada Fue+4 a FUE</v>
      </c>
      <c r="Z384" s="2872"/>
    </row>
    <row r="385" spans="1:26" ht="12" customHeight="1" x14ac:dyDescent="0.2">
      <c r="A385" s="6112"/>
      <c r="N385" s="6122"/>
      <c r="O385" s="2901" t="s">
        <v>10007</v>
      </c>
      <c r="P385" s="2879" t="s">
        <v>10012</v>
      </c>
      <c r="Q385" s="2883">
        <v>8</v>
      </c>
      <c r="R385" s="2927">
        <v>11</v>
      </c>
      <c r="S385" s="2883">
        <v>15</v>
      </c>
      <c r="T385" s="2883">
        <v>5</v>
      </c>
      <c r="U385" s="2883">
        <v>10</v>
      </c>
      <c r="V385" s="2883">
        <v>18</v>
      </c>
      <c r="W385" s="2883">
        <v>2</v>
      </c>
      <c r="X385" s="2884" t="str">
        <f>O385&amp;P385</f>
        <v>Capacidad Incrementada Fue+5 a FUE</v>
      </c>
      <c r="Z385" s="2872"/>
    </row>
    <row r="386" spans="1:26" ht="12" customHeight="1" x14ac:dyDescent="0.2">
      <c r="A386" s="6112"/>
      <c r="N386" s="6122"/>
      <c r="O386" s="2901" t="s">
        <v>10007</v>
      </c>
      <c r="P386" s="2879" t="s">
        <v>10013</v>
      </c>
      <c r="Q386" s="2883">
        <v>10</v>
      </c>
      <c r="R386" s="2927">
        <v>13</v>
      </c>
      <c r="S386" s="2883">
        <v>20</v>
      </c>
      <c r="T386" s="2883">
        <v>6</v>
      </c>
      <c r="U386" s="2883">
        <v>12</v>
      </c>
      <c r="V386" s="2883">
        <v>21</v>
      </c>
      <c r="W386" s="2883">
        <v>2</v>
      </c>
      <c r="X386" s="2884" t="str">
        <f>O386&amp;P386</f>
        <v>Capacidad Incrementada Fue+6 a FUE</v>
      </c>
      <c r="Z386" s="2872"/>
    </row>
    <row r="387" spans="1:26" ht="12" customHeight="1" x14ac:dyDescent="0.2">
      <c r="A387" s="6112"/>
      <c r="N387" s="6122"/>
      <c r="O387" s="2901" t="s">
        <v>10007</v>
      </c>
      <c r="P387" s="2879" t="s">
        <v>10014</v>
      </c>
      <c r="Q387" s="2883">
        <v>12</v>
      </c>
      <c r="R387" s="2927">
        <v>15</v>
      </c>
      <c r="S387" s="2883">
        <v>25</v>
      </c>
      <c r="T387" s="2883">
        <v>7</v>
      </c>
      <c r="U387" s="2883">
        <v>14</v>
      </c>
      <c r="V387" s="2883">
        <v>25</v>
      </c>
      <c r="W387" s="2883">
        <v>3</v>
      </c>
      <c r="X387" s="2884" t="str">
        <f>O387&amp;P387</f>
        <v>Capacidad Incrementada Fue+7 a FUE</v>
      </c>
      <c r="Z387" s="2872"/>
    </row>
    <row r="388" spans="1:26" ht="12" customHeight="1" x14ac:dyDescent="0.2">
      <c r="A388" s="6112"/>
      <c r="N388" s="6122"/>
      <c r="O388" s="2901" t="s">
        <v>10007</v>
      </c>
      <c r="P388" s="2879" t="s">
        <v>10015</v>
      </c>
      <c r="Q388" s="2883">
        <v>14</v>
      </c>
      <c r="R388" s="2927">
        <v>18</v>
      </c>
      <c r="S388" s="2883">
        <v>30</v>
      </c>
      <c r="T388" s="2883">
        <v>8</v>
      </c>
      <c r="U388" s="2883">
        <v>16</v>
      </c>
      <c r="V388" s="2883">
        <v>28</v>
      </c>
      <c r="W388" s="2883">
        <v>3</v>
      </c>
      <c r="X388" s="2884" t="str">
        <f>O388&amp;P388</f>
        <v>Capacidad Incrementada Fue+8 a FUE</v>
      </c>
      <c r="Z388" s="2872"/>
    </row>
    <row r="389" spans="1:26" ht="12" customHeight="1" x14ac:dyDescent="0.2">
      <c r="A389" s="6112"/>
      <c r="N389" s="6122"/>
      <c r="O389" s="2901" t="s">
        <v>10016</v>
      </c>
      <c r="P389" s="2879" t="s">
        <v>7690</v>
      </c>
      <c r="Q389" s="2883"/>
      <c r="R389" s="2927"/>
      <c r="S389" s="2883"/>
      <c r="T389" s="2883"/>
      <c r="U389" s="2883"/>
      <c r="V389" s="2883"/>
      <c r="W389" s="2883"/>
      <c r="X389" s="2884" t="str">
        <f>O389&amp;P389</f>
        <v>&gt; CAPACIDAD INCREMENTADA DES</v>
      </c>
      <c r="Z389" s="2872"/>
    </row>
    <row r="390" spans="1:26" ht="12" customHeight="1" x14ac:dyDescent="0.2">
      <c r="A390" s="6112"/>
      <c r="N390" s="6122"/>
      <c r="O390" s="2901" t="s">
        <v>10017</v>
      </c>
      <c r="P390" s="2879" t="s">
        <v>10018</v>
      </c>
      <c r="Q390" s="2883">
        <v>1</v>
      </c>
      <c r="R390" s="2927">
        <v>2</v>
      </c>
      <c r="S390" s="2883">
        <v>5</v>
      </c>
      <c r="T390" s="2883">
        <v>1</v>
      </c>
      <c r="U390" s="2883">
        <v>2</v>
      </c>
      <c r="V390" s="2883">
        <v>4</v>
      </c>
      <c r="W390" s="2883">
        <v>1</v>
      </c>
      <c r="X390" s="2884" t="str">
        <f>O390&amp;P390</f>
        <v>Capacidad Incrementada Des+1 a DES</v>
      </c>
      <c r="Z390" s="2872"/>
    </row>
    <row r="391" spans="1:26" ht="12" customHeight="1" x14ac:dyDescent="0.2">
      <c r="A391" s="6112"/>
      <c r="N391" s="6122"/>
      <c r="O391" s="2901" t="s">
        <v>10017</v>
      </c>
      <c r="P391" s="2879" t="s">
        <v>10019</v>
      </c>
      <c r="Q391" s="2883">
        <v>2</v>
      </c>
      <c r="R391" s="2927">
        <v>4</v>
      </c>
      <c r="S391" s="2883">
        <v>5</v>
      </c>
      <c r="T391" s="2883">
        <v>2</v>
      </c>
      <c r="U391" s="2883">
        <v>4</v>
      </c>
      <c r="V391" s="2883">
        <v>7</v>
      </c>
      <c r="W391" s="2883">
        <v>1</v>
      </c>
      <c r="X391" s="2884" t="str">
        <f>O391&amp;P391</f>
        <v>Capacidad Incrementada Des+2 a DES</v>
      </c>
      <c r="Z391" s="2872"/>
    </row>
    <row r="392" spans="1:26" ht="12" customHeight="1" x14ac:dyDescent="0.2">
      <c r="A392" s="6112"/>
      <c r="N392" s="6122"/>
      <c r="O392" s="2901" t="s">
        <v>10017</v>
      </c>
      <c r="P392" s="2879" t="s">
        <v>10020</v>
      </c>
      <c r="Q392" s="2883">
        <v>4</v>
      </c>
      <c r="R392" s="2927">
        <v>6</v>
      </c>
      <c r="S392" s="2883">
        <v>5</v>
      </c>
      <c r="T392" s="2883">
        <v>3</v>
      </c>
      <c r="U392" s="2883">
        <v>6</v>
      </c>
      <c r="V392" s="2883">
        <v>11</v>
      </c>
      <c r="W392" s="2883">
        <v>1</v>
      </c>
      <c r="X392" s="2884" t="str">
        <f>O392&amp;P392</f>
        <v>Capacidad Incrementada Des+3 a DES</v>
      </c>
      <c r="Z392" s="2872"/>
    </row>
    <row r="393" spans="1:26" ht="12" customHeight="1" x14ac:dyDescent="0.2">
      <c r="A393" s="6112"/>
      <c r="N393" s="6122"/>
      <c r="O393" s="2901" t="s">
        <v>10017</v>
      </c>
      <c r="P393" s="2879" t="s">
        <v>10021</v>
      </c>
      <c r="Q393" s="2883">
        <v>6</v>
      </c>
      <c r="R393" s="2927">
        <v>9</v>
      </c>
      <c r="S393" s="2883">
        <v>10</v>
      </c>
      <c r="T393" s="2883">
        <v>4</v>
      </c>
      <c r="U393" s="2883">
        <v>8</v>
      </c>
      <c r="V393" s="2883">
        <v>14</v>
      </c>
      <c r="W393" s="2883">
        <v>1</v>
      </c>
      <c r="X393" s="2884" t="str">
        <f>O393&amp;P393</f>
        <v>Capacidad Incrementada Des+4 a DES</v>
      </c>
      <c r="Z393" s="2872"/>
    </row>
    <row r="394" spans="1:26" ht="12" customHeight="1" x14ac:dyDescent="0.2">
      <c r="A394" s="6112"/>
      <c r="N394" s="6122"/>
      <c r="O394" s="2901" t="s">
        <v>10017</v>
      </c>
      <c r="P394" s="2879" t="s">
        <v>10022</v>
      </c>
      <c r="Q394" s="2883">
        <v>8</v>
      </c>
      <c r="R394" s="2927">
        <v>11</v>
      </c>
      <c r="S394" s="2883">
        <v>15</v>
      </c>
      <c r="T394" s="2883">
        <v>5</v>
      </c>
      <c r="U394" s="2883">
        <v>10</v>
      </c>
      <c r="V394" s="2883">
        <v>18</v>
      </c>
      <c r="W394" s="2883">
        <v>2</v>
      </c>
      <c r="X394" s="2884" t="str">
        <f>O394&amp;P394</f>
        <v>Capacidad Incrementada Des+5 a DES</v>
      </c>
      <c r="Z394" s="2872"/>
    </row>
    <row r="395" spans="1:26" ht="12" customHeight="1" x14ac:dyDescent="0.2">
      <c r="A395" s="6112"/>
      <c r="N395" s="6122"/>
      <c r="O395" s="2901" t="s">
        <v>10017</v>
      </c>
      <c r="P395" s="2879" t="s">
        <v>10023</v>
      </c>
      <c r="Q395" s="2883">
        <v>10</v>
      </c>
      <c r="R395" s="2927">
        <v>13</v>
      </c>
      <c r="S395" s="2883">
        <v>20</v>
      </c>
      <c r="T395" s="2883">
        <v>6</v>
      </c>
      <c r="U395" s="2883">
        <v>12</v>
      </c>
      <c r="V395" s="2883">
        <v>21</v>
      </c>
      <c r="W395" s="2883">
        <v>2</v>
      </c>
      <c r="X395" s="2884" t="str">
        <f>O395&amp;P395</f>
        <v>Capacidad Incrementada Des+6 a DES</v>
      </c>
      <c r="Z395" s="2872"/>
    </row>
    <row r="396" spans="1:26" ht="12" customHeight="1" x14ac:dyDescent="0.2">
      <c r="A396" s="6112"/>
      <c r="N396" s="6122"/>
      <c r="O396" s="2901" t="s">
        <v>10017</v>
      </c>
      <c r="P396" s="2879" t="s">
        <v>10024</v>
      </c>
      <c r="Q396" s="2883">
        <v>12</v>
      </c>
      <c r="R396" s="2927">
        <v>15</v>
      </c>
      <c r="S396" s="2883">
        <v>25</v>
      </c>
      <c r="T396" s="2883">
        <v>7</v>
      </c>
      <c r="U396" s="2883">
        <v>14</v>
      </c>
      <c r="V396" s="2883">
        <v>25</v>
      </c>
      <c r="W396" s="2883">
        <v>3</v>
      </c>
      <c r="X396" s="2884" t="str">
        <f>O396&amp;P396</f>
        <v>Capacidad Incrementada Des+7 a DES</v>
      </c>
      <c r="Z396" s="2872"/>
    </row>
    <row r="397" spans="1:26" ht="12" customHeight="1" x14ac:dyDescent="0.2">
      <c r="A397" s="6112"/>
      <c r="N397" s="6122"/>
      <c r="O397" s="2901" t="s">
        <v>10017</v>
      </c>
      <c r="P397" s="2879" t="s">
        <v>10025</v>
      </c>
      <c r="Q397" s="2883">
        <v>14</v>
      </c>
      <c r="R397" s="2927">
        <v>18</v>
      </c>
      <c r="S397" s="2883">
        <v>30</v>
      </c>
      <c r="T397" s="2883">
        <v>8</v>
      </c>
      <c r="U397" s="2883">
        <v>16</v>
      </c>
      <c r="V397" s="2883">
        <v>28</v>
      </c>
      <c r="W397" s="2883">
        <v>3</v>
      </c>
      <c r="X397" s="2884" t="str">
        <f>O397&amp;P397</f>
        <v>Capacidad Incrementada Des+8 a DES</v>
      </c>
      <c r="Z397" s="2872"/>
    </row>
    <row r="398" spans="1:26" ht="12" customHeight="1" x14ac:dyDescent="0.2">
      <c r="A398" s="6112"/>
      <c r="N398" s="6122"/>
      <c r="O398" s="2901" t="s">
        <v>10026</v>
      </c>
      <c r="P398" s="2879" t="s">
        <v>7690</v>
      </c>
      <c r="Q398" s="2883"/>
      <c r="R398" s="2927"/>
      <c r="S398" s="2883"/>
      <c r="T398" s="2883"/>
      <c r="U398" s="2883"/>
      <c r="V398" s="2883"/>
      <c r="W398" s="2883"/>
      <c r="X398" s="2884" t="str">
        <f>O398&amp;P398</f>
        <v>&gt; INCREMENTO DE RESISTENCIA FÍSICA</v>
      </c>
      <c r="Z398" s="2872"/>
    </row>
    <row r="399" spans="1:26" ht="12" customHeight="1" x14ac:dyDescent="0.2">
      <c r="A399" s="6112"/>
      <c r="N399" s="6122"/>
      <c r="O399" s="2901" t="s">
        <v>10027</v>
      </c>
      <c r="P399" s="2879" t="s">
        <v>10028</v>
      </c>
      <c r="Q399" s="2883">
        <v>1</v>
      </c>
      <c r="R399" s="2927">
        <v>2</v>
      </c>
      <c r="S399" s="2883">
        <v>5</v>
      </c>
      <c r="T399" s="2883">
        <v>1</v>
      </c>
      <c r="U399" s="2883">
        <v>2</v>
      </c>
      <c r="V399" s="2883">
        <v>4</v>
      </c>
      <c r="W399" s="2883">
        <v>1</v>
      </c>
      <c r="X399" s="2884" t="str">
        <f>O399&amp;P399</f>
        <v>Incremento De Resistencia Física+10 RF</v>
      </c>
      <c r="Z399" s="2872"/>
    </row>
    <row r="400" spans="1:26" ht="12" customHeight="1" x14ac:dyDescent="0.2">
      <c r="A400" s="6112"/>
      <c r="N400" s="6122"/>
      <c r="O400" s="2901" t="s">
        <v>10027</v>
      </c>
      <c r="P400" s="2879" t="s">
        <v>10029</v>
      </c>
      <c r="Q400" s="2883">
        <v>2</v>
      </c>
      <c r="R400" s="2927">
        <v>4</v>
      </c>
      <c r="S400" s="2883">
        <v>5</v>
      </c>
      <c r="T400" s="2883">
        <v>2</v>
      </c>
      <c r="U400" s="2883">
        <v>4</v>
      </c>
      <c r="V400" s="2883">
        <v>7</v>
      </c>
      <c r="W400" s="2883">
        <v>1</v>
      </c>
      <c r="X400" s="2884" t="str">
        <f>O400&amp;P400</f>
        <v>Incremento De Resistencia Física+20 RF</v>
      </c>
      <c r="Z400" s="2872"/>
    </row>
    <row r="401" spans="1:26" ht="12" customHeight="1" x14ac:dyDescent="0.2">
      <c r="A401" s="6112"/>
      <c r="N401" s="6122"/>
      <c r="O401" s="2901" t="s">
        <v>10027</v>
      </c>
      <c r="P401" s="2879" t="s">
        <v>10030</v>
      </c>
      <c r="Q401" s="2883">
        <v>4</v>
      </c>
      <c r="R401" s="2927">
        <v>6</v>
      </c>
      <c r="S401" s="2883">
        <v>10</v>
      </c>
      <c r="T401" s="2883">
        <v>3</v>
      </c>
      <c r="U401" s="2883">
        <v>6</v>
      </c>
      <c r="V401" s="2883">
        <v>11</v>
      </c>
      <c r="W401" s="2883">
        <v>1</v>
      </c>
      <c r="X401" s="2884" t="str">
        <f>O401&amp;P401</f>
        <v>Incremento De Resistencia Física+30 RF</v>
      </c>
      <c r="Z401" s="2872"/>
    </row>
    <row r="402" spans="1:26" ht="12" customHeight="1" x14ac:dyDescent="0.2">
      <c r="A402" s="6112"/>
      <c r="N402" s="6122"/>
      <c r="O402" s="2901" t="s">
        <v>10027</v>
      </c>
      <c r="P402" s="2879" t="s">
        <v>10031</v>
      </c>
      <c r="Q402" s="2883">
        <v>6</v>
      </c>
      <c r="R402" s="2927">
        <v>9</v>
      </c>
      <c r="S402" s="2883">
        <v>15</v>
      </c>
      <c r="T402" s="2883">
        <v>4</v>
      </c>
      <c r="U402" s="2883">
        <v>8</v>
      </c>
      <c r="V402" s="2883">
        <v>14</v>
      </c>
      <c r="W402" s="2883">
        <v>1</v>
      </c>
      <c r="X402" s="2884" t="str">
        <f>O402&amp;P402</f>
        <v>Incremento De Resistencia Física+40 RF</v>
      </c>
      <c r="Z402" s="2872"/>
    </row>
    <row r="403" spans="1:26" ht="12" customHeight="1" x14ac:dyDescent="0.2">
      <c r="A403" s="6112"/>
      <c r="N403" s="6122"/>
      <c r="O403" s="2901" t="s">
        <v>10027</v>
      </c>
      <c r="P403" s="2879" t="s">
        <v>10032</v>
      </c>
      <c r="Q403" s="2883">
        <v>8</v>
      </c>
      <c r="R403" s="2927">
        <v>11</v>
      </c>
      <c r="S403" s="2883">
        <v>20</v>
      </c>
      <c r="T403" s="2883">
        <v>5</v>
      </c>
      <c r="U403" s="2883">
        <v>10</v>
      </c>
      <c r="V403" s="2883">
        <v>18</v>
      </c>
      <c r="W403" s="2883">
        <v>2</v>
      </c>
      <c r="X403" s="2884" t="str">
        <f>O403&amp;P403</f>
        <v>Incremento De Resistencia Física+50 RF</v>
      </c>
      <c r="Z403" s="2872"/>
    </row>
    <row r="404" spans="1:26" ht="12" customHeight="1" x14ac:dyDescent="0.2">
      <c r="A404" s="6112"/>
      <c r="N404" s="6122"/>
      <c r="O404" s="2901" t="s">
        <v>10027</v>
      </c>
      <c r="P404" s="2879" t="s">
        <v>10033</v>
      </c>
      <c r="Q404" s="2883">
        <v>10</v>
      </c>
      <c r="R404" s="2927">
        <v>13</v>
      </c>
      <c r="S404" s="2883">
        <v>25</v>
      </c>
      <c r="T404" s="2883">
        <v>6</v>
      </c>
      <c r="U404" s="2883">
        <v>12</v>
      </c>
      <c r="V404" s="2883">
        <v>21</v>
      </c>
      <c r="W404" s="2883">
        <v>2</v>
      </c>
      <c r="X404" s="2884" t="str">
        <f>O404&amp;P404</f>
        <v>Incremento De Resistencia Física+60 RF</v>
      </c>
      <c r="Z404" s="2872"/>
    </row>
    <row r="405" spans="1:26" ht="12" customHeight="1" x14ac:dyDescent="0.2">
      <c r="A405" s="6112"/>
      <c r="N405" s="6122"/>
      <c r="O405" s="2901" t="s">
        <v>10027</v>
      </c>
      <c r="P405" s="2879" t="s">
        <v>10034</v>
      </c>
      <c r="Q405" s="2883">
        <v>14</v>
      </c>
      <c r="R405" s="2927">
        <v>18</v>
      </c>
      <c r="S405" s="2883">
        <v>30</v>
      </c>
      <c r="T405" s="2883">
        <v>7</v>
      </c>
      <c r="U405" s="2883">
        <v>14</v>
      </c>
      <c r="V405" s="2883">
        <v>25</v>
      </c>
      <c r="W405" s="2883">
        <v>3</v>
      </c>
      <c r="X405" s="2884" t="str">
        <f>O405&amp;P405</f>
        <v>Incremento De Resistencia Física+80 RF</v>
      </c>
      <c r="Z405" s="2872"/>
    </row>
    <row r="406" spans="1:26" ht="12" customHeight="1" x14ac:dyDescent="0.2">
      <c r="A406" s="6112"/>
      <c r="N406" s="6122"/>
      <c r="O406" s="2901" t="s">
        <v>10027</v>
      </c>
      <c r="P406" s="2879" t="s">
        <v>10035</v>
      </c>
      <c r="Q406" s="2883">
        <v>18</v>
      </c>
      <c r="R406" s="2927">
        <v>22</v>
      </c>
      <c r="S406" s="2883">
        <v>40</v>
      </c>
      <c r="T406" s="2883">
        <v>8</v>
      </c>
      <c r="U406" s="2883">
        <v>16</v>
      </c>
      <c r="V406" s="2883">
        <v>28</v>
      </c>
      <c r="W406" s="2883">
        <v>3</v>
      </c>
      <c r="X406" s="2884" t="str">
        <f>O406&amp;P406</f>
        <v>Incremento De Resistencia Física+100 RF</v>
      </c>
      <c r="Z406" s="2872"/>
    </row>
    <row r="407" spans="1:26" ht="12" customHeight="1" x14ac:dyDescent="0.2">
      <c r="A407" s="6112"/>
      <c r="N407" s="6122"/>
      <c r="O407" s="2901" t="s">
        <v>10027</v>
      </c>
      <c r="P407" s="2879" t="s">
        <v>3716</v>
      </c>
      <c r="Q407" s="2883">
        <v>1</v>
      </c>
      <c r="R407" s="2927">
        <v>1</v>
      </c>
      <c r="S407" s="2883">
        <v>5</v>
      </c>
      <c r="T407" s="2883">
        <v>1</v>
      </c>
      <c r="U407" s="2883">
        <v>2</v>
      </c>
      <c r="V407" s="2883">
        <v>4</v>
      </c>
      <c r="W407" s="2883"/>
      <c r="X407" s="2884" t="str">
        <f>O407&amp;P407</f>
        <v>Incremento De Resistencia FísicaIncremento también a RE</v>
      </c>
      <c r="Z407" s="2872"/>
    </row>
    <row r="408" spans="1:26" ht="12" customHeight="1" x14ac:dyDescent="0.2">
      <c r="A408" s="6112"/>
      <c r="N408" s="6122"/>
      <c r="O408" s="2901" t="s">
        <v>10027</v>
      </c>
      <c r="P408" s="2879" t="s">
        <v>3717</v>
      </c>
      <c r="Q408" s="2883">
        <v>1</v>
      </c>
      <c r="R408" s="2927">
        <v>1</v>
      </c>
      <c r="S408" s="2883">
        <v>5</v>
      </c>
      <c r="T408" s="2883">
        <v>1</v>
      </c>
      <c r="U408" s="2883">
        <v>2</v>
      </c>
      <c r="V408" s="2883">
        <v>4</v>
      </c>
      <c r="W408" s="2883"/>
      <c r="X408" s="2884" t="str">
        <f>O408&amp;P408</f>
        <v>Incremento De Resistencia FísicaIncremento también a RV</v>
      </c>
      <c r="Z408" s="2872"/>
    </row>
    <row r="409" spans="1:26" ht="12" customHeight="1" x14ac:dyDescent="0.2">
      <c r="A409" s="6112"/>
      <c r="N409" s="6122"/>
      <c r="O409" s="2901" t="s">
        <v>10036</v>
      </c>
      <c r="P409" s="2879" t="s">
        <v>7690</v>
      </c>
      <c r="Q409" s="2883"/>
      <c r="R409" s="2927"/>
      <c r="S409" s="2883"/>
      <c r="T409" s="2883"/>
      <c r="U409" s="2883"/>
      <c r="V409" s="2883"/>
      <c r="W409" s="2883"/>
      <c r="X409" s="2884" t="str">
        <f>O409&amp;P409</f>
        <v>&gt; INCREMENTO DE RESISTENCIA MÁGICA</v>
      </c>
      <c r="Z409" s="2872"/>
    </row>
    <row r="410" spans="1:26" ht="12" customHeight="1" x14ac:dyDescent="0.2">
      <c r="A410" s="6112"/>
      <c r="N410" s="6122"/>
      <c r="O410" s="2901" t="s">
        <v>10037</v>
      </c>
      <c r="P410" s="2879" t="s">
        <v>8302</v>
      </c>
      <c r="Q410" s="2883">
        <v>1</v>
      </c>
      <c r="R410" s="2927">
        <v>2</v>
      </c>
      <c r="S410" s="2883">
        <v>5</v>
      </c>
      <c r="T410" s="2883">
        <v>1</v>
      </c>
      <c r="U410" s="2883">
        <v>2</v>
      </c>
      <c r="V410" s="2883">
        <v>4</v>
      </c>
      <c r="W410" s="2883">
        <v>1</v>
      </c>
      <c r="X410" s="2884" t="str">
        <f>O410&amp;P410</f>
        <v>Incremento De Resistencia Mágica+10 RM</v>
      </c>
      <c r="Z410" s="2872"/>
    </row>
    <row r="411" spans="1:26" ht="12" customHeight="1" x14ac:dyDescent="0.2">
      <c r="A411" s="6112"/>
      <c r="N411" s="6122"/>
      <c r="O411" s="2901" t="s">
        <v>10037</v>
      </c>
      <c r="P411" s="2879" t="s">
        <v>8303</v>
      </c>
      <c r="Q411" s="2883">
        <v>2</v>
      </c>
      <c r="R411" s="2927">
        <v>4</v>
      </c>
      <c r="S411" s="2883">
        <v>5</v>
      </c>
      <c r="T411" s="2883">
        <v>2</v>
      </c>
      <c r="U411" s="2883">
        <v>4</v>
      </c>
      <c r="V411" s="2883">
        <v>7</v>
      </c>
      <c r="W411" s="2883">
        <v>1</v>
      </c>
      <c r="X411" s="2884" t="str">
        <f>O411&amp;P411</f>
        <v>Incremento De Resistencia Mágica+20 RM</v>
      </c>
      <c r="Z411" s="2872"/>
    </row>
    <row r="412" spans="1:26" ht="12" customHeight="1" x14ac:dyDescent="0.2">
      <c r="A412" s="6112"/>
      <c r="N412" s="6122"/>
      <c r="O412" s="2901" t="s">
        <v>10037</v>
      </c>
      <c r="P412" s="2879" t="s">
        <v>8304</v>
      </c>
      <c r="Q412" s="2883">
        <v>4</v>
      </c>
      <c r="R412" s="2927">
        <v>6</v>
      </c>
      <c r="S412" s="2883">
        <v>10</v>
      </c>
      <c r="T412" s="2883">
        <v>3</v>
      </c>
      <c r="U412" s="2883">
        <v>6</v>
      </c>
      <c r="V412" s="2883">
        <v>11</v>
      </c>
      <c r="W412" s="2883">
        <v>1</v>
      </c>
      <c r="X412" s="2884" t="str">
        <f>O412&amp;P412</f>
        <v>Incremento De Resistencia Mágica+30 RM</v>
      </c>
      <c r="Z412" s="2872"/>
    </row>
    <row r="413" spans="1:26" ht="12" customHeight="1" x14ac:dyDescent="0.2">
      <c r="A413" s="6112"/>
      <c r="N413" s="6122"/>
      <c r="O413" s="2901" t="s">
        <v>10037</v>
      </c>
      <c r="P413" s="2879" t="s">
        <v>8305</v>
      </c>
      <c r="Q413" s="2883">
        <v>6</v>
      </c>
      <c r="R413" s="2927">
        <v>9</v>
      </c>
      <c r="S413" s="2883">
        <v>15</v>
      </c>
      <c r="T413" s="2883">
        <v>4</v>
      </c>
      <c r="U413" s="2883">
        <v>8</v>
      </c>
      <c r="V413" s="2883">
        <v>14</v>
      </c>
      <c r="W413" s="2883">
        <v>1</v>
      </c>
      <c r="X413" s="2884" t="str">
        <f>O413&amp;P413</f>
        <v>Incremento De Resistencia Mágica+40 RM</v>
      </c>
      <c r="Z413" s="2872"/>
    </row>
    <row r="414" spans="1:26" ht="12" customHeight="1" x14ac:dyDescent="0.2">
      <c r="A414" s="6112"/>
      <c r="N414" s="6122"/>
      <c r="O414" s="2901" t="s">
        <v>10037</v>
      </c>
      <c r="P414" s="2879" t="s">
        <v>8306</v>
      </c>
      <c r="Q414" s="2883">
        <v>8</v>
      </c>
      <c r="R414" s="2927">
        <v>11</v>
      </c>
      <c r="S414" s="2883">
        <v>20</v>
      </c>
      <c r="T414" s="2883">
        <v>5</v>
      </c>
      <c r="U414" s="2883">
        <v>10</v>
      </c>
      <c r="V414" s="2883">
        <v>18</v>
      </c>
      <c r="W414" s="2883">
        <v>2</v>
      </c>
      <c r="X414" s="2884" t="str">
        <f>O414&amp;P414</f>
        <v>Incremento De Resistencia Mágica+50 RM</v>
      </c>
      <c r="Z414" s="2872"/>
    </row>
    <row r="415" spans="1:26" ht="12" customHeight="1" x14ac:dyDescent="0.2">
      <c r="A415" s="6112"/>
      <c r="N415" s="6122"/>
      <c r="O415" s="2901" t="s">
        <v>10037</v>
      </c>
      <c r="P415" s="2879" t="s">
        <v>10038</v>
      </c>
      <c r="Q415" s="2883">
        <v>10</v>
      </c>
      <c r="R415" s="2927">
        <v>13</v>
      </c>
      <c r="S415" s="2883">
        <v>25</v>
      </c>
      <c r="T415" s="2883">
        <v>6</v>
      </c>
      <c r="U415" s="2883">
        <v>12</v>
      </c>
      <c r="V415" s="2883">
        <v>21</v>
      </c>
      <c r="W415" s="2883">
        <v>2</v>
      </c>
      <c r="X415" s="2884" t="str">
        <f>O415&amp;P415</f>
        <v>Incremento De Resistencia Mágica+60 RM</v>
      </c>
      <c r="Z415" s="2872"/>
    </row>
    <row r="416" spans="1:26" ht="12" customHeight="1" x14ac:dyDescent="0.2">
      <c r="A416" s="6112"/>
      <c r="N416" s="6122"/>
      <c r="O416" s="2901" t="s">
        <v>10037</v>
      </c>
      <c r="P416" s="2879" t="s">
        <v>10039</v>
      </c>
      <c r="Q416" s="2883">
        <v>14</v>
      </c>
      <c r="R416" s="2927">
        <v>18</v>
      </c>
      <c r="S416" s="2883">
        <v>30</v>
      </c>
      <c r="T416" s="2883">
        <v>7</v>
      </c>
      <c r="U416" s="2883">
        <v>14</v>
      </c>
      <c r="V416" s="2883">
        <v>25</v>
      </c>
      <c r="W416" s="2883">
        <v>3</v>
      </c>
      <c r="X416" s="2884" t="str">
        <f>O416&amp;P416</f>
        <v>Incremento De Resistencia Mágica+80 RM</v>
      </c>
      <c r="Z416" s="2872"/>
    </row>
    <row r="417" spans="1:26" ht="12" customHeight="1" x14ac:dyDescent="0.2">
      <c r="A417" s="6112"/>
      <c r="N417" s="6122"/>
      <c r="O417" s="2901" t="s">
        <v>10037</v>
      </c>
      <c r="P417" s="2879" t="s">
        <v>10040</v>
      </c>
      <c r="Q417" s="2883">
        <v>18</v>
      </c>
      <c r="R417" s="2927">
        <v>22</v>
      </c>
      <c r="S417" s="2883">
        <v>40</v>
      </c>
      <c r="T417" s="2883">
        <v>8</v>
      </c>
      <c r="U417" s="2883">
        <v>16</v>
      </c>
      <c r="V417" s="2883">
        <v>28</v>
      </c>
      <c r="W417" s="2883">
        <v>3</v>
      </c>
      <c r="X417" s="2884" t="str">
        <f>O417&amp;P417</f>
        <v>Incremento De Resistencia Mágica+100 RM</v>
      </c>
      <c r="Z417" s="2872"/>
    </row>
    <row r="418" spans="1:26" ht="12" customHeight="1" x14ac:dyDescent="0.2">
      <c r="A418" s="6112"/>
      <c r="N418" s="6122"/>
      <c r="O418" s="2901" t="s">
        <v>10041</v>
      </c>
      <c r="P418" s="2879" t="s">
        <v>7690</v>
      </c>
      <c r="Q418" s="2883"/>
      <c r="R418" s="2927"/>
      <c r="S418" s="2883"/>
      <c r="T418" s="2883"/>
      <c r="U418" s="2883"/>
      <c r="V418" s="2883"/>
      <c r="W418" s="2883"/>
      <c r="X418" s="2884" t="str">
        <f>O418&amp;P418</f>
        <v>&gt; INCREMENTO DE RESISTENCIA PSÍQUICA</v>
      </c>
      <c r="Z418" s="2872"/>
    </row>
    <row r="419" spans="1:26" ht="12" customHeight="1" x14ac:dyDescent="0.2">
      <c r="A419" s="6112"/>
      <c r="N419" s="6122"/>
      <c r="O419" s="2901" t="s">
        <v>10042</v>
      </c>
      <c r="P419" s="2879" t="s">
        <v>8292</v>
      </c>
      <c r="Q419" s="2883">
        <v>1</v>
      </c>
      <c r="R419" s="2927">
        <v>2</v>
      </c>
      <c r="S419" s="2883">
        <v>5</v>
      </c>
      <c r="T419" s="2883">
        <v>1</v>
      </c>
      <c r="U419" s="2883">
        <v>2</v>
      </c>
      <c r="V419" s="2883">
        <v>4</v>
      </c>
      <c r="W419" s="2883">
        <v>1</v>
      </c>
      <c r="X419" s="2884" t="str">
        <f>O419&amp;P419</f>
        <v>Incremento De Resistencia Psíquica+10 RP</v>
      </c>
      <c r="Z419" s="2872"/>
    </row>
    <row r="420" spans="1:26" ht="12" customHeight="1" x14ac:dyDescent="0.2">
      <c r="A420" s="6112"/>
      <c r="N420" s="6122"/>
      <c r="O420" s="2901" t="s">
        <v>10042</v>
      </c>
      <c r="P420" s="2879" t="s">
        <v>8293</v>
      </c>
      <c r="Q420" s="2883">
        <v>2</v>
      </c>
      <c r="R420" s="2927">
        <v>4</v>
      </c>
      <c r="S420" s="2883">
        <v>5</v>
      </c>
      <c r="T420" s="2883">
        <v>2</v>
      </c>
      <c r="U420" s="2883">
        <v>4</v>
      </c>
      <c r="V420" s="2883">
        <v>7</v>
      </c>
      <c r="W420" s="2883">
        <v>1</v>
      </c>
      <c r="X420" s="2884" t="str">
        <f>O420&amp;P420</f>
        <v>Incremento De Resistencia Psíquica+20 RP</v>
      </c>
      <c r="Z420" s="2872"/>
    </row>
    <row r="421" spans="1:26" ht="12" customHeight="1" x14ac:dyDescent="0.2">
      <c r="A421" s="6112"/>
      <c r="N421" s="6122"/>
      <c r="O421" s="2901" t="s">
        <v>10042</v>
      </c>
      <c r="P421" s="2879" t="s">
        <v>8294</v>
      </c>
      <c r="Q421" s="2883">
        <v>4</v>
      </c>
      <c r="R421" s="2927">
        <v>6</v>
      </c>
      <c r="S421" s="2883">
        <v>10</v>
      </c>
      <c r="T421" s="2883">
        <v>3</v>
      </c>
      <c r="U421" s="2883">
        <v>6</v>
      </c>
      <c r="V421" s="2883">
        <v>11</v>
      </c>
      <c r="W421" s="2883">
        <v>1</v>
      </c>
      <c r="X421" s="2884" t="str">
        <f>O421&amp;P421</f>
        <v>Incremento De Resistencia Psíquica+30 RP</v>
      </c>
      <c r="Z421" s="2872"/>
    </row>
    <row r="422" spans="1:26" ht="12" customHeight="1" x14ac:dyDescent="0.2">
      <c r="A422" s="6112"/>
      <c r="N422" s="6122"/>
      <c r="O422" s="2901" t="s">
        <v>10042</v>
      </c>
      <c r="P422" s="2879" t="s">
        <v>8295</v>
      </c>
      <c r="Q422" s="2883">
        <v>6</v>
      </c>
      <c r="R422" s="2927">
        <v>9</v>
      </c>
      <c r="S422" s="2883">
        <v>15</v>
      </c>
      <c r="T422" s="2883">
        <v>4</v>
      </c>
      <c r="U422" s="2883">
        <v>8</v>
      </c>
      <c r="V422" s="2883">
        <v>14</v>
      </c>
      <c r="W422" s="2883">
        <v>1</v>
      </c>
      <c r="X422" s="2884" t="str">
        <f>O422&amp;P422</f>
        <v>Incremento De Resistencia Psíquica+40 RP</v>
      </c>
      <c r="Z422" s="2872"/>
    </row>
    <row r="423" spans="1:26" ht="12" customHeight="1" x14ac:dyDescent="0.2">
      <c r="A423" s="6112"/>
      <c r="N423" s="6122"/>
      <c r="O423" s="2901" t="s">
        <v>10042</v>
      </c>
      <c r="P423" s="2879" t="s">
        <v>8296</v>
      </c>
      <c r="Q423" s="2883">
        <v>8</v>
      </c>
      <c r="R423" s="2927">
        <v>11</v>
      </c>
      <c r="S423" s="2883">
        <v>20</v>
      </c>
      <c r="T423" s="2883">
        <v>5</v>
      </c>
      <c r="U423" s="2883">
        <v>10</v>
      </c>
      <c r="V423" s="2883">
        <v>18</v>
      </c>
      <c r="W423" s="2883">
        <v>2</v>
      </c>
      <c r="X423" s="2884" t="str">
        <f>O423&amp;P423</f>
        <v>Incremento De Resistencia Psíquica+50 RP</v>
      </c>
      <c r="Z423" s="2872"/>
    </row>
    <row r="424" spans="1:26" ht="12" customHeight="1" x14ac:dyDescent="0.2">
      <c r="A424" s="6112"/>
      <c r="N424" s="6122"/>
      <c r="O424" s="2901" t="s">
        <v>10042</v>
      </c>
      <c r="P424" s="2879" t="s">
        <v>10043</v>
      </c>
      <c r="Q424" s="2883">
        <v>10</v>
      </c>
      <c r="R424" s="2927">
        <v>13</v>
      </c>
      <c r="S424" s="2883">
        <v>25</v>
      </c>
      <c r="T424" s="2883">
        <v>6</v>
      </c>
      <c r="U424" s="2883">
        <v>12</v>
      </c>
      <c r="V424" s="2883">
        <v>21</v>
      </c>
      <c r="W424" s="2883">
        <v>2</v>
      </c>
      <c r="X424" s="2884" t="str">
        <f>O424&amp;P424</f>
        <v>Incremento De Resistencia Psíquica+60 RP</v>
      </c>
      <c r="Z424" s="2872"/>
    </row>
    <row r="425" spans="1:26" ht="12" customHeight="1" x14ac:dyDescent="0.2">
      <c r="A425" s="6112"/>
      <c r="N425" s="6122"/>
      <c r="O425" s="2901" t="s">
        <v>10042</v>
      </c>
      <c r="P425" s="2879" t="s">
        <v>10044</v>
      </c>
      <c r="Q425" s="2883">
        <v>14</v>
      </c>
      <c r="R425" s="2927">
        <v>18</v>
      </c>
      <c r="S425" s="2883">
        <v>30</v>
      </c>
      <c r="T425" s="2883">
        <v>7</v>
      </c>
      <c r="U425" s="2883">
        <v>14</v>
      </c>
      <c r="V425" s="2883">
        <v>25</v>
      </c>
      <c r="W425" s="2883">
        <v>3</v>
      </c>
      <c r="X425" s="2884" t="str">
        <f>O425&amp;P425</f>
        <v>Incremento De Resistencia Psíquica+80 RP</v>
      </c>
      <c r="Z425" s="2872"/>
    </row>
    <row r="426" spans="1:26" ht="12" customHeight="1" x14ac:dyDescent="0.2">
      <c r="A426" s="6112"/>
      <c r="N426" s="6122"/>
      <c r="O426" s="2901" t="s">
        <v>10042</v>
      </c>
      <c r="P426" s="2879" t="s">
        <v>10045</v>
      </c>
      <c r="Q426" s="2883">
        <v>18</v>
      </c>
      <c r="R426" s="2927">
        <v>22</v>
      </c>
      <c r="S426" s="2883">
        <v>40</v>
      </c>
      <c r="T426" s="2883">
        <v>8</v>
      </c>
      <c r="U426" s="2883">
        <v>16</v>
      </c>
      <c r="V426" s="2883">
        <v>28</v>
      </c>
      <c r="W426" s="2883">
        <v>3</v>
      </c>
      <c r="X426" s="2884" t="str">
        <f>O426&amp;P426</f>
        <v>Incremento De Resistencia Psíquica+100 RP</v>
      </c>
      <c r="Z426" s="2872"/>
    </row>
    <row r="427" spans="1:26" ht="12" customHeight="1" x14ac:dyDescent="0.2">
      <c r="A427" s="6112"/>
      <c r="N427" s="6122"/>
      <c r="O427" s="2901" t="s">
        <v>10046</v>
      </c>
      <c r="P427" s="2879" t="s">
        <v>7690</v>
      </c>
      <c r="Q427" s="2883"/>
      <c r="R427" s="2927"/>
      <c r="S427" s="2883"/>
      <c r="T427" s="2883"/>
      <c r="U427" s="2883"/>
      <c r="V427" s="2883"/>
      <c r="W427" s="2883"/>
      <c r="X427" s="2884" t="str">
        <f>O427&amp;P427</f>
        <v>&gt; HABILIDADES PERCEPTIVAS</v>
      </c>
      <c r="Z427" s="2872"/>
    </row>
    <row r="428" spans="1:26" ht="12" customHeight="1" x14ac:dyDescent="0.2">
      <c r="A428" s="6112"/>
      <c r="C428" s="2892"/>
      <c r="D428" s="2892"/>
      <c r="N428" s="6122"/>
      <c r="O428" s="2901" t="s">
        <v>9801</v>
      </c>
      <c r="P428" s="2879" t="s">
        <v>10047</v>
      </c>
      <c r="Q428" s="2883">
        <v>2</v>
      </c>
      <c r="R428" s="2927">
        <v>4</v>
      </c>
      <c r="S428" s="2883">
        <v>5</v>
      </c>
      <c r="T428" s="2883">
        <v>1</v>
      </c>
      <c r="U428" s="2883">
        <v>2</v>
      </c>
      <c r="V428" s="2883">
        <v>4</v>
      </c>
      <c r="W428" s="2883">
        <v>1</v>
      </c>
      <c r="X428" s="2884" t="str">
        <f>O428&amp;P428</f>
        <v>Habilidades PerceptivasVisión Nocturna</v>
      </c>
      <c r="Z428" s="2872"/>
    </row>
    <row r="429" spans="1:26" ht="12" customHeight="1" x14ac:dyDescent="0.2">
      <c r="A429" s="6112"/>
      <c r="N429" s="6122"/>
      <c r="O429" s="2901" t="s">
        <v>9801</v>
      </c>
      <c r="P429" s="2879" t="s">
        <v>10048</v>
      </c>
      <c r="Q429" s="2883">
        <v>4</v>
      </c>
      <c r="R429" s="2927">
        <v>6</v>
      </c>
      <c r="S429" s="2883">
        <v>10</v>
      </c>
      <c r="T429" s="2883">
        <v>2</v>
      </c>
      <c r="U429" s="2883">
        <v>4</v>
      </c>
      <c r="V429" s="2883">
        <v>7</v>
      </c>
      <c r="W429" s="2883">
        <v>1</v>
      </c>
      <c r="X429" s="2884" t="str">
        <f>O429&amp;P429</f>
        <v>Habilidades PerceptivasVisión Radial</v>
      </c>
      <c r="Z429" s="2872"/>
    </row>
    <row r="430" spans="1:26" ht="12" customHeight="1" x14ac:dyDescent="0.2">
      <c r="A430" s="6112"/>
      <c r="N430" s="6122"/>
      <c r="O430" s="2901" t="s">
        <v>9801</v>
      </c>
      <c r="P430" s="2879" t="s">
        <v>10049</v>
      </c>
      <c r="Q430" s="2883">
        <v>3</v>
      </c>
      <c r="R430" s="2927">
        <v>5</v>
      </c>
      <c r="S430" s="2883">
        <v>5</v>
      </c>
      <c r="T430" s="2883">
        <v>1</v>
      </c>
      <c r="U430" s="2883">
        <v>2</v>
      </c>
      <c r="V430" s="2883">
        <v>4</v>
      </c>
      <c r="W430" s="2883">
        <v>1</v>
      </c>
      <c r="X430" s="2884" t="str">
        <f>O430&amp;P430</f>
        <v>Habilidades PerceptivasVisión Espiritual</v>
      </c>
      <c r="Z430" s="2872"/>
    </row>
    <row r="431" spans="1:26" ht="12" customHeight="1" x14ac:dyDescent="0.2">
      <c r="A431" s="6112"/>
      <c r="N431" s="6122"/>
      <c r="O431" s="2901" t="s">
        <v>9801</v>
      </c>
      <c r="P431" s="2879" t="s">
        <v>10050</v>
      </c>
      <c r="Q431" s="2883">
        <v>3</v>
      </c>
      <c r="R431" s="2927">
        <v>5</v>
      </c>
      <c r="S431" s="2883">
        <v>5</v>
      </c>
      <c r="T431" s="2883">
        <v>1</v>
      </c>
      <c r="U431" s="2883">
        <v>2</v>
      </c>
      <c r="V431" s="2883">
        <v>4</v>
      </c>
      <c r="W431" s="2883">
        <v>1</v>
      </c>
      <c r="X431" s="2884" t="str">
        <f>O431&amp;P431</f>
        <v>Habilidades PerceptivasVisión de Magia</v>
      </c>
      <c r="Z431" s="2872"/>
    </row>
    <row r="432" spans="1:26" ht="12" customHeight="1" x14ac:dyDescent="0.2">
      <c r="A432" s="6112"/>
      <c r="N432" s="6122"/>
      <c r="O432" s="2901" t="s">
        <v>9801</v>
      </c>
      <c r="P432" s="2879" t="s">
        <v>10051</v>
      </c>
      <c r="Q432" s="2883">
        <v>3</v>
      </c>
      <c r="R432" s="2927">
        <v>5</v>
      </c>
      <c r="S432" s="2883">
        <v>5</v>
      </c>
      <c r="T432" s="2883">
        <v>1</v>
      </c>
      <c r="U432" s="2883">
        <v>2</v>
      </c>
      <c r="V432" s="2883">
        <v>4</v>
      </c>
      <c r="W432" s="2883">
        <v>1</v>
      </c>
      <c r="X432" s="2884" t="str">
        <f>O432&amp;P432</f>
        <v>Habilidades PerceptivasVisión de Matrices</v>
      </c>
      <c r="Z432" s="2872"/>
    </row>
    <row r="433" spans="1:28" ht="12" customHeight="1" x14ac:dyDescent="0.2">
      <c r="A433" s="6112"/>
      <c r="N433" s="6122"/>
      <c r="O433" s="2901" t="s">
        <v>9801</v>
      </c>
      <c r="P433" s="2879" t="s">
        <v>10052</v>
      </c>
      <c r="Q433" s="2883">
        <v>5</v>
      </c>
      <c r="R433" s="2927">
        <v>8</v>
      </c>
      <c r="S433" s="2883">
        <v>15</v>
      </c>
      <c r="T433" s="2883">
        <v>2</v>
      </c>
      <c r="U433" s="2883">
        <v>4</v>
      </c>
      <c r="V433" s="2883">
        <v>7</v>
      </c>
      <c r="W433" s="2883">
        <v>1</v>
      </c>
      <c r="X433" s="2884" t="str">
        <f>O433&amp;P433</f>
        <v>Habilidades PerceptivasVer lo Sobrenatural</v>
      </c>
      <c r="Z433" s="2872"/>
    </row>
    <row r="434" spans="1:28" ht="12" customHeight="1" x14ac:dyDescent="0.2">
      <c r="A434" s="6112"/>
      <c r="N434" s="6122"/>
      <c r="O434" s="2901" t="s">
        <v>9801</v>
      </c>
      <c r="P434" s="2879" t="s">
        <v>10053</v>
      </c>
      <c r="Q434" s="2883">
        <v>8</v>
      </c>
      <c r="R434" s="2927">
        <v>11</v>
      </c>
      <c r="S434" s="2883">
        <v>25</v>
      </c>
      <c r="T434" s="2883">
        <v>2</v>
      </c>
      <c r="U434" s="2883">
        <v>4</v>
      </c>
      <c r="V434" s="2883">
        <v>7</v>
      </c>
      <c r="W434" s="2883">
        <v>2</v>
      </c>
      <c r="X434" s="2884" t="str">
        <f>O434&amp;P434</f>
        <v>Habilidades PerceptivasVer Realmente</v>
      </c>
      <c r="Z434" s="2872"/>
    </row>
    <row r="435" spans="1:28" ht="12" customHeight="1" x14ac:dyDescent="0.2">
      <c r="A435" s="6112"/>
      <c r="N435" s="6122"/>
      <c r="O435" s="2901" t="s">
        <v>3346</v>
      </c>
      <c r="P435" s="2879" t="s">
        <v>7690</v>
      </c>
      <c r="Q435" s="2883"/>
      <c r="R435" s="2927"/>
      <c r="S435" s="2883"/>
      <c r="T435" s="2883"/>
      <c r="U435" s="2883"/>
      <c r="V435" s="2883"/>
      <c r="W435" s="2883"/>
      <c r="X435" s="2884" t="str">
        <f>O435&amp;P435</f>
        <v>&gt;&gt;EFECTOS VARIADOS</v>
      </c>
      <c r="Z435" s="2872"/>
    </row>
    <row r="436" spans="1:28" ht="12" customHeight="1" x14ac:dyDescent="0.2">
      <c r="A436" s="6112"/>
      <c r="N436" s="6122"/>
      <c r="O436" s="2901" t="s">
        <v>10054</v>
      </c>
      <c r="P436" s="2879" t="s">
        <v>7690</v>
      </c>
      <c r="Q436" s="2883"/>
      <c r="R436" s="2927"/>
      <c r="S436" s="2883"/>
      <c r="T436" s="2883"/>
      <c r="U436" s="2883"/>
      <c r="V436" s="2883"/>
      <c r="W436" s="2883"/>
      <c r="X436" s="2884" t="str">
        <f>O436&amp;P436</f>
        <v>&gt; ATAQUE CAPAZ DE DAÑAR ENERGÍA</v>
      </c>
      <c r="Z436" s="2872"/>
    </row>
    <row r="437" spans="1:28" ht="12" customHeight="1" x14ac:dyDescent="0.2">
      <c r="A437" s="6112"/>
      <c r="N437" s="6122"/>
      <c r="O437" s="2901" t="s">
        <v>10055</v>
      </c>
      <c r="P437" s="2879" t="s">
        <v>7690</v>
      </c>
      <c r="Q437" s="2883">
        <v>1</v>
      </c>
      <c r="R437" s="2927">
        <v>2</v>
      </c>
      <c r="S437" s="2883">
        <v>5</v>
      </c>
      <c r="T437" s="2883">
        <v>1</v>
      </c>
      <c r="U437" s="2883">
        <v>2</v>
      </c>
      <c r="V437" s="2883">
        <v>4</v>
      </c>
      <c r="W437" s="2883">
        <v>1</v>
      </c>
      <c r="X437" s="2884" t="str">
        <f>O437&amp;P437</f>
        <v>Ataque Capaz De Dañar Energía</v>
      </c>
      <c r="Z437" s="2872"/>
    </row>
    <row r="438" spans="1:28" ht="12" customHeight="1" x14ac:dyDescent="0.2">
      <c r="A438" s="6112"/>
      <c r="M438" s="2872"/>
      <c r="N438" s="6122"/>
      <c r="O438" s="2901" t="s">
        <v>10056</v>
      </c>
      <c r="P438" s="2879" t="s">
        <v>7690</v>
      </c>
      <c r="Q438" s="2883"/>
      <c r="R438" s="2927"/>
      <c r="S438" s="2883"/>
      <c r="T438" s="2883"/>
      <c r="U438" s="2883"/>
      <c r="V438" s="2883"/>
      <c r="W438" s="2883"/>
      <c r="X438" s="2884" t="str">
        <f>O438&amp;P438</f>
        <v>&gt; ATAQUE ELEMENTAL</v>
      </c>
      <c r="Z438" s="2872"/>
      <c r="AB438" s="2872"/>
    </row>
    <row r="439" spans="1:28" ht="12" customHeight="1" x14ac:dyDescent="0.2">
      <c r="A439" s="6112"/>
      <c r="M439" s="2872"/>
      <c r="N439" s="6122"/>
      <c r="O439" s="2901" t="s">
        <v>9807</v>
      </c>
      <c r="P439" s="2879" t="s">
        <v>1878</v>
      </c>
      <c r="Q439" s="2883">
        <v>2</v>
      </c>
      <c r="R439" s="2927">
        <v>4</v>
      </c>
      <c r="S439" s="2883">
        <v>5</v>
      </c>
      <c r="T439" s="2883">
        <v>1</v>
      </c>
      <c r="U439" s="2883">
        <v>2</v>
      </c>
      <c r="V439" s="2883">
        <v>4</v>
      </c>
      <c r="W439" s="2883">
        <v>1</v>
      </c>
      <c r="X439" s="2884" t="str">
        <f>O439&amp;P439</f>
        <v>Ataque ElementalAire</v>
      </c>
      <c r="Z439" s="2872"/>
      <c r="AB439" s="2872"/>
    </row>
    <row r="440" spans="1:28" ht="12" customHeight="1" x14ac:dyDescent="0.2">
      <c r="A440" s="6112"/>
      <c r="M440" s="2872"/>
      <c r="N440" s="6122"/>
      <c r="O440" s="2901" t="s">
        <v>9807</v>
      </c>
      <c r="P440" s="2879" t="s">
        <v>1881</v>
      </c>
      <c r="Q440" s="2883">
        <v>2</v>
      </c>
      <c r="R440" s="2927">
        <v>4</v>
      </c>
      <c r="S440" s="2883">
        <v>5</v>
      </c>
      <c r="T440" s="2883">
        <v>1</v>
      </c>
      <c r="U440" s="2883">
        <v>2</v>
      </c>
      <c r="V440" s="2883">
        <v>4</v>
      </c>
      <c r="W440" s="2883">
        <v>1</v>
      </c>
      <c r="X440" s="2884" t="str">
        <f>O440&amp;P440</f>
        <v>Ataque ElementalAgua</v>
      </c>
      <c r="Z440" s="2872"/>
      <c r="AB440" s="2872"/>
    </row>
    <row r="441" spans="1:28" ht="12" customHeight="1" x14ac:dyDescent="0.2">
      <c r="A441" s="6112"/>
      <c r="M441" s="2872"/>
      <c r="N441" s="6122"/>
      <c r="O441" s="2901" t="s">
        <v>9807</v>
      </c>
      <c r="P441" s="2879" t="s">
        <v>1885</v>
      </c>
      <c r="Q441" s="2883">
        <v>2</v>
      </c>
      <c r="R441" s="2927">
        <v>4</v>
      </c>
      <c r="S441" s="2883">
        <v>5</v>
      </c>
      <c r="T441" s="2883">
        <v>1</v>
      </c>
      <c r="U441" s="2883">
        <v>2</v>
      </c>
      <c r="V441" s="2883">
        <v>4</v>
      </c>
      <c r="W441" s="2883">
        <v>1</v>
      </c>
      <c r="X441" s="2884" t="str">
        <f>O441&amp;P441</f>
        <v>Ataque ElementalFuego</v>
      </c>
      <c r="Z441" s="2872"/>
      <c r="AB441" s="2872"/>
    </row>
    <row r="442" spans="1:28" ht="12" customHeight="1" x14ac:dyDescent="0.2">
      <c r="A442" s="6112"/>
      <c r="M442" s="2872"/>
      <c r="N442" s="6122"/>
      <c r="O442" s="2901" t="s">
        <v>9807</v>
      </c>
      <c r="P442" s="2879" t="s">
        <v>1980</v>
      </c>
      <c r="Q442" s="2883">
        <v>2</v>
      </c>
      <c r="R442" s="2927">
        <v>4</v>
      </c>
      <c r="S442" s="2883">
        <v>5</v>
      </c>
      <c r="T442" s="2883">
        <v>1</v>
      </c>
      <c r="U442" s="2883">
        <v>2</v>
      </c>
      <c r="V442" s="2883">
        <v>4</v>
      </c>
      <c r="W442" s="2883">
        <v>1</v>
      </c>
      <c r="X442" s="2884" t="str">
        <f>O442&amp;P442</f>
        <v>Ataque ElementalTierra</v>
      </c>
      <c r="Z442" s="2872"/>
      <c r="AB442" s="2872"/>
    </row>
    <row r="443" spans="1:28" ht="12" customHeight="1" x14ac:dyDescent="0.2">
      <c r="A443" s="6112"/>
      <c r="M443" s="2872"/>
      <c r="N443" s="6122"/>
      <c r="O443" s="2901" t="s">
        <v>9807</v>
      </c>
      <c r="P443" s="2879" t="s">
        <v>1975</v>
      </c>
      <c r="Q443" s="2883">
        <v>2</v>
      </c>
      <c r="R443" s="2927">
        <v>4</v>
      </c>
      <c r="S443" s="2883">
        <v>5</v>
      </c>
      <c r="T443" s="2883">
        <v>1</v>
      </c>
      <c r="U443" s="2883">
        <v>2</v>
      </c>
      <c r="V443" s="2883">
        <v>4</v>
      </c>
      <c r="W443" s="2883">
        <v>1</v>
      </c>
      <c r="X443" s="2884" t="str">
        <f>O443&amp;P443</f>
        <v>Ataque ElementalLuz</v>
      </c>
      <c r="Z443" s="2872"/>
      <c r="AB443" s="2872"/>
    </row>
    <row r="444" spans="1:28" ht="12" customHeight="1" x14ac:dyDescent="0.2">
      <c r="A444" s="6112"/>
      <c r="M444" s="2872"/>
      <c r="N444" s="6122"/>
      <c r="O444" s="2901" t="s">
        <v>9807</v>
      </c>
      <c r="P444" s="2879" t="s">
        <v>1976</v>
      </c>
      <c r="Q444" s="2883">
        <v>2</v>
      </c>
      <c r="R444" s="2927">
        <v>4</v>
      </c>
      <c r="S444" s="2883">
        <v>5</v>
      </c>
      <c r="T444" s="2883">
        <v>1</v>
      </c>
      <c r="U444" s="2883">
        <v>2</v>
      </c>
      <c r="V444" s="2883">
        <v>4</v>
      </c>
      <c r="W444" s="2883">
        <v>1</v>
      </c>
      <c r="X444" s="2884" t="str">
        <f>O444&amp;P444</f>
        <v>Ataque ElementalOscuridad</v>
      </c>
      <c r="Z444" s="2872"/>
      <c r="AB444" s="2872"/>
    </row>
    <row r="445" spans="1:28" ht="12" customHeight="1" x14ac:dyDescent="0.2">
      <c r="A445" s="6112"/>
      <c r="M445" s="2872"/>
      <c r="N445" s="6122"/>
      <c r="O445" s="2901" t="s">
        <v>10057</v>
      </c>
      <c r="P445" s="2879" t="s">
        <v>7690</v>
      </c>
      <c r="Q445" s="2883"/>
      <c r="R445" s="2927"/>
      <c r="S445" s="2883"/>
      <c r="T445" s="2883"/>
      <c r="U445" s="2883"/>
      <c r="V445" s="2883"/>
      <c r="W445" s="2883"/>
      <c r="X445" s="2884" t="str">
        <f>O445&amp;P445</f>
        <v>&gt; ARMAS FÍSICAS DE KI</v>
      </c>
      <c r="Z445" s="2872"/>
      <c r="AB445" s="2872"/>
    </row>
    <row r="446" spans="1:28" ht="12" customHeight="1" x14ac:dyDescent="0.2">
      <c r="A446" s="6112"/>
      <c r="M446" s="2872"/>
      <c r="N446" s="6122"/>
      <c r="O446" s="2901" t="s">
        <v>10058</v>
      </c>
      <c r="P446" s="2879" t="s">
        <v>7642</v>
      </c>
      <c r="Q446" s="2883">
        <v>2</v>
      </c>
      <c r="R446" s="2927">
        <v>4</v>
      </c>
      <c r="S446" s="2883">
        <v>5</v>
      </c>
      <c r="T446" s="2883">
        <v>1</v>
      </c>
      <c r="U446" s="2883">
        <v>2</v>
      </c>
      <c r="V446" s="2883">
        <v>4</v>
      </c>
      <c r="W446" s="2883">
        <v>1</v>
      </c>
      <c r="X446" s="2884" t="str">
        <f>O446&amp;P446</f>
        <v>Armas Físicas De Ki+0</v>
      </c>
      <c r="Z446" s="2872"/>
      <c r="AB446" s="2872"/>
    </row>
    <row r="447" spans="1:28" ht="12" customHeight="1" x14ac:dyDescent="0.2">
      <c r="A447" s="6112"/>
      <c r="M447" s="2872"/>
      <c r="N447" s="6122"/>
      <c r="O447" s="2901" t="s">
        <v>10058</v>
      </c>
      <c r="P447" s="2879" t="s">
        <v>7643</v>
      </c>
      <c r="Q447" s="2883">
        <v>4</v>
      </c>
      <c r="R447" s="2927">
        <v>6</v>
      </c>
      <c r="S447" s="2883">
        <v>5</v>
      </c>
      <c r="T447" s="2883">
        <v>1</v>
      </c>
      <c r="U447" s="2883">
        <v>2</v>
      </c>
      <c r="V447" s="2883">
        <v>4</v>
      </c>
      <c r="W447" s="2883">
        <v>1</v>
      </c>
      <c r="X447" s="2884" t="str">
        <f>O447&amp;P447</f>
        <v>Armas Físicas De Ki+5</v>
      </c>
      <c r="Z447" s="2872"/>
      <c r="AB447" s="2872"/>
    </row>
    <row r="448" spans="1:28" ht="12" customHeight="1" x14ac:dyDescent="0.2">
      <c r="A448" s="6112"/>
      <c r="M448" s="2872"/>
      <c r="N448" s="6122"/>
      <c r="O448" s="2901" t="s">
        <v>10058</v>
      </c>
      <c r="P448" s="2879" t="s">
        <v>8285</v>
      </c>
      <c r="Q448" s="2883">
        <v>6</v>
      </c>
      <c r="R448" s="2927">
        <v>9</v>
      </c>
      <c r="S448" s="2883">
        <v>10</v>
      </c>
      <c r="T448" s="2883">
        <v>2</v>
      </c>
      <c r="U448" s="2883">
        <v>4</v>
      </c>
      <c r="V448" s="2883">
        <v>7</v>
      </c>
      <c r="W448" s="2883">
        <v>1</v>
      </c>
      <c r="X448" s="2884" t="str">
        <f>O448&amp;P448</f>
        <v>Armas Físicas De Ki+10</v>
      </c>
      <c r="Z448" s="2872"/>
      <c r="AB448" s="2872"/>
    </row>
    <row r="449" spans="1:28" ht="12" customHeight="1" x14ac:dyDescent="0.2">
      <c r="A449" s="6112"/>
      <c r="M449" s="2872"/>
      <c r="N449" s="6122"/>
      <c r="O449" s="2901" t="s">
        <v>10058</v>
      </c>
      <c r="P449" s="2879" t="s">
        <v>8438</v>
      </c>
      <c r="Q449" s="2883">
        <v>8</v>
      </c>
      <c r="R449" s="2927">
        <v>11</v>
      </c>
      <c r="S449" s="2883">
        <v>15</v>
      </c>
      <c r="T449" s="2883">
        <v>3</v>
      </c>
      <c r="U449" s="2883">
        <v>6</v>
      </c>
      <c r="V449" s="2883">
        <v>11</v>
      </c>
      <c r="W449" s="2883">
        <v>2</v>
      </c>
      <c r="X449" s="2884" t="str">
        <f>O449&amp;P449</f>
        <v>Armas Físicas De Ki+15</v>
      </c>
      <c r="Z449" s="2872"/>
      <c r="AB449" s="2872"/>
    </row>
    <row r="450" spans="1:28" ht="12" customHeight="1" x14ac:dyDescent="0.2">
      <c r="A450" s="6112"/>
      <c r="M450" s="2872"/>
      <c r="N450" s="6122"/>
      <c r="O450" s="2901" t="s">
        <v>10058</v>
      </c>
      <c r="P450" s="2879" t="s">
        <v>3074</v>
      </c>
      <c r="Q450" s="2883">
        <v>10</v>
      </c>
      <c r="R450" s="2927">
        <v>13</v>
      </c>
      <c r="S450" s="2883">
        <v>20</v>
      </c>
      <c r="T450" s="2883">
        <v>4</v>
      </c>
      <c r="U450" s="2883">
        <v>8</v>
      </c>
      <c r="V450" s="2883">
        <v>14</v>
      </c>
      <c r="W450" s="2883">
        <v>3</v>
      </c>
      <c r="X450" s="2884" t="str">
        <f>O450&amp;P450</f>
        <v>Armas Físicas De Ki+20</v>
      </c>
      <c r="Z450" s="2872"/>
      <c r="AB450" s="2872"/>
    </row>
    <row r="451" spans="1:28" ht="12" customHeight="1" x14ac:dyDescent="0.2">
      <c r="A451" s="6112"/>
      <c r="M451" s="2872"/>
      <c r="N451" s="6122"/>
      <c r="O451" s="2901" t="s">
        <v>10058</v>
      </c>
      <c r="P451" s="2879" t="s">
        <v>3719</v>
      </c>
      <c r="Q451" s="2883">
        <v>2</v>
      </c>
      <c r="R451" s="2927">
        <v>2</v>
      </c>
      <c r="S451" s="2883">
        <v>10</v>
      </c>
      <c r="T451" s="2883">
        <v>1</v>
      </c>
      <c r="U451" s="2883">
        <v>2</v>
      </c>
      <c r="V451" s="2883">
        <v>4</v>
      </c>
      <c r="W451" s="2883"/>
      <c r="X451" s="2884" t="str">
        <f>O451&amp;P451</f>
        <v>Armas Físicas De KiArma de Proyectil</v>
      </c>
      <c r="Z451" s="2872"/>
      <c r="AB451" s="2872"/>
    </row>
    <row r="452" spans="1:28" ht="12" customHeight="1" x14ac:dyDescent="0.2">
      <c r="A452" s="6112"/>
      <c r="M452" s="2872"/>
      <c r="N452" s="6122"/>
      <c r="O452" s="2901" t="s">
        <v>10058</v>
      </c>
      <c r="P452" s="2879" t="s">
        <v>3720</v>
      </c>
      <c r="Q452" s="2883">
        <v>1</v>
      </c>
      <c r="R452" s="2927">
        <v>1</v>
      </c>
      <c r="S452" s="2883">
        <v>5</v>
      </c>
      <c r="T452" s="2883">
        <v>1</v>
      </c>
      <c r="U452" s="2883">
        <v>2</v>
      </c>
      <c r="V452" s="2883">
        <v>4</v>
      </c>
      <c r="W452" s="2883"/>
      <c r="X452" s="2884" t="str">
        <f>O452&amp;P452</f>
        <v>Armas Físicas De Ki1 Arma Adicional</v>
      </c>
      <c r="Z452" s="2872"/>
      <c r="AB452" s="2872"/>
    </row>
    <row r="453" spans="1:28" ht="12" customHeight="1" x14ac:dyDescent="0.2">
      <c r="A453" s="6112"/>
      <c r="M453" s="2872"/>
      <c r="N453" s="6122"/>
      <c r="O453" s="2901" t="s">
        <v>10058</v>
      </c>
      <c r="P453" s="2879" t="s">
        <v>3721</v>
      </c>
      <c r="Q453" s="2883">
        <v>2</v>
      </c>
      <c r="R453" s="2927">
        <v>2</v>
      </c>
      <c r="S453" s="2883">
        <v>10</v>
      </c>
      <c r="T453" s="2883">
        <v>2</v>
      </c>
      <c r="U453" s="2883">
        <v>4</v>
      </c>
      <c r="V453" s="2883">
        <v>7</v>
      </c>
      <c r="W453" s="2883"/>
      <c r="X453" s="2884" t="str">
        <f>O453&amp;P453</f>
        <v>Armas Físicas De KiDe 2 a 3 Armas Adicionales</v>
      </c>
      <c r="Z453" s="2872"/>
      <c r="AB453" s="2872"/>
    </row>
    <row r="454" spans="1:28" ht="12" customHeight="1" x14ac:dyDescent="0.2">
      <c r="A454" s="6112"/>
      <c r="M454" s="2872"/>
      <c r="N454" s="6122"/>
      <c r="O454" s="2901" t="s">
        <v>10058</v>
      </c>
      <c r="P454" s="2879" t="s">
        <v>3722</v>
      </c>
      <c r="Q454" s="2883">
        <v>4</v>
      </c>
      <c r="R454" s="2927">
        <v>4</v>
      </c>
      <c r="S454" s="2883">
        <v>15</v>
      </c>
      <c r="T454" s="2883">
        <v>3</v>
      </c>
      <c r="U454" s="2883">
        <v>6</v>
      </c>
      <c r="V454" s="2883">
        <v>11</v>
      </c>
      <c r="W454" s="2883"/>
      <c r="X454" s="2884" t="str">
        <f>O454&amp;P454</f>
        <v>Armas Físicas De KiDe 4 a 10 Armas Adicionales</v>
      </c>
      <c r="Z454" s="2872"/>
      <c r="AB454" s="2872"/>
    </row>
    <row r="455" spans="1:28" ht="12" customHeight="1" x14ac:dyDescent="0.2">
      <c r="A455" s="6112"/>
      <c r="M455" s="2872"/>
      <c r="N455" s="6122"/>
      <c r="O455" s="2901" t="s">
        <v>10058</v>
      </c>
      <c r="P455" s="2879" t="s">
        <v>3723</v>
      </c>
      <c r="Q455" s="2883">
        <v>6</v>
      </c>
      <c r="R455" s="2927">
        <v>6</v>
      </c>
      <c r="S455" s="2883">
        <v>20</v>
      </c>
      <c r="T455" s="2883">
        <v>4</v>
      </c>
      <c r="U455" s="2883">
        <v>8</v>
      </c>
      <c r="V455" s="2883">
        <v>14</v>
      </c>
      <c r="W455" s="2883"/>
      <c r="X455" s="2884" t="str">
        <f>O455&amp;P455</f>
        <v>Armas Físicas De KiArmas Adicionales Ilimitadas</v>
      </c>
      <c r="Z455" s="2872"/>
      <c r="AB455" s="2872"/>
    </row>
    <row r="456" spans="1:28" ht="12" customHeight="1" x14ac:dyDescent="0.2">
      <c r="A456" s="6112"/>
      <c r="M456" s="2872"/>
      <c r="N456" s="6122"/>
      <c r="O456" s="2901" t="s">
        <v>10059</v>
      </c>
      <c r="P456" s="2879" t="s">
        <v>7690</v>
      </c>
      <c r="Q456" s="2883"/>
      <c r="R456" s="2927"/>
      <c r="S456" s="2883"/>
      <c r="T456" s="2883"/>
      <c r="U456" s="2883"/>
      <c r="V456" s="2883"/>
      <c r="W456" s="2883"/>
      <c r="X456" s="2884" t="str">
        <f>O456&amp;P456</f>
        <v>&gt; ATAQUE SOBRENATURAL</v>
      </c>
      <c r="Z456" s="2872"/>
      <c r="AB456" s="2872"/>
    </row>
    <row r="457" spans="1:28" ht="12" customHeight="1" x14ac:dyDescent="0.2">
      <c r="A457" s="6112"/>
      <c r="M457" s="2872"/>
      <c r="N457" s="6122"/>
      <c r="O457" s="2901" t="s">
        <v>3724</v>
      </c>
      <c r="P457" s="2879" t="s">
        <v>7690</v>
      </c>
      <c r="Q457" s="2883">
        <v>5</v>
      </c>
      <c r="R457" s="2927">
        <v>8</v>
      </c>
      <c r="S457" s="2883">
        <v>10</v>
      </c>
      <c r="T457" s="2883">
        <v>1</v>
      </c>
      <c r="U457" s="2883">
        <v>2</v>
      </c>
      <c r="V457" s="2883">
        <v>4</v>
      </c>
      <c r="W457" s="2883">
        <v>1</v>
      </c>
      <c r="X457" s="2884" t="str">
        <f>O457&amp;P457</f>
        <v>Ataque Sobrenatural</v>
      </c>
      <c r="Z457" s="2872"/>
      <c r="AB457" s="2872"/>
    </row>
    <row r="458" spans="1:28" ht="12" customHeight="1" x14ac:dyDescent="0.2">
      <c r="A458" s="6112"/>
      <c r="M458" s="2872"/>
      <c r="N458" s="6122"/>
      <c r="O458" s="2901" t="s">
        <v>10060</v>
      </c>
      <c r="P458" s="2879" t="s">
        <v>7690</v>
      </c>
      <c r="Q458" s="2883"/>
      <c r="R458" s="2927"/>
      <c r="S458" s="2883"/>
      <c r="T458" s="2883"/>
      <c r="U458" s="2883"/>
      <c r="V458" s="2883"/>
      <c r="W458" s="2883"/>
      <c r="X458" s="2884" t="str">
        <f>O458&amp;P458</f>
        <v>&gt; ABSORCIÓN DE KI</v>
      </c>
      <c r="Z458" s="2872"/>
      <c r="AB458" s="2872"/>
    </row>
    <row r="459" spans="1:28" ht="12" customHeight="1" x14ac:dyDescent="0.2">
      <c r="A459" s="6112"/>
      <c r="M459" s="2872"/>
      <c r="N459" s="6122"/>
      <c r="O459" s="2901" t="s">
        <v>10061</v>
      </c>
      <c r="P459" s="2879" t="s">
        <v>10062</v>
      </c>
      <c r="Q459" s="2883">
        <v>1</v>
      </c>
      <c r="R459" s="2927">
        <v>2</v>
      </c>
      <c r="S459" s="2883">
        <v>5</v>
      </c>
      <c r="T459" s="2883">
        <v>1</v>
      </c>
      <c r="U459" s="2883">
        <v>2</v>
      </c>
      <c r="V459" s="2883">
        <v>4</v>
      </c>
      <c r="W459" s="2883">
        <v>1</v>
      </c>
      <c r="X459" s="2884" t="str">
        <f>O459&amp;P459</f>
        <v>Absorción De KiHasta 5 Ki</v>
      </c>
      <c r="Z459" s="2872"/>
      <c r="AB459" s="2872"/>
    </row>
    <row r="460" spans="1:28" ht="12" customHeight="1" x14ac:dyDescent="0.2">
      <c r="A460" s="6112"/>
      <c r="M460" s="2872"/>
      <c r="N460" s="6122"/>
      <c r="O460" s="2901" t="s">
        <v>10061</v>
      </c>
      <c r="P460" s="2879" t="s">
        <v>10063</v>
      </c>
      <c r="Q460" s="2883">
        <v>2</v>
      </c>
      <c r="R460" s="2927">
        <v>4</v>
      </c>
      <c r="S460" s="2883">
        <v>10</v>
      </c>
      <c r="T460" s="2883">
        <v>2</v>
      </c>
      <c r="U460" s="2883">
        <v>4</v>
      </c>
      <c r="V460" s="2883">
        <v>7</v>
      </c>
      <c r="W460" s="2883">
        <v>1</v>
      </c>
      <c r="X460" s="2884" t="str">
        <f>O460&amp;P460</f>
        <v>Absorción De KiHasta 10 Ki</v>
      </c>
      <c r="Z460" s="2872"/>
      <c r="AB460" s="2872"/>
    </row>
    <row r="461" spans="1:28" ht="12" customHeight="1" x14ac:dyDescent="0.2">
      <c r="A461" s="6112"/>
      <c r="M461" s="2872"/>
      <c r="N461" s="6122"/>
      <c r="O461" s="2901" t="s">
        <v>10061</v>
      </c>
      <c r="P461" s="2879" t="s">
        <v>10064</v>
      </c>
      <c r="Q461" s="2883">
        <v>4</v>
      </c>
      <c r="R461" s="2927">
        <v>6</v>
      </c>
      <c r="S461" s="2883">
        <v>15</v>
      </c>
      <c r="T461" s="2883">
        <v>3</v>
      </c>
      <c r="U461" s="2883">
        <v>6</v>
      </c>
      <c r="V461" s="2883">
        <v>11</v>
      </c>
      <c r="W461" s="2883">
        <v>2</v>
      </c>
      <c r="X461" s="2884" t="str">
        <f>O461&amp;P461</f>
        <v>Absorción De KiHasta 15 Ki</v>
      </c>
      <c r="Z461" s="2872"/>
      <c r="AB461" s="2872"/>
    </row>
    <row r="462" spans="1:28" ht="12" customHeight="1" x14ac:dyDescent="0.2">
      <c r="A462" s="6112"/>
      <c r="M462" s="2872"/>
      <c r="N462" s="6122"/>
      <c r="O462" s="2901" t="s">
        <v>10061</v>
      </c>
      <c r="P462" s="2879" t="s">
        <v>10065</v>
      </c>
      <c r="Q462" s="2883">
        <v>6</v>
      </c>
      <c r="R462" s="2927">
        <v>9</v>
      </c>
      <c r="S462" s="2883">
        <v>20</v>
      </c>
      <c r="T462" s="2883">
        <v>4</v>
      </c>
      <c r="U462" s="2883">
        <v>8</v>
      </c>
      <c r="V462" s="2883">
        <v>14</v>
      </c>
      <c r="W462" s="2883">
        <v>2</v>
      </c>
      <c r="X462" s="2884" t="str">
        <f>O462&amp;P462</f>
        <v>Absorción De KiHasta 20 Ki</v>
      </c>
      <c r="Z462" s="2872"/>
      <c r="AB462" s="2872"/>
    </row>
    <row r="463" spans="1:28" ht="12" customHeight="1" x14ac:dyDescent="0.2">
      <c r="A463" s="6112"/>
      <c r="M463" s="2872"/>
      <c r="N463" s="6122"/>
      <c r="O463" s="2901" t="s">
        <v>10061</v>
      </c>
      <c r="P463" s="2879" t="s">
        <v>10066</v>
      </c>
      <c r="Q463" s="2883">
        <v>8</v>
      </c>
      <c r="R463" s="2927">
        <v>11</v>
      </c>
      <c r="S463" s="2883">
        <v>25</v>
      </c>
      <c r="T463" s="2883">
        <v>6</v>
      </c>
      <c r="U463" s="2883">
        <v>12</v>
      </c>
      <c r="V463" s="2883">
        <v>21</v>
      </c>
      <c r="W463" s="2883">
        <v>2</v>
      </c>
      <c r="X463" s="2884" t="str">
        <f>O463&amp;P463</f>
        <v>Absorción De KiHasta 25 Ki</v>
      </c>
      <c r="Z463" s="2872"/>
      <c r="AB463" s="2872"/>
    </row>
    <row r="464" spans="1:28" ht="12" customHeight="1" x14ac:dyDescent="0.2">
      <c r="A464" s="6112"/>
      <c r="M464" s="2872"/>
      <c r="N464" s="6122"/>
      <c r="O464" s="2901" t="s">
        <v>10061</v>
      </c>
      <c r="P464" s="2879" t="s">
        <v>5875</v>
      </c>
      <c r="Q464" s="2883">
        <v>10</v>
      </c>
      <c r="R464" s="2927">
        <v>13</v>
      </c>
      <c r="S464" s="2883">
        <v>30</v>
      </c>
      <c r="T464" s="2883">
        <v>8</v>
      </c>
      <c r="U464" s="2883">
        <v>16</v>
      </c>
      <c r="V464" s="2883">
        <v>28</v>
      </c>
      <c r="W464" s="2883">
        <v>3</v>
      </c>
      <c r="X464" s="2884" t="str">
        <f>O464&amp;P464</f>
        <v>Absorción De KiSin Límite</v>
      </c>
      <c r="Z464" s="2872"/>
      <c r="AB464" s="2872"/>
    </row>
    <row r="465" spans="1:28" ht="12" customHeight="1" x14ac:dyDescent="0.2">
      <c r="A465" s="6112"/>
      <c r="M465" s="2872"/>
      <c r="N465" s="6122"/>
      <c r="O465" s="2901" t="s">
        <v>10067</v>
      </c>
      <c r="P465" s="2879" t="s">
        <v>7690</v>
      </c>
      <c r="Q465" s="2883"/>
      <c r="R465" s="2927"/>
      <c r="S465" s="2883"/>
      <c r="T465" s="2883"/>
      <c r="U465" s="2883"/>
      <c r="V465" s="2883"/>
      <c r="W465" s="2883"/>
      <c r="X465" s="2884" t="str">
        <f>O465&amp;P465</f>
        <v>&gt; APRESAMIENTO</v>
      </c>
      <c r="Z465" s="2872"/>
      <c r="AB465" s="2872"/>
    </row>
    <row r="466" spans="1:28" ht="12" customHeight="1" x14ac:dyDescent="0.2">
      <c r="A466" s="6112"/>
      <c r="M466" s="2872"/>
      <c r="N466" s="6122"/>
      <c r="O466" s="2901" t="s">
        <v>3366</v>
      </c>
      <c r="P466" s="2879" t="s">
        <v>10068</v>
      </c>
      <c r="Q466" s="2883">
        <v>2</v>
      </c>
      <c r="R466" s="2927">
        <v>4</v>
      </c>
      <c r="S466" s="2883">
        <v>5</v>
      </c>
      <c r="T466" s="2883">
        <v>1</v>
      </c>
      <c r="U466" s="2883">
        <v>2</v>
      </c>
      <c r="V466" s="2883">
        <v>4</v>
      </c>
      <c r="W466" s="2883">
        <v>1</v>
      </c>
      <c r="X466" s="2884" t="str">
        <f>O466&amp;P466</f>
        <v>Apresamiento FUE 4</v>
      </c>
      <c r="Z466" s="2872"/>
      <c r="AB466" s="2872"/>
    </row>
    <row r="467" spans="1:28" ht="12" customHeight="1" x14ac:dyDescent="0.2">
      <c r="A467" s="6112"/>
      <c r="M467" s="2872"/>
      <c r="N467" s="6122"/>
      <c r="O467" s="2901" t="s">
        <v>3366</v>
      </c>
      <c r="P467" s="2879" t="s">
        <v>10069</v>
      </c>
      <c r="Q467" s="2883">
        <v>3</v>
      </c>
      <c r="R467" s="2927">
        <v>5</v>
      </c>
      <c r="S467" s="2883">
        <v>10</v>
      </c>
      <c r="T467" s="2883">
        <v>2</v>
      </c>
      <c r="U467" s="2883">
        <v>4</v>
      </c>
      <c r="V467" s="2883">
        <v>7</v>
      </c>
      <c r="W467" s="2883">
        <v>1</v>
      </c>
      <c r="X467" s="2884" t="str">
        <f>O467&amp;P467</f>
        <v>Apresamiento FUE 6</v>
      </c>
      <c r="Z467" s="2872"/>
      <c r="AB467" s="2872"/>
    </row>
    <row r="468" spans="1:28" ht="12" customHeight="1" x14ac:dyDescent="0.2">
      <c r="A468" s="6112"/>
      <c r="M468" s="2872"/>
      <c r="N468" s="6122"/>
      <c r="O468" s="2901" t="s">
        <v>3366</v>
      </c>
      <c r="P468" s="2879" t="s">
        <v>10070</v>
      </c>
      <c r="Q468" s="2883">
        <v>4</v>
      </c>
      <c r="R468" s="2927">
        <v>6</v>
      </c>
      <c r="S468" s="2883">
        <v>10</v>
      </c>
      <c r="T468" s="2883">
        <v>3</v>
      </c>
      <c r="U468" s="2883">
        <v>6</v>
      </c>
      <c r="V468" s="2883">
        <v>11</v>
      </c>
      <c r="W468" s="2883">
        <v>1</v>
      </c>
      <c r="X468" s="2884" t="str">
        <f>O468&amp;P468</f>
        <v>Apresamiento FUE 8</v>
      </c>
      <c r="Z468" s="2872"/>
      <c r="AB468" s="2872"/>
    </row>
    <row r="469" spans="1:28" ht="12" customHeight="1" x14ac:dyDescent="0.2">
      <c r="A469" s="6112"/>
      <c r="M469" s="2872"/>
      <c r="N469" s="6122"/>
      <c r="O469" s="2901" t="s">
        <v>3366</v>
      </c>
      <c r="P469" s="2879" t="s">
        <v>10071</v>
      </c>
      <c r="Q469" s="2883">
        <v>5</v>
      </c>
      <c r="R469" s="2927">
        <v>8</v>
      </c>
      <c r="S469" s="2883">
        <v>15</v>
      </c>
      <c r="T469" s="2883">
        <v>4</v>
      </c>
      <c r="U469" s="2883">
        <v>8</v>
      </c>
      <c r="V469" s="2883">
        <v>14</v>
      </c>
      <c r="W469" s="2883">
        <v>1</v>
      </c>
      <c r="X469" s="2884" t="str">
        <f>O469&amp;P469</f>
        <v>Apresamiento FUE 10</v>
      </c>
      <c r="Z469" s="2872"/>
      <c r="AB469" s="2872"/>
    </row>
    <row r="470" spans="1:28" ht="12" customHeight="1" x14ac:dyDescent="0.2">
      <c r="A470" s="6112"/>
      <c r="M470" s="2872"/>
      <c r="N470" s="6122"/>
      <c r="O470" s="2901" t="s">
        <v>3366</v>
      </c>
      <c r="P470" s="2879" t="s">
        <v>10072</v>
      </c>
      <c r="Q470" s="2883">
        <v>6</v>
      </c>
      <c r="R470" s="2927">
        <v>9</v>
      </c>
      <c r="S470" s="2883">
        <v>20</v>
      </c>
      <c r="T470" s="2883">
        <v>5</v>
      </c>
      <c r="U470" s="2883">
        <v>10</v>
      </c>
      <c r="V470" s="2883">
        <v>18</v>
      </c>
      <c r="W470" s="2883">
        <v>1</v>
      </c>
      <c r="X470" s="2884" t="str">
        <f>O470&amp;P470</f>
        <v>Apresamiento FUE 12</v>
      </c>
      <c r="Z470" s="2872"/>
      <c r="AB470" s="2872"/>
    </row>
    <row r="471" spans="1:28" ht="12" customHeight="1" x14ac:dyDescent="0.2">
      <c r="A471" s="6112"/>
      <c r="M471" s="2872"/>
      <c r="N471" s="6122"/>
      <c r="O471" s="2901" t="s">
        <v>3366</v>
      </c>
      <c r="P471" s="2879" t="s">
        <v>10073</v>
      </c>
      <c r="Q471" s="2883">
        <v>8</v>
      </c>
      <c r="R471" s="2927">
        <v>11</v>
      </c>
      <c r="S471" s="2883">
        <v>25</v>
      </c>
      <c r="T471" s="2883">
        <v>6</v>
      </c>
      <c r="U471" s="2883">
        <v>12</v>
      </c>
      <c r="V471" s="2883">
        <v>21</v>
      </c>
      <c r="W471" s="2883">
        <v>2</v>
      </c>
      <c r="X471" s="2884" t="str">
        <f>O471&amp;P471</f>
        <v>Apresamiento FUE 14</v>
      </c>
      <c r="Z471" s="2872"/>
      <c r="AB471" s="2872"/>
    </row>
    <row r="472" spans="1:28" ht="12" customHeight="1" x14ac:dyDescent="0.2">
      <c r="A472" s="6112"/>
      <c r="M472" s="2872"/>
      <c r="N472" s="6122"/>
      <c r="O472" s="2901" t="s">
        <v>3366</v>
      </c>
      <c r="P472" s="2879" t="s">
        <v>10074</v>
      </c>
      <c r="Q472" s="2883">
        <v>10</v>
      </c>
      <c r="R472" s="2927">
        <v>13</v>
      </c>
      <c r="S472" s="2883">
        <v>30</v>
      </c>
      <c r="T472" s="2883">
        <v>7</v>
      </c>
      <c r="U472" s="2883">
        <v>14</v>
      </c>
      <c r="V472" s="2883">
        <v>25</v>
      </c>
      <c r="W472" s="2883">
        <v>2</v>
      </c>
      <c r="X472" s="2884" t="str">
        <f>O472&amp;P472</f>
        <v>Apresamiento FUE 16</v>
      </c>
      <c r="Z472" s="2872"/>
      <c r="AB472" s="2872"/>
    </row>
    <row r="473" spans="1:28" ht="12" customHeight="1" x14ac:dyDescent="0.2">
      <c r="A473" s="6112"/>
      <c r="C473" s="2892"/>
      <c r="D473" s="2892"/>
      <c r="M473" s="2872"/>
      <c r="N473" s="6122"/>
      <c r="O473" s="2901" t="s">
        <v>3366</v>
      </c>
      <c r="P473" s="2879" t="s">
        <v>10075</v>
      </c>
      <c r="Q473" s="2883">
        <v>14</v>
      </c>
      <c r="R473" s="2927">
        <v>18</v>
      </c>
      <c r="S473" s="2883">
        <v>35</v>
      </c>
      <c r="T473" s="2883">
        <v>8</v>
      </c>
      <c r="U473" s="2883">
        <v>16</v>
      </c>
      <c r="V473" s="2883">
        <v>28</v>
      </c>
      <c r="W473" s="2883">
        <v>3</v>
      </c>
      <c r="X473" s="2884" t="str">
        <f>O473&amp;P473</f>
        <v>Apresamiento FUE 18</v>
      </c>
      <c r="Z473" s="2872"/>
      <c r="AB473" s="2872"/>
    </row>
    <row r="474" spans="1:28" ht="12" customHeight="1" x14ac:dyDescent="0.2">
      <c r="A474" s="6112"/>
      <c r="M474" s="2872"/>
      <c r="N474" s="6122"/>
      <c r="O474" s="2901" t="s">
        <v>3366</v>
      </c>
      <c r="P474" s="2879" t="s">
        <v>10076</v>
      </c>
      <c r="Q474" s="2883">
        <v>18</v>
      </c>
      <c r="R474" s="2927">
        <v>22</v>
      </c>
      <c r="S474" s="2883">
        <v>40</v>
      </c>
      <c r="T474" s="2883">
        <v>10</v>
      </c>
      <c r="U474" s="2883">
        <v>20</v>
      </c>
      <c r="V474" s="2883">
        <v>35</v>
      </c>
      <c r="W474" s="2883">
        <v>3</v>
      </c>
      <c r="X474" s="2884" t="str">
        <f>O474&amp;P474</f>
        <v>Apresamiento FUE 20</v>
      </c>
      <c r="Z474" s="2872"/>
      <c r="AB474" s="2872"/>
    </row>
    <row r="475" spans="1:28" ht="12" customHeight="1" x14ac:dyDescent="0.2">
      <c r="A475" s="6112"/>
      <c r="C475" s="2892"/>
      <c r="D475" s="2892"/>
      <c r="M475" s="2872"/>
      <c r="N475" s="6122"/>
      <c r="O475" s="2901" t="s">
        <v>3366</v>
      </c>
      <c r="P475" s="2879" t="s">
        <v>3725</v>
      </c>
      <c r="Q475" s="2883">
        <v>1</v>
      </c>
      <c r="R475" s="2927">
        <v>1</v>
      </c>
      <c r="S475" s="2883">
        <v>5</v>
      </c>
      <c r="T475" s="2883">
        <v>1</v>
      </c>
      <c r="U475" s="2883">
        <v>2</v>
      </c>
      <c r="V475" s="2883">
        <v>4</v>
      </c>
      <c r="W475" s="2883"/>
      <c r="X475" s="2884" t="str">
        <f>O475&amp;P475</f>
        <v>ApresamientoPresa Existencial</v>
      </c>
      <c r="Z475" s="2872"/>
      <c r="AB475" s="2872"/>
    </row>
    <row r="476" spans="1:28" ht="12" customHeight="1" x14ac:dyDescent="0.2">
      <c r="A476" s="6112"/>
      <c r="M476" s="2872"/>
      <c r="N476" s="6122"/>
      <c r="O476" s="2901" t="s">
        <v>10077</v>
      </c>
      <c r="P476" s="2879" t="s">
        <v>7690</v>
      </c>
      <c r="Q476" s="2883"/>
      <c r="R476" s="2927"/>
      <c r="S476" s="2883"/>
      <c r="T476" s="2883"/>
      <c r="U476" s="2883"/>
      <c r="V476" s="2883"/>
      <c r="W476" s="2883"/>
      <c r="X476" s="2884" t="str">
        <f>O476&amp;P476</f>
        <v>&gt; CHOQUE FÍSICO</v>
      </c>
      <c r="Z476" s="2872"/>
      <c r="AB476" s="2872"/>
    </row>
    <row r="477" spans="1:28" ht="12" customHeight="1" x14ac:dyDescent="0.2">
      <c r="A477" s="6112"/>
      <c r="M477" s="2872"/>
      <c r="N477" s="6122"/>
      <c r="O477" s="2901" t="s">
        <v>3726</v>
      </c>
      <c r="P477" s="2879" t="s">
        <v>7690</v>
      </c>
      <c r="Q477" s="2883">
        <v>1</v>
      </c>
      <c r="R477" s="2927">
        <v>2</v>
      </c>
      <c r="S477" s="2883">
        <v>5</v>
      </c>
      <c r="T477" s="2883">
        <v>1</v>
      </c>
      <c r="U477" s="2883">
        <v>2</v>
      </c>
      <c r="V477" s="2883">
        <v>4</v>
      </c>
      <c r="W477" s="2883">
        <v>1</v>
      </c>
      <c r="X477" s="2884" t="str">
        <f>O477&amp;P477</f>
        <v>Choque Físico</v>
      </c>
      <c r="Z477" s="2872"/>
      <c r="AB477" s="2872"/>
    </row>
    <row r="478" spans="1:28" ht="12" customHeight="1" x14ac:dyDescent="0.2">
      <c r="A478" s="6112"/>
      <c r="M478" s="2872"/>
      <c r="N478" s="6122"/>
      <c r="O478" s="2901" t="s">
        <v>10078</v>
      </c>
      <c r="P478" s="2879" t="s">
        <v>7690</v>
      </c>
      <c r="Q478" s="2883"/>
      <c r="R478" s="2927"/>
      <c r="S478" s="2883"/>
      <c r="T478" s="2883"/>
      <c r="U478" s="2883"/>
      <c r="V478" s="2883"/>
      <c r="W478" s="2883"/>
      <c r="X478" s="2884" t="str">
        <f>O478&amp;P478</f>
        <v>&gt; ACUMULACIÓN</v>
      </c>
      <c r="Z478" s="2872"/>
      <c r="AB478" s="2872"/>
    </row>
    <row r="479" spans="1:28" ht="12" customHeight="1" x14ac:dyDescent="0.2">
      <c r="A479" s="6112"/>
      <c r="M479" s="2872"/>
      <c r="N479" s="6122"/>
      <c r="O479" s="2901" t="s">
        <v>1961</v>
      </c>
      <c r="P479" s="2879" t="s">
        <v>10079</v>
      </c>
      <c r="Q479" s="2883">
        <v>2</v>
      </c>
      <c r="R479" s="2927">
        <v>4</v>
      </c>
      <c r="S479" s="2883">
        <v>5</v>
      </c>
      <c r="T479" s="2883">
        <v>1</v>
      </c>
      <c r="U479" s="2883">
        <v>2</v>
      </c>
      <c r="V479" s="2883">
        <v>4</v>
      </c>
      <c r="W479" s="2883">
        <v>1</v>
      </c>
      <c r="X479" s="2884" t="str">
        <f>O479&amp;P479</f>
        <v>Acumulación100 PV</v>
      </c>
      <c r="Z479" s="2872"/>
      <c r="AB479" s="2872"/>
    </row>
    <row r="480" spans="1:28" ht="12" customHeight="1" x14ac:dyDescent="0.2">
      <c r="A480" s="6112"/>
      <c r="M480" s="2872"/>
      <c r="N480" s="6122"/>
      <c r="O480" s="2901" t="s">
        <v>1961</v>
      </c>
      <c r="P480" s="2879" t="s">
        <v>10080</v>
      </c>
      <c r="Q480" s="2883">
        <v>3</v>
      </c>
      <c r="R480" s="2927">
        <v>5</v>
      </c>
      <c r="S480" s="2883">
        <v>5</v>
      </c>
      <c r="T480" s="2883">
        <v>1</v>
      </c>
      <c r="U480" s="2883">
        <v>2</v>
      </c>
      <c r="V480" s="2883">
        <v>4</v>
      </c>
      <c r="W480" s="2883">
        <v>1</v>
      </c>
      <c r="X480" s="2884" t="str">
        <f>O480&amp;P480</f>
        <v>Acumulación200 PV</v>
      </c>
      <c r="Z480" s="2872"/>
      <c r="AB480" s="2872"/>
    </row>
    <row r="481" spans="1:28" ht="12" customHeight="1" x14ac:dyDescent="0.2">
      <c r="A481" s="6112"/>
      <c r="M481" s="2872"/>
      <c r="N481" s="6122"/>
      <c r="O481" s="2901" t="s">
        <v>1961</v>
      </c>
      <c r="P481" s="2879" t="s">
        <v>10081</v>
      </c>
      <c r="Q481" s="2883">
        <v>4</v>
      </c>
      <c r="R481" s="2927">
        <v>6</v>
      </c>
      <c r="S481" s="2883">
        <v>10</v>
      </c>
      <c r="T481" s="2883">
        <v>2</v>
      </c>
      <c r="U481" s="2883">
        <v>4</v>
      </c>
      <c r="V481" s="2883">
        <v>7</v>
      </c>
      <c r="W481" s="2883">
        <v>1</v>
      </c>
      <c r="X481" s="2884" t="str">
        <f>O481&amp;P481</f>
        <v>Acumulación300 PV</v>
      </c>
      <c r="Z481" s="2872"/>
      <c r="AB481" s="2872"/>
    </row>
    <row r="482" spans="1:28" ht="12" customHeight="1" x14ac:dyDescent="0.2">
      <c r="A482" s="6112"/>
      <c r="M482" s="2872"/>
      <c r="N482" s="6122"/>
      <c r="O482" s="2901" t="s">
        <v>1961</v>
      </c>
      <c r="P482" s="2879" t="s">
        <v>10082</v>
      </c>
      <c r="Q482" s="2883">
        <v>5</v>
      </c>
      <c r="R482" s="2927">
        <v>8</v>
      </c>
      <c r="S482" s="2883">
        <v>15</v>
      </c>
      <c r="T482" s="2883">
        <v>3</v>
      </c>
      <c r="U482" s="2883">
        <v>6</v>
      </c>
      <c r="V482" s="2883">
        <v>11</v>
      </c>
      <c r="W482" s="2883">
        <v>1</v>
      </c>
      <c r="X482" s="2884" t="str">
        <f>O482&amp;P482</f>
        <v>Acumulación400 PV</v>
      </c>
      <c r="Z482" s="2872"/>
      <c r="AB482" s="2872"/>
    </row>
    <row r="483" spans="1:28" ht="12" customHeight="1" x14ac:dyDescent="0.2">
      <c r="A483" s="6112"/>
      <c r="M483" s="2872"/>
      <c r="N483" s="6122"/>
      <c r="O483" s="2901" t="s">
        <v>1961</v>
      </c>
      <c r="P483" s="2879" t="s">
        <v>10083</v>
      </c>
      <c r="Q483" s="2883">
        <v>8</v>
      </c>
      <c r="R483" s="2927">
        <v>11</v>
      </c>
      <c r="S483" s="2883">
        <v>20</v>
      </c>
      <c r="T483" s="2883">
        <v>4</v>
      </c>
      <c r="U483" s="2883">
        <v>8</v>
      </c>
      <c r="V483" s="2883">
        <v>14</v>
      </c>
      <c r="W483" s="2883">
        <v>1</v>
      </c>
      <c r="X483" s="2884" t="str">
        <f>O483&amp;P483</f>
        <v>Acumulación600 PV</v>
      </c>
      <c r="Z483" s="2872"/>
      <c r="AB483" s="2872"/>
    </row>
    <row r="484" spans="1:28" ht="12" customHeight="1" x14ac:dyDescent="0.2">
      <c r="A484" s="6112"/>
      <c r="M484" s="2872"/>
      <c r="N484" s="6122"/>
      <c r="O484" s="2901" t="s">
        <v>1961</v>
      </c>
      <c r="P484" s="2879" t="s">
        <v>10084</v>
      </c>
      <c r="Q484" s="2883">
        <v>12</v>
      </c>
      <c r="R484" s="2927">
        <v>15</v>
      </c>
      <c r="S484" s="2883">
        <v>25</v>
      </c>
      <c r="T484" s="2883">
        <v>5</v>
      </c>
      <c r="U484" s="2883">
        <v>10</v>
      </c>
      <c r="V484" s="2883">
        <v>18</v>
      </c>
      <c r="W484" s="2883">
        <v>1</v>
      </c>
      <c r="X484" s="2884" t="str">
        <f>O484&amp;P484</f>
        <v>Acumulación800 PV</v>
      </c>
      <c r="Z484" s="2872"/>
      <c r="AB484" s="2872"/>
    </row>
    <row r="485" spans="1:28" ht="12" customHeight="1" x14ac:dyDescent="0.2">
      <c r="A485" s="6112"/>
      <c r="M485" s="2872"/>
      <c r="N485" s="6122"/>
      <c r="O485" s="2901" t="s">
        <v>1961</v>
      </c>
      <c r="P485" s="2879" t="s">
        <v>10085</v>
      </c>
      <c r="Q485" s="2883">
        <v>14</v>
      </c>
      <c r="R485" s="2927">
        <v>18</v>
      </c>
      <c r="S485" s="2883">
        <v>30</v>
      </c>
      <c r="T485" s="2883">
        <v>8</v>
      </c>
      <c r="U485" s="2883">
        <v>16</v>
      </c>
      <c r="V485" s="2883">
        <v>28</v>
      </c>
      <c r="W485" s="2883">
        <v>2</v>
      </c>
      <c r="X485" s="2884" t="str">
        <f>O485&amp;P485</f>
        <v>Acumulación1.000 PV</v>
      </c>
      <c r="Z485" s="2872"/>
      <c r="AB485" s="2872"/>
    </row>
    <row r="486" spans="1:28" ht="12" customHeight="1" x14ac:dyDescent="0.2">
      <c r="A486" s="6112"/>
      <c r="M486" s="2872"/>
      <c r="N486" s="6122"/>
      <c r="O486" s="2901" t="s">
        <v>1961</v>
      </c>
      <c r="P486" s="2879" t="s">
        <v>10086</v>
      </c>
      <c r="Q486" s="2883">
        <v>18</v>
      </c>
      <c r="R486" s="2927">
        <v>22</v>
      </c>
      <c r="S486" s="2883">
        <v>35</v>
      </c>
      <c r="T486" s="2883">
        <v>10</v>
      </c>
      <c r="U486" s="2883">
        <v>20</v>
      </c>
      <c r="V486" s="2883">
        <v>35</v>
      </c>
      <c r="W486" s="2883">
        <v>2</v>
      </c>
      <c r="X486" s="2884" t="str">
        <f>O486&amp;P486</f>
        <v>Acumulación1.200 PV</v>
      </c>
      <c r="Z486" s="2872"/>
      <c r="AB486" s="2872"/>
    </row>
    <row r="487" spans="1:28" ht="12" customHeight="1" x14ac:dyDescent="0.2">
      <c r="A487" s="6112"/>
      <c r="M487" s="2872"/>
      <c r="N487" s="6122"/>
      <c r="O487" s="2901" t="s">
        <v>1961</v>
      </c>
      <c r="P487" s="2879" t="s">
        <v>10087</v>
      </c>
      <c r="Q487" s="2883">
        <v>22</v>
      </c>
      <c r="R487" s="2927">
        <v>26</v>
      </c>
      <c r="S487" s="2883">
        <v>40</v>
      </c>
      <c r="T487" s="2883">
        <v>12</v>
      </c>
      <c r="U487" s="2883">
        <v>24</v>
      </c>
      <c r="V487" s="2883">
        <v>42</v>
      </c>
      <c r="W487" s="2883">
        <v>3</v>
      </c>
      <c r="X487" s="2884" t="str">
        <f>O487&amp;P487</f>
        <v>Acumulación1.500 PV</v>
      </c>
      <c r="Z487" s="2872"/>
      <c r="AB487" s="2872"/>
    </row>
    <row r="488" spans="1:28" ht="12" customHeight="1" x14ac:dyDescent="0.2">
      <c r="A488" s="6112"/>
      <c r="M488" s="2872"/>
      <c r="N488" s="6122"/>
      <c r="O488" s="2901" t="s">
        <v>1961</v>
      </c>
      <c r="P488" s="2879" t="s">
        <v>7690</v>
      </c>
      <c r="Q488" s="2883"/>
      <c r="R488" s="2927"/>
      <c r="S488" s="2883"/>
      <c r="T488" s="2883"/>
      <c r="U488" s="2883"/>
      <c r="V488" s="2883"/>
      <c r="W488" s="2883"/>
      <c r="X488" s="2884" t="str">
        <f>O488&amp;P488</f>
        <v>Acumulación</v>
      </c>
      <c r="Z488" s="2872"/>
      <c r="AB488" s="2872"/>
    </row>
    <row r="489" spans="1:28" ht="12" customHeight="1" x14ac:dyDescent="0.2">
      <c r="A489" s="6112"/>
      <c r="M489" s="2872"/>
      <c r="N489" s="6122"/>
      <c r="O489" s="2901" t="s">
        <v>1961</v>
      </c>
      <c r="P489" s="2879" t="s">
        <v>3727</v>
      </c>
      <c r="Q489" s="2883">
        <v>1</v>
      </c>
      <c r="R489" s="2927">
        <v>1</v>
      </c>
      <c r="S489" s="2883">
        <v>5</v>
      </c>
      <c r="T489" s="2883">
        <v>1</v>
      </c>
      <c r="U489" s="2883">
        <v>2</v>
      </c>
      <c r="V489" s="2883">
        <v>4</v>
      </c>
      <c r="W489" s="2883"/>
      <c r="X489" s="2884" t="str">
        <f>O489&amp;P489</f>
        <v>AcumulaciónRegeneración 100</v>
      </c>
      <c r="Z489" s="2872"/>
      <c r="AB489" s="2872"/>
    </row>
    <row r="490" spans="1:28" ht="12" customHeight="1" x14ac:dyDescent="0.2">
      <c r="A490" s="6112"/>
      <c r="M490" s="2872"/>
      <c r="N490" s="6122"/>
      <c r="O490" s="2901" t="s">
        <v>1961</v>
      </c>
      <c r="P490" s="2879" t="s">
        <v>3728</v>
      </c>
      <c r="Q490" s="2883">
        <v>2</v>
      </c>
      <c r="R490" s="2927">
        <v>2</v>
      </c>
      <c r="S490" s="2883">
        <v>10</v>
      </c>
      <c r="T490" s="2883">
        <v>2</v>
      </c>
      <c r="U490" s="2883">
        <v>4</v>
      </c>
      <c r="V490" s="2883">
        <v>7</v>
      </c>
      <c r="W490" s="2883"/>
      <c r="X490" s="2884" t="str">
        <f>O490&amp;P490</f>
        <v>AcumulaciónRegeneración 250</v>
      </c>
      <c r="Z490" s="2872"/>
      <c r="AB490" s="2872"/>
    </row>
    <row r="491" spans="1:28" ht="12" customHeight="1" x14ac:dyDescent="0.2">
      <c r="A491" s="6112"/>
      <c r="M491" s="2872"/>
      <c r="N491" s="6122"/>
      <c r="O491" s="2901" t="s">
        <v>1961</v>
      </c>
      <c r="P491" s="2879" t="s">
        <v>3729</v>
      </c>
      <c r="Q491" s="2883">
        <v>4</v>
      </c>
      <c r="R491" s="2927">
        <v>4</v>
      </c>
      <c r="S491" s="2883">
        <v>15</v>
      </c>
      <c r="T491" s="2883">
        <v>3</v>
      </c>
      <c r="U491" s="2883">
        <v>6</v>
      </c>
      <c r="V491" s="2883">
        <v>11</v>
      </c>
      <c r="W491" s="2883"/>
      <c r="X491" s="2884" t="str">
        <f>O491&amp;P491</f>
        <v>AcumulaciónRegeneración 500</v>
      </c>
      <c r="Z491" s="2872"/>
      <c r="AB491" s="2872"/>
    </row>
    <row r="492" spans="1:28" ht="12" customHeight="1" x14ac:dyDescent="0.2">
      <c r="A492" s="6112"/>
      <c r="M492" s="2872"/>
      <c r="N492" s="6122"/>
      <c r="O492" s="2901" t="s">
        <v>10088</v>
      </c>
      <c r="P492" s="2879" t="s">
        <v>7690</v>
      </c>
      <c r="Q492" s="2883"/>
      <c r="R492" s="2927"/>
      <c r="S492" s="2883"/>
      <c r="T492" s="2883"/>
      <c r="U492" s="2883"/>
      <c r="V492" s="2883"/>
      <c r="W492" s="2883"/>
      <c r="X492" s="2884" t="str">
        <f>O492&amp;P492</f>
        <v>&gt; ESPEJISMO</v>
      </c>
      <c r="Z492" s="2872"/>
      <c r="AB492" s="2872"/>
    </row>
    <row r="493" spans="1:28" ht="12" customHeight="1" x14ac:dyDescent="0.2">
      <c r="A493" s="6112"/>
      <c r="M493" s="2872"/>
      <c r="N493" s="6122"/>
      <c r="O493" s="2901" t="s">
        <v>3378</v>
      </c>
      <c r="P493" s="2879" t="s">
        <v>10089</v>
      </c>
      <c r="Q493" s="2883">
        <v>1</v>
      </c>
      <c r="R493" s="2927">
        <v>2</v>
      </c>
      <c r="S493" s="2883">
        <v>5</v>
      </c>
      <c r="T493" s="2883">
        <v>1</v>
      </c>
      <c r="U493" s="2883">
        <v>2</v>
      </c>
      <c r="V493" s="2883">
        <v>4</v>
      </c>
      <c r="W493" s="2883">
        <v>1</v>
      </c>
      <c r="X493" s="2884" t="str">
        <f>O493&amp;P493</f>
        <v>Espejismo1 Imagen</v>
      </c>
      <c r="Z493" s="2872"/>
      <c r="AB493" s="2872"/>
    </row>
    <row r="494" spans="1:28" ht="12" customHeight="1" x14ac:dyDescent="0.2">
      <c r="A494" s="6112"/>
      <c r="M494" s="2872"/>
      <c r="N494" s="6122"/>
      <c r="O494" s="2901" t="s">
        <v>3378</v>
      </c>
      <c r="P494" s="2879" t="s">
        <v>10090</v>
      </c>
      <c r="Q494" s="2883">
        <v>2</v>
      </c>
      <c r="R494" s="2927">
        <v>4</v>
      </c>
      <c r="S494" s="2883">
        <v>5</v>
      </c>
      <c r="T494" s="2883">
        <v>2</v>
      </c>
      <c r="U494" s="2883">
        <v>4</v>
      </c>
      <c r="V494" s="2883">
        <v>7</v>
      </c>
      <c r="W494" s="2883">
        <v>1</v>
      </c>
      <c r="X494" s="2884" t="str">
        <f>O494&amp;P494</f>
        <v>Espejismo2 Imágenes</v>
      </c>
      <c r="Z494" s="2872"/>
      <c r="AB494" s="2872"/>
    </row>
    <row r="495" spans="1:28" ht="12" customHeight="1" x14ac:dyDescent="0.2">
      <c r="A495" s="6112"/>
      <c r="M495" s="2872"/>
      <c r="N495" s="6122"/>
      <c r="O495" s="2901" t="s">
        <v>3378</v>
      </c>
      <c r="P495" s="2879" t="s">
        <v>10091</v>
      </c>
      <c r="Q495" s="2883">
        <v>4</v>
      </c>
      <c r="R495" s="2927">
        <v>6</v>
      </c>
      <c r="S495" s="2883">
        <v>10</v>
      </c>
      <c r="T495" s="2883">
        <v>3</v>
      </c>
      <c r="U495" s="2883">
        <v>6</v>
      </c>
      <c r="V495" s="2883">
        <v>11</v>
      </c>
      <c r="W495" s="2883">
        <v>1</v>
      </c>
      <c r="X495" s="2884" t="str">
        <f>O495&amp;P495</f>
        <v>Espejismo4 Imágenes</v>
      </c>
      <c r="Z495" s="2872"/>
      <c r="AB495" s="2872"/>
    </row>
    <row r="496" spans="1:28" ht="12" customHeight="1" x14ac:dyDescent="0.2">
      <c r="A496" s="6112"/>
      <c r="M496" s="2872"/>
      <c r="N496" s="6122"/>
      <c r="O496" s="2901" t="s">
        <v>3378</v>
      </c>
      <c r="P496" s="2879" t="s">
        <v>10092</v>
      </c>
      <c r="Q496" s="2883">
        <v>6</v>
      </c>
      <c r="R496" s="2927">
        <v>9</v>
      </c>
      <c r="S496" s="2883">
        <v>10</v>
      </c>
      <c r="T496" s="2883">
        <v>4</v>
      </c>
      <c r="U496" s="2883">
        <v>8</v>
      </c>
      <c r="V496" s="2883">
        <v>14</v>
      </c>
      <c r="W496" s="2883">
        <v>1</v>
      </c>
      <c r="X496" s="2884" t="str">
        <f>O496&amp;P496</f>
        <v>Espejismo6 Imágenes</v>
      </c>
      <c r="Z496" s="2872"/>
      <c r="AB496" s="2872"/>
    </row>
    <row r="497" spans="1:28" ht="12" customHeight="1" x14ac:dyDescent="0.2">
      <c r="A497" s="6112"/>
      <c r="M497" s="2872"/>
      <c r="N497" s="6122"/>
      <c r="O497" s="2901" t="s">
        <v>3378</v>
      </c>
      <c r="P497" s="2879" t="s">
        <v>10093</v>
      </c>
      <c r="Q497" s="2883">
        <v>8</v>
      </c>
      <c r="R497" s="2927">
        <v>11</v>
      </c>
      <c r="S497" s="2883">
        <v>15</v>
      </c>
      <c r="T497" s="2883">
        <v>6</v>
      </c>
      <c r="U497" s="2883">
        <v>12</v>
      </c>
      <c r="V497" s="2883">
        <v>21</v>
      </c>
      <c r="W497" s="2883">
        <v>2</v>
      </c>
      <c r="X497" s="2884" t="str">
        <f>O497&amp;P497</f>
        <v>Espejismo10 Imágenes</v>
      </c>
      <c r="Z497" s="2872"/>
      <c r="AB497" s="2872"/>
    </row>
    <row r="498" spans="1:28" ht="12" customHeight="1" x14ac:dyDescent="0.2">
      <c r="A498" s="6112"/>
      <c r="M498" s="2872"/>
      <c r="N498" s="6122"/>
      <c r="O498" s="2901" t="s">
        <v>3378</v>
      </c>
      <c r="P498" s="2879" t="s">
        <v>10094</v>
      </c>
      <c r="Q498" s="2883">
        <v>10</v>
      </c>
      <c r="R498" s="2927">
        <v>13</v>
      </c>
      <c r="S498" s="2883">
        <v>20</v>
      </c>
      <c r="T498" s="2883">
        <v>8</v>
      </c>
      <c r="U498" s="2883">
        <v>16</v>
      </c>
      <c r="V498" s="2883">
        <v>28</v>
      </c>
      <c r="W498" s="2883">
        <v>2</v>
      </c>
      <c r="X498" s="2884" t="str">
        <f>O498&amp;P498</f>
        <v>Espejismo15 Imágenes</v>
      </c>
      <c r="Z498" s="2872"/>
      <c r="AB498" s="2872"/>
    </row>
    <row r="499" spans="1:28" ht="12" customHeight="1" x14ac:dyDescent="0.2">
      <c r="A499" s="6112"/>
      <c r="C499" s="2892"/>
      <c r="D499" s="2892"/>
      <c r="M499" s="2872"/>
      <c r="N499" s="6122"/>
      <c r="O499" s="2901" t="s">
        <v>3378</v>
      </c>
      <c r="P499" s="2879" t="s">
        <v>10095</v>
      </c>
      <c r="Q499" s="2883">
        <v>12</v>
      </c>
      <c r="R499" s="2927">
        <v>15</v>
      </c>
      <c r="S499" s="2883">
        <v>25</v>
      </c>
      <c r="T499" s="2883">
        <v>10</v>
      </c>
      <c r="U499" s="2883">
        <v>20</v>
      </c>
      <c r="V499" s="2883">
        <v>35</v>
      </c>
      <c r="W499" s="2883">
        <v>2</v>
      </c>
      <c r="X499" s="2884" t="str">
        <f>O499&amp;P499</f>
        <v>Espejismo20 Imágenes</v>
      </c>
      <c r="Z499" s="2872"/>
      <c r="AB499" s="2872"/>
    </row>
    <row r="500" spans="1:28" ht="12" customHeight="1" x14ac:dyDescent="0.2">
      <c r="A500" s="6112"/>
      <c r="M500" s="2872"/>
      <c r="N500" s="6122"/>
      <c r="O500" s="2901" t="s">
        <v>3378</v>
      </c>
      <c r="P500" s="2879" t="s">
        <v>10096</v>
      </c>
      <c r="Q500" s="2883">
        <v>14</v>
      </c>
      <c r="R500" s="2927">
        <v>18</v>
      </c>
      <c r="S500" s="2883">
        <v>30</v>
      </c>
      <c r="T500" s="2883">
        <v>12</v>
      </c>
      <c r="U500" s="2883">
        <v>24</v>
      </c>
      <c r="V500" s="2883">
        <v>42</v>
      </c>
      <c r="W500" s="2883">
        <v>3</v>
      </c>
      <c r="X500" s="2884" t="str">
        <f>O500&amp;P500</f>
        <v>Espejismo25 Imágenes</v>
      </c>
      <c r="Z500" s="2872"/>
      <c r="AB500" s="2872"/>
    </row>
    <row r="501" spans="1:28" ht="12" customHeight="1" x14ac:dyDescent="0.2">
      <c r="A501" s="6112"/>
      <c r="M501" s="2872"/>
      <c r="N501" s="6122"/>
      <c r="O501" s="2901" t="s">
        <v>3378</v>
      </c>
      <c r="P501" s="2879" t="s">
        <v>7690</v>
      </c>
      <c r="Q501" s="2883"/>
      <c r="R501" s="2927"/>
      <c r="S501" s="2883"/>
      <c r="T501" s="2883"/>
      <c r="U501" s="2883"/>
      <c r="V501" s="2883"/>
      <c r="W501" s="2883"/>
      <c r="X501" s="2884" t="str">
        <f>O501&amp;P501</f>
        <v>Espejismo</v>
      </c>
      <c r="Z501" s="2872"/>
      <c r="AB501" s="2872"/>
    </row>
    <row r="502" spans="1:28" ht="12" customHeight="1" x14ac:dyDescent="0.2">
      <c r="A502" s="6112"/>
      <c r="M502" s="2872"/>
      <c r="N502" s="6122"/>
      <c r="O502" s="2901" t="s">
        <v>3378</v>
      </c>
      <c r="P502" s="2879" t="s">
        <v>3730</v>
      </c>
      <c r="Q502" s="2883">
        <v>1</v>
      </c>
      <c r="R502" s="2927">
        <v>1</v>
      </c>
      <c r="S502" s="2883">
        <v>5</v>
      </c>
      <c r="T502" s="2883">
        <v>1</v>
      </c>
      <c r="U502" s="2883">
        <v>2</v>
      </c>
      <c r="V502" s="2883">
        <v>4</v>
      </c>
      <c r="W502" s="2883">
        <v>1</v>
      </c>
      <c r="X502" s="2884" t="str">
        <f>O502&amp;P502</f>
        <v>EspejismoIndetección Media (80)</v>
      </c>
      <c r="Z502" s="2872"/>
      <c r="AB502" s="2872"/>
    </row>
    <row r="503" spans="1:28" ht="12" customHeight="1" x14ac:dyDescent="0.2">
      <c r="A503" s="6112"/>
      <c r="M503" s="2872"/>
      <c r="N503" s="6122"/>
      <c r="O503" s="2901" t="s">
        <v>3378</v>
      </c>
      <c r="P503" s="2879" t="s">
        <v>3731</v>
      </c>
      <c r="Q503" s="2883">
        <v>2</v>
      </c>
      <c r="R503" s="2927">
        <v>2</v>
      </c>
      <c r="S503" s="2883">
        <v>10</v>
      </c>
      <c r="T503" s="2883">
        <v>1</v>
      </c>
      <c r="U503" s="2883">
        <v>2</v>
      </c>
      <c r="V503" s="2883">
        <v>4</v>
      </c>
      <c r="W503" s="2883">
        <v>1</v>
      </c>
      <c r="X503" s="2884" t="str">
        <f>O503&amp;P503</f>
        <v>EspejismoIndetección Difícil (120)</v>
      </c>
      <c r="Z503" s="2872"/>
      <c r="AB503" s="2872"/>
    </row>
    <row r="504" spans="1:28" ht="12" customHeight="1" x14ac:dyDescent="0.2">
      <c r="A504" s="6112"/>
      <c r="M504" s="2872"/>
      <c r="N504" s="6122"/>
      <c r="O504" s="2901" t="s">
        <v>3378</v>
      </c>
      <c r="P504" s="2879" t="s">
        <v>3732</v>
      </c>
      <c r="Q504" s="2883">
        <v>3</v>
      </c>
      <c r="R504" s="2927">
        <v>3</v>
      </c>
      <c r="S504" s="2883">
        <v>10</v>
      </c>
      <c r="T504" s="2883">
        <v>2</v>
      </c>
      <c r="U504" s="2883">
        <v>4</v>
      </c>
      <c r="V504" s="2883">
        <v>7</v>
      </c>
      <c r="W504" s="2883">
        <v>1</v>
      </c>
      <c r="X504" s="2884" t="str">
        <f>O504&amp;P504</f>
        <v>EspejismoIndetección Muy Difícil (140)</v>
      </c>
      <c r="Z504" s="2872"/>
      <c r="AB504" s="2872"/>
    </row>
    <row r="505" spans="1:28" ht="12" customHeight="1" x14ac:dyDescent="0.2">
      <c r="A505" s="6112"/>
      <c r="M505" s="2872"/>
      <c r="N505" s="6122"/>
      <c r="O505" s="2901" t="s">
        <v>3378</v>
      </c>
      <c r="P505" s="2879" t="s">
        <v>3733</v>
      </c>
      <c r="Q505" s="2883">
        <v>4</v>
      </c>
      <c r="R505" s="2927">
        <v>4</v>
      </c>
      <c r="S505" s="2883">
        <v>15</v>
      </c>
      <c r="T505" s="2883">
        <v>2</v>
      </c>
      <c r="U505" s="2883">
        <v>4</v>
      </c>
      <c r="V505" s="2883">
        <v>7</v>
      </c>
      <c r="W505" s="2883">
        <v>1</v>
      </c>
      <c r="X505" s="2884" t="str">
        <f>O505&amp;P505</f>
        <v>EspejismoIndetección Absurdo (180)</v>
      </c>
      <c r="Z505" s="2872"/>
      <c r="AB505" s="2872"/>
    </row>
    <row r="506" spans="1:28" ht="12" customHeight="1" x14ac:dyDescent="0.2">
      <c r="A506" s="6112"/>
      <c r="M506" s="2872"/>
      <c r="N506" s="6122"/>
      <c r="O506" s="2901" t="s">
        <v>3378</v>
      </c>
      <c r="P506" s="2879" t="s">
        <v>3734</v>
      </c>
      <c r="Q506" s="2883">
        <v>5</v>
      </c>
      <c r="R506" s="2927">
        <v>5</v>
      </c>
      <c r="S506" s="2883">
        <v>15</v>
      </c>
      <c r="T506" s="2883">
        <v>3</v>
      </c>
      <c r="U506" s="2883">
        <v>6</v>
      </c>
      <c r="V506" s="2883">
        <v>11</v>
      </c>
      <c r="W506" s="2883">
        <v>1</v>
      </c>
      <c r="X506" s="2884" t="str">
        <f>O506&amp;P506</f>
        <v>EspejismoIndetección Casi Imposible (240)</v>
      </c>
      <c r="Z506" s="2872"/>
      <c r="AB506" s="2872"/>
    </row>
    <row r="507" spans="1:28" ht="12" customHeight="1" x14ac:dyDescent="0.2">
      <c r="A507" s="6112"/>
      <c r="M507" s="2872"/>
      <c r="N507" s="6122"/>
      <c r="O507" s="2901" t="s">
        <v>3378</v>
      </c>
      <c r="P507" s="2879" t="s">
        <v>3735</v>
      </c>
      <c r="Q507" s="2883">
        <v>6</v>
      </c>
      <c r="R507" s="2927">
        <v>6</v>
      </c>
      <c r="S507" s="2883">
        <v>20</v>
      </c>
      <c r="T507" s="2883">
        <v>3</v>
      </c>
      <c r="U507" s="2883">
        <v>6</v>
      </c>
      <c r="V507" s="2883">
        <v>11</v>
      </c>
      <c r="W507" s="2883">
        <v>2</v>
      </c>
      <c r="X507" s="2884" t="str">
        <f>O507&amp;P507</f>
        <v>EspejismoIndetección Imposible (280)</v>
      </c>
      <c r="Z507" s="2872"/>
      <c r="AB507" s="2872"/>
    </row>
    <row r="508" spans="1:28" ht="12" customHeight="1" x14ac:dyDescent="0.2">
      <c r="A508" s="6112"/>
      <c r="M508" s="2872"/>
      <c r="N508" s="6122"/>
      <c r="O508" s="2901" t="s">
        <v>3378</v>
      </c>
      <c r="P508" s="2879" t="s">
        <v>3736</v>
      </c>
      <c r="Q508" s="2883">
        <v>7</v>
      </c>
      <c r="R508" s="2927">
        <v>7</v>
      </c>
      <c r="S508" s="2883">
        <v>20</v>
      </c>
      <c r="T508" s="2883">
        <v>4</v>
      </c>
      <c r="U508" s="2883">
        <v>8</v>
      </c>
      <c r="V508" s="2883">
        <v>14</v>
      </c>
      <c r="W508" s="2883">
        <v>2</v>
      </c>
      <c r="X508" s="2884" t="str">
        <f>O508&amp;P508</f>
        <v>EspejismoIndetección Inhumano (320)</v>
      </c>
      <c r="Z508" s="2872"/>
      <c r="AB508" s="2872"/>
    </row>
    <row r="509" spans="1:28" ht="12" customHeight="1" x14ac:dyDescent="0.2">
      <c r="A509" s="6112"/>
      <c r="M509" s="2872"/>
      <c r="N509" s="6122"/>
      <c r="O509" s="2901" t="s">
        <v>3378</v>
      </c>
      <c r="P509" s="2879" t="s">
        <v>3737</v>
      </c>
      <c r="Q509" s="2883">
        <v>8</v>
      </c>
      <c r="R509" s="2927">
        <v>8</v>
      </c>
      <c r="S509" s="2883">
        <v>30</v>
      </c>
      <c r="T509" s="2883">
        <v>4</v>
      </c>
      <c r="U509" s="2883">
        <v>8</v>
      </c>
      <c r="V509" s="2883">
        <v>14</v>
      </c>
      <c r="W509" s="2883">
        <v>3</v>
      </c>
      <c r="X509" s="2884" t="str">
        <f>O509&amp;P509</f>
        <v>EspejismoIndetección Zen (440)</v>
      </c>
      <c r="Z509" s="2872"/>
      <c r="AB509" s="2872"/>
    </row>
    <row r="510" spans="1:28" ht="12" customHeight="1" x14ac:dyDescent="0.2">
      <c r="A510" s="6112"/>
      <c r="M510" s="2872"/>
      <c r="N510" s="6122"/>
      <c r="O510" s="2901" t="s">
        <v>3378</v>
      </c>
      <c r="P510" s="2879" t="s">
        <v>3738</v>
      </c>
      <c r="Q510" s="2883">
        <v>2</v>
      </c>
      <c r="R510" s="2927">
        <v>2</v>
      </c>
      <c r="S510" s="2883">
        <v>10</v>
      </c>
      <c r="T510" s="2883">
        <v>2</v>
      </c>
      <c r="U510" s="2883">
        <v>4</v>
      </c>
      <c r="V510" s="2883">
        <v>7</v>
      </c>
      <c r="W510" s="2883">
        <v>1</v>
      </c>
      <c r="X510" s="2884" t="str">
        <f>O510&amp;P510</f>
        <v>EspejismoModificación de Aspecto</v>
      </c>
      <c r="Z510" s="2872"/>
      <c r="AB510" s="2872"/>
    </row>
    <row r="511" spans="1:28" ht="12" customHeight="1" x14ac:dyDescent="0.2">
      <c r="A511" s="6112"/>
      <c r="M511" s="2872"/>
      <c r="N511" s="6122"/>
      <c r="O511" s="2901" t="s">
        <v>3378</v>
      </c>
      <c r="P511" s="2879" t="s">
        <v>3739</v>
      </c>
      <c r="Q511" s="2883">
        <v>3</v>
      </c>
      <c r="R511" s="2927">
        <v>3</v>
      </c>
      <c r="S511" s="2883">
        <v>10</v>
      </c>
      <c r="T511" s="2883">
        <v>2</v>
      </c>
      <c r="U511" s="2883">
        <v>4</v>
      </c>
      <c r="V511" s="2883">
        <v>7</v>
      </c>
      <c r="W511" s="2883">
        <v>1</v>
      </c>
      <c r="X511" s="2884" t="str">
        <f>O511&amp;P511</f>
        <v>EspejismoRP 140</v>
      </c>
      <c r="Z511" s="2872"/>
      <c r="AB511" s="2872"/>
    </row>
    <row r="512" spans="1:28" ht="12" customHeight="1" x14ac:dyDescent="0.2">
      <c r="A512" s="6112"/>
      <c r="M512" s="2872"/>
      <c r="N512" s="6122"/>
      <c r="O512" s="2901" t="s">
        <v>3378</v>
      </c>
      <c r="P512" s="2879" t="s">
        <v>3740</v>
      </c>
      <c r="Q512" s="2883">
        <v>4</v>
      </c>
      <c r="R512" s="2927">
        <v>4</v>
      </c>
      <c r="S512" s="2883">
        <v>15</v>
      </c>
      <c r="T512" s="2883">
        <v>3</v>
      </c>
      <c r="U512" s="2883">
        <v>6</v>
      </c>
      <c r="V512" s="2883">
        <v>11</v>
      </c>
      <c r="W512" s="2883">
        <v>1</v>
      </c>
      <c r="X512" s="2884" t="str">
        <f>O512&amp;P512</f>
        <v>EspejismoRP 180</v>
      </c>
      <c r="Z512" s="2872"/>
      <c r="AB512" s="2872"/>
    </row>
    <row r="513" spans="1:28" ht="12" customHeight="1" x14ac:dyDescent="0.2">
      <c r="A513" s="6112"/>
      <c r="C513" s="2892"/>
      <c r="D513" s="2892"/>
      <c r="M513" s="2872"/>
      <c r="N513" s="6122"/>
      <c r="O513" s="2901" t="s">
        <v>3378</v>
      </c>
      <c r="P513" s="2879" t="s">
        <v>3741</v>
      </c>
      <c r="Q513" s="2883">
        <v>6</v>
      </c>
      <c r="R513" s="2927">
        <v>6</v>
      </c>
      <c r="S513" s="2883">
        <v>20</v>
      </c>
      <c r="T513" s="2883">
        <v>4</v>
      </c>
      <c r="U513" s="2883">
        <v>8</v>
      </c>
      <c r="V513" s="2883">
        <v>14</v>
      </c>
      <c r="W513" s="2883">
        <v>1</v>
      </c>
      <c r="X513" s="2884" t="str">
        <f>O513&amp;P513</f>
        <v>EspejismoRP 240</v>
      </c>
      <c r="Z513" s="2872"/>
      <c r="AB513" s="2872"/>
    </row>
    <row r="514" spans="1:28" ht="12" customHeight="1" x14ac:dyDescent="0.2">
      <c r="A514" s="6112"/>
      <c r="M514" s="2872"/>
      <c r="N514" s="6122"/>
      <c r="O514" s="2901" t="s">
        <v>10097</v>
      </c>
      <c r="P514" s="2879" t="s">
        <v>7690</v>
      </c>
      <c r="Q514" s="2883"/>
      <c r="R514" s="2927"/>
      <c r="S514" s="2883"/>
      <c r="T514" s="2883"/>
      <c r="U514" s="2883"/>
      <c r="V514" s="2883"/>
      <c r="W514" s="2883"/>
      <c r="X514" s="2884" t="str">
        <f>O514&amp;P514</f>
        <v>&gt; ESCUDO DE ENERGÍA</v>
      </c>
      <c r="Z514" s="2872"/>
      <c r="AB514" s="2872"/>
    </row>
    <row r="515" spans="1:28" ht="12" customHeight="1" x14ac:dyDescent="0.2">
      <c r="A515" s="6112"/>
      <c r="M515" s="2872"/>
      <c r="N515" s="6122"/>
      <c r="O515" s="2901" t="s">
        <v>10098</v>
      </c>
      <c r="P515" s="2879" t="s">
        <v>10079</v>
      </c>
      <c r="Q515" s="2883">
        <v>2</v>
      </c>
      <c r="R515" s="2927">
        <v>4</v>
      </c>
      <c r="S515" s="2883">
        <v>5</v>
      </c>
      <c r="T515" s="2883">
        <v>1</v>
      </c>
      <c r="U515" s="2883">
        <v>2</v>
      </c>
      <c r="V515" s="2883">
        <v>4</v>
      </c>
      <c r="W515" s="2883">
        <v>1</v>
      </c>
      <c r="X515" s="2884" t="str">
        <f>O515&amp;P515</f>
        <v>Escudo De Energía100 PV</v>
      </c>
      <c r="Z515" s="2872"/>
      <c r="AB515" s="2872"/>
    </row>
    <row r="516" spans="1:28" ht="12" customHeight="1" x14ac:dyDescent="0.2">
      <c r="A516" s="6112"/>
      <c r="M516" s="2872"/>
      <c r="N516" s="6122"/>
      <c r="O516" s="2901" t="s">
        <v>10098</v>
      </c>
      <c r="P516" s="2879" t="s">
        <v>10080</v>
      </c>
      <c r="Q516" s="2883">
        <v>3</v>
      </c>
      <c r="R516" s="2927">
        <v>5</v>
      </c>
      <c r="S516" s="2883">
        <v>5</v>
      </c>
      <c r="T516" s="2883">
        <v>1</v>
      </c>
      <c r="U516" s="2883">
        <v>2</v>
      </c>
      <c r="V516" s="2883">
        <v>4</v>
      </c>
      <c r="W516" s="2883">
        <v>1</v>
      </c>
      <c r="X516" s="2884" t="str">
        <f>O516&amp;P516</f>
        <v>Escudo De Energía200 PV</v>
      </c>
      <c r="Z516" s="2872"/>
      <c r="AB516" s="2872"/>
    </row>
    <row r="517" spans="1:28" ht="12" customHeight="1" x14ac:dyDescent="0.2">
      <c r="A517" s="6112"/>
      <c r="M517" s="2872"/>
      <c r="N517" s="6122"/>
      <c r="O517" s="2901" t="s">
        <v>10098</v>
      </c>
      <c r="P517" s="2879" t="s">
        <v>10081</v>
      </c>
      <c r="Q517" s="2883">
        <v>4</v>
      </c>
      <c r="R517" s="2927">
        <v>6</v>
      </c>
      <c r="S517" s="2883">
        <v>10</v>
      </c>
      <c r="T517" s="2883">
        <v>2</v>
      </c>
      <c r="U517" s="2883">
        <v>4</v>
      </c>
      <c r="V517" s="2883">
        <v>7</v>
      </c>
      <c r="W517" s="2883">
        <v>1</v>
      </c>
      <c r="X517" s="2884" t="str">
        <f>O517&amp;P517</f>
        <v>Escudo De Energía300 PV</v>
      </c>
      <c r="Z517" s="2872"/>
      <c r="AB517" s="2872"/>
    </row>
    <row r="518" spans="1:28" ht="12" customHeight="1" x14ac:dyDescent="0.2">
      <c r="A518" s="6112"/>
      <c r="M518" s="2872"/>
      <c r="N518" s="6122"/>
      <c r="O518" s="2901" t="s">
        <v>10098</v>
      </c>
      <c r="P518" s="2879" t="s">
        <v>10082</v>
      </c>
      <c r="Q518" s="2883">
        <v>5</v>
      </c>
      <c r="R518" s="2927">
        <v>8</v>
      </c>
      <c r="S518" s="2883">
        <v>15</v>
      </c>
      <c r="T518" s="2883">
        <v>3</v>
      </c>
      <c r="U518" s="2883">
        <v>6</v>
      </c>
      <c r="V518" s="2883">
        <v>11</v>
      </c>
      <c r="W518" s="2883">
        <v>1</v>
      </c>
      <c r="X518" s="2884" t="str">
        <f>O518&amp;P518</f>
        <v>Escudo De Energía400 PV</v>
      </c>
      <c r="Z518" s="2872"/>
      <c r="AB518" s="2872"/>
    </row>
    <row r="519" spans="1:28" ht="12" customHeight="1" x14ac:dyDescent="0.2">
      <c r="A519" s="6112"/>
      <c r="M519" s="2872"/>
      <c r="N519" s="6122"/>
      <c r="O519" s="2901" t="s">
        <v>10098</v>
      </c>
      <c r="P519" s="2879" t="s">
        <v>10099</v>
      </c>
      <c r="Q519" s="2883">
        <v>8</v>
      </c>
      <c r="R519" s="2927">
        <v>11</v>
      </c>
      <c r="S519" s="2883">
        <v>20</v>
      </c>
      <c r="T519" s="2883">
        <v>4</v>
      </c>
      <c r="U519" s="2883">
        <v>8</v>
      </c>
      <c r="V519" s="2883">
        <v>14</v>
      </c>
      <c r="W519" s="2883">
        <v>1</v>
      </c>
      <c r="X519" s="2884" t="str">
        <f>O519&amp;P519</f>
        <v>Escudo De Energía500 PV</v>
      </c>
      <c r="Z519" s="2872"/>
      <c r="AB519" s="2872"/>
    </row>
    <row r="520" spans="1:28" ht="12" customHeight="1" x14ac:dyDescent="0.2">
      <c r="A520" s="6112"/>
      <c r="M520" s="2872"/>
      <c r="N520" s="6122"/>
      <c r="O520" s="2901" t="s">
        <v>10098</v>
      </c>
      <c r="P520" s="2879" t="s">
        <v>10084</v>
      </c>
      <c r="Q520" s="2883">
        <v>12</v>
      </c>
      <c r="R520" s="2927">
        <v>15</v>
      </c>
      <c r="S520" s="2883">
        <v>25</v>
      </c>
      <c r="T520" s="2883">
        <v>5</v>
      </c>
      <c r="U520" s="2883">
        <v>10</v>
      </c>
      <c r="V520" s="2883">
        <v>18</v>
      </c>
      <c r="W520" s="2883">
        <v>2</v>
      </c>
      <c r="X520" s="2884" t="str">
        <f>O520&amp;P520</f>
        <v>Escudo De Energía800 PV</v>
      </c>
      <c r="Z520" s="2872"/>
      <c r="AB520" s="2872"/>
    </row>
    <row r="521" spans="1:28" ht="12" customHeight="1" x14ac:dyDescent="0.2">
      <c r="A521" s="6112"/>
      <c r="M521" s="2872"/>
      <c r="N521" s="6122"/>
      <c r="O521" s="2901" t="s">
        <v>10098</v>
      </c>
      <c r="P521" s="2879" t="s">
        <v>10085</v>
      </c>
      <c r="Q521" s="2883">
        <v>14</v>
      </c>
      <c r="R521" s="2927">
        <v>18</v>
      </c>
      <c r="S521" s="2883">
        <v>30</v>
      </c>
      <c r="T521" s="2883">
        <v>8</v>
      </c>
      <c r="U521" s="2883">
        <v>16</v>
      </c>
      <c r="V521" s="2883">
        <v>28</v>
      </c>
      <c r="W521" s="2883">
        <v>2</v>
      </c>
      <c r="X521" s="2884" t="str">
        <f>O521&amp;P521</f>
        <v>Escudo De Energía1.000 PV</v>
      </c>
      <c r="Z521" s="2872"/>
      <c r="AB521" s="2872"/>
    </row>
    <row r="522" spans="1:28" ht="12" customHeight="1" x14ac:dyDescent="0.2">
      <c r="A522" s="6112"/>
      <c r="M522" s="2872"/>
      <c r="N522" s="6122"/>
      <c r="O522" s="2901" t="s">
        <v>10098</v>
      </c>
      <c r="P522" s="2879" t="s">
        <v>10100</v>
      </c>
      <c r="Q522" s="2883">
        <v>18</v>
      </c>
      <c r="R522" s="2927">
        <v>22</v>
      </c>
      <c r="S522" s="2883">
        <v>35</v>
      </c>
      <c r="T522" s="2883">
        <v>10</v>
      </c>
      <c r="U522" s="2883">
        <v>20</v>
      </c>
      <c r="V522" s="2883">
        <v>35</v>
      </c>
      <c r="W522" s="2883">
        <v>2</v>
      </c>
      <c r="X522" s="2884" t="str">
        <f>O522&amp;P522</f>
        <v>Escudo De Energía1.250 PV</v>
      </c>
      <c r="Z522" s="2872"/>
      <c r="AB522" s="2872"/>
    </row>
    <row r="523" spans="1:28" ht="12" customHeight="1" x14ac:dyDescent="0.2">
      <c r="A523" s="6112"/>
      <c r="M523" s="2872"/>
      <c r="N523" s="6122"/>
      <c r="O523" s="2901" t="s">
        <v>10098</v>
      </c>
      <c r="P523" s="2879" t="s">
        <v>10087</v>
      </c>
      <c r="Q523" s="2883">
        <v>22</v>
      </c>
      <c r="R523" s="2927">
        <v>26</v>
      </c>
      <c r="S523" s="2883">
        <v>40</v>
      </c>
      <c r="T523" s="2883">
        <v>12</v>
      </c>
      <c r="U523" s="2883">
        <v>24</v>
      </c>
      <c r="V523" s="2883">
        <v>42</v>
      </c>
      <c r="W523" s="2883">
        <v>3</v>
      </c>
      <c r="X523" s="2884" t="str">
        <f>O523&amp;P523</f>
        <v>Escudo De Energía1.500 PV</v>
      </c>
      <c r="Z523" s="2872"/>
      <c r="AB523" s="2872"/>
    </row>
    <row r="524" spans="1:28" ht="12" customHeight="1" x14ac:dyDescent="0.2">
      <c r="A524" s="6112"/>
      <c r="M524" s="2872"/>
      <c r="N524" s="6122"/>
      <c r="O524" s="2901" t="s">
        <v>10098</v>
      </c>
      <c r="P524" s="2879" t="s">
        <v>10101</v>
      </c>
      <c r="Q524" s="2883">
        <v>26</v>
      </c>
      <c r="R524" s="2927">
        <v>32</v>
      </c>
      <c r="S524" s="2883">
        <v>45</v>
      </c>
      <c r="T524" s="2883">
        <v>14</v>
      </c>
      <c r="U524" s="2883">
        <v>28</v>
      </c>
      <c r="V524" s="2883">
        <v>49</v>
      </c>
      <c r="W524" s="2883">
        <v>3</v>
      </c>
      <c r="X524" s="2884" t="str">
        <f>O524&amp;P524</f>
        <v>Escudo De Energía2.000 PV</v>
      </c>
      <c r="Z524" s="2872"/>
      <c r="AB524" s="2872"/>
    </row>
    <row r="525" spans="1:28" ht="12" customHeight="1" x14ac:dyDescent="0.2">
      <c r="A525" s="6112"/>
      <c r="M525" s="2872"/>
      <c r="N525" s="6122"/>
      <c r="O525" s="2901" t="s">
        <v>10098</v>
      </c>
      <c r="P525" s="2879" t="s">
        <v>3727</v>
      </c>
      <c r="Q525" s="2883">
        <v>1</v>
      </c>
      <c r="R525" s="2927">
        <v>1</v>
      </c>
      <c r="S525" s="2883">
        <v>5</v>
      </c>
      <c r="T525" s="2883">
        <v>1</v>
      </c>
      <c r="U525" s="2883">
        <v>2</v>
      </c>
      <c r="V525" s="2883">
        <v>4</v>
      </c>
      <c r="W525" s="2883"/>
      <c r="X525" s="2884" t="str">
        <f>O525&amp;P525</f>
        <v>Escudo De EnergíaRegeneración 100</v>
      </c>
      <c r="Z525" s="2872"/>
      <c r="AB525" s="2872"/>
    </row>
    <row r="526" spans="1:28" ht="12" customHeight="1" x14ac:dyDescent="0.2">
      <c r="A526" s="6112"/>
      <c r="M526" s="2872"/>
      <c r="N526" s="6122"/>
      <c r="O526" s="2901" t="s">
        <v>10098</v>
      </c>
      <c r="P526" s="2879" t="s">
        <v>3728</v>
      </c>
      <c r="Q526" s="2883">
        <v>2</v>
      </c>
      <c r="R526" s="2927">
        <v>2</v>
      </c>
      <c r="S526" s="2883">
        <v>10</v>
      </c>
      <c r="T526" s="2883">
        <v>2</v>
      </c>
      <c r="U526" s="2883">
        <v>4</v>
      </c>
      <c r="V526" s="2883">
        <v>7</v>
      </c>
      <c r="W526" s="2883"/>
      <c r="X526" s="2884" t="str">
        <f>O526&amp;P526</f>
        <v>Escudo De EnergíaRegeneración 250</v>
      </c>
      <c r="Z526" s="2872"/>
      <c r="AB526" s="2872"/>
    </row>
    <row r="527" spans="1:28" ht="12" customHeight="1" x14ac:dyDescent="0.2">
      <c r="A527" s="6112"/>
      <c r="M527" s="2872"/>
      <c r="N527" s="6122"/>
      <c r="O527" s="2901" t="s">
        <v>10098</v>
      </c>
      <c r="P527" s="2879" t="s">
        <v>3729</v>
      </c>
      <c r="Q527" s="2883">
        <v>4</v>
      </c>
      <c r="R527" s="2927">
        <v>4</v>
      </c>
      <c r="S527" s="2883">
        <v>15</v>
      </c>
      <c r="T527" s="2883">
        <v>3</v>
      </c>
      <c r="U527" s="2883">
        <v>6</v>
      </c>
      <c r="V527" s="2883">
        <v>11</v>
      </c>
      <c r="W527" s="2883"/>
      <c r="X527" s="2884" t="str">
        <f>O527&amp;P527</f>
        <v>Escudo De EnergíaRegeneración 500</v>
      </c>
      <c r="Z527" s="2872"/>
      <c r="AB527" s="2872"/>
    </row>
    <row r="528" spans="1:28" ht="12" customHeight="1" x14ac:dyDescent="0.2">
      <c r="A528" s="6112"/>
      <c r="M528" s="2872"/>
      <c r="N528" s="6122"/>
      <c r="O528" s="2901" t="s">
        <v>10102</v>
      </c>
      <c r="P528" s="2879" t="s">
        <v>7690</v>
      </c>
      <c r="Q528" s="2883"/>
      <c r="R528" s="2927"/>
      <c r="S528" s="2883"/>
      <c r="T528" s="2883"/>
      <c r="U528" s="2883"/>
      <c r="V528" s="2883"/>
      <c r="W528" s="2883"/>
      <c r="X528" s="2884" t="str">
        <f>O528&amp;P528</f>
        <v>&gt; ESTADOS SOBRENATURALES</v>
      </c>
      <c r="Z528" s="2872"/>
      <c r="AB528" s="2872"/>
    </row>
    <row r="529" spans="1:28" ht="12" customHeight="1" x14ac:dyDescent="0.2">
      <c r="A529" s="6112"/>
      <c r="M529" s="2872"/>
      <c r="N529" s="6122"/>
      <c r="O529" s="2901" t="s">
        <v>9820</v>
      </c>
      <c r="P529" s="2879" t="s">
        <v>10103</v>
      </c>
      <c r="Q529" s="2883">
        <v>1</v>
      </c>
      <c r="R529" s="2927">
        <v>2</v>
      </c>
      <c r="S529" s="2883">
        <v>5</v>
      </c>
      <c r="T529" s="2883">
        <v>1</v>
      </c>
      <c r="U529" s="2883">
        <v>2</v>
      </c>
      <c r="V529" s="2883">
        <v>4</v>
      </c>
      <c r="W529" s="2883">
        <v>1</v>
      </c>
      <c r="X529" s="2884" t="str">
        <f>O529&amp;P529</f>
        <v>Estados SobrenaturalesRF 40</v>
      </c>
      <c r="Z529" s="2872"/>
      <c r="AB529" s="2872"/>
    </row>
    <row r="530" spans="1:28" ht="12" customHeight="1" x14ac:dyDescent="0.2">
      <c r="A530" s="6112"/>
      <c r="M530" s="2872"/>
      <c r="N530" s="6122"/>
      <c r="O530" s="2901" t="s">
        <v>9820</v>
      </c>
      <c r="P530" s="2879" t="s">
        <v>10104</v>
      </c>
      <c r="Q530" s="2883">
        <v>2</v>
      </c>
      <c r="R530" s="2927">
        <v>4</v>
      </c>
      <c r="S530" s="2883">
        <v>5</v>
      </c>
      <c r="T530" s="2883">
        <v>1</v>
      </c>
      <c r="U530" s="2883">
        <v>2</v>
      </c>
      <c r="V530" s="2883">
        <v>4</v>
      </c>
      <c r="W530" s="2883">
        <v>1</v>
      </c>
      <c r="X530" s="2884" t="str">
        <f>O530&amp;P530</f>
        <v>Estados SobrenaturalesRF 60</v>
      </c>
      <c r="Z530" s="2872"/>
      <c r="AB530" s="2872"/>
    </row>
    <row r="531" spans="1:28" ht="12" customHeight="1" x14ac:dyDescent="0.2">
      <c r="A531" s="6112"/>
      <c r="M531" s="2872"/>
      <c r="N531" s="6122"/>
      <c r="O531" s="2901" t="s">
        <v>9820</v>
      </c>
      <c r="P531" s="2879" t="s">
        <v>10105</v>
      </c>
      <c r="Q531" s="2883">
        <v>3</v>
      </c>
      <c r="R531" s="2927">
        <v>5</v>
      </c>
      <c r="S531" s="2883">
        <v>10</v>
      </c>
      <c r="T531" s="2883">
        <v>2</v>
      </c>
      <c r="U531" s="2883">
        <v>4</v>
      </c>
      <c r="V531" s="2883">
        <v>7</v>
      </c>
      <c r="W531" s="2883">
        <v>1</v>
      </c>
      <c r="X531" s="2884" t="str">
        <f>O531&amp;P531</f>
        <v>Estados SobrenaturalesRF 80</v>
      </c>
      <c r="Z531" s="2872"/>
      <c r="AB531" s="2872"/>
    </row>
    <row r="532" spans="1:28" ht="12" customHeight="1" x14ac:dyDescent="0.2">
      <c r="A532" s="6112"/>
      <c r="M532" s="2872"/>
      <c r="N532" s="6122"/>
      <c r="O532" s="2901" t="s">
        <v>9820</v>
      </c>
      <c r="P532" s="2879" t="s">
        <v>10106</v>
      </c>
      <c r="Q532" s="2883">
        <v>5</v>
      </c>
      <c r="R532" s="2927">
        <v>8</v>
      </c>
      <c r="S532" s="2883">
        <v>15</v>
      </c>
      <c r="T532" s="2883">
        <v>3</v>
      </c>
      <c r="U532" s="2883">
        <v>6</v>
      </c>
      <c r="V532" s="2883">
        <v>11</v>
      </c>
      <c r="W532" s="2883">
        <v>1</v>
      </c>
      <c r="X532" s="2884" t="str">
        <f>O532&amp;P532</f>
        <v>Estados SobrenaturalesRF 100</v>
      </c>
      <c r="Z532" s="2872"/>
      <c r="AB532" s="2872"/>
    </row>
    <row r="533" spans="1:28" ht="12" customHeight="1" x14ac:dyDescent="0.2">
      <c r="A533" s="6112"/>
      <c r="M533" s="2872"/>
      <c r="N533" s="6122"/>
      <c r="O533" s="2901" t="s">
        <v>9820</v>
      </c>
      <c r="P533" s="2879" t="s">
        <v>10107</v>
      </c>
      <c r="Q533" s="2883">
        <v>6</v>
      </c>
      <c r="R533" s="2927">
        <v>9</v>
      </c>
      <c r="S533" s="2883">
        <v>20</v>
      </c>
      <c r="T533" s="2883">
        <v>4</v>
      </c>
      <c r="U533" s="2883">
        <v>8</v>
      </c>
      <c r="V533" s="2883">
        <v>14</v>
      </c>
      <c r="W533" s="2883">
        <v>1</v>
      </c>
      <c r="X533" s="2884" t="str">
        <f>O533&amp;P533</f>
        <v>Estados SobrenaturalesRF 120</v>
      </c>
      <c r="Z533" s="2872"/>
      <c r="AB533" s="2872"/>
    </row>
    <row r="534" spans="1:28" ht="12" customHeight="1" x14ac:dyDescent="0.2">
      <c r="A534" s="6112"/>
      <c r="M534" s="2872"/>
      <c r="N534" s="6122"/>
      <c r="O534" s="2901" t="s">
        <v>9820</v>
      </c>
      <c r="P534" s="2879" t="s">
        <v>10108</v>
      </c>
      <c r="Q534" s="2883">
        <v>8</v>
      </c>
      <c r="R534" s="2927">
        <v>11</v>
      </c>
      <c r="S534" s="2883">
        <v>20</v>
      </c>
      <c r="T534" s="2883">
        <v>5</v>
      </c>
      <c r="U534" s="2883">
        <v>10</v>
      </c>
      <c r="V534" s="2883">
        <v>18</v>
      </c>
      <c r="W534" s="2883">
        <v>2</v>
      </c>
      <c r="X534" s="2884" t="str">
        <f>O534&amp;P534</f>
        <v>Estados SobrenaturalesRF 140</v>
      </c>
      <c r="Z534" s="2872"/>
      <c r="AB534" s="2872"/>
    </row>
    <row r="535" spans="1:28" ht="12" customHeight="1" x14ac:dyDescent="0.2">
      <c r="A535" s="6112"/>
      <c r="C535" s="2892"/>
      <c r="D535" s="2892"/>
      <c r="M535" s="2872"/>
      <c r="N535" s="6122"/>
      <c r="O535" s="2901" t="s">
        <v>9820</v>
      </c>
      <c r="P535" s="2879" t="s">
        <v>10109</v>
      </c>
      <c r="Q535" s="2883">
        <v>14</v>
      </c>
      <c r="R535" s="2927">
        <v>18</v>
      </c>
      <c r="S535" s="2883">
        <v>35</v>
      </c>
      <c r="T535" s="2883">
        <v>6</v>
      </c>
      <c r="U535" s="2883">
        <v>12</v>
      </c>
      <c r="V535" s="2883">
        <v>21</v>
      </c>
      <c r="W535" s="2883">
        <v>2</v>
      </c>
      <c r="X535" s="2884" t="str">
        <f>O535&amp;P535</f>
        <v>Estados SobrenaturalesRF 160</v>
      </c>
      <c r="Z535" s="2872"/>
      <c r="AB535" s="2872"/>
    </row>
    <row r="536" spans="1:28" ht="12" customHeight="1" x14ac:dyDescent="0.2">
      <c r="A536" s="6112"/>
      <c r="M536" s="2872"/>
      <c r="N536" s="6122"/>
      <c r="O536" s="2901" t="s">
        <v>9820</v>
      </c>
      <c r="P536" s="2879" t="s">
        <v>10110</v>
      </c>
      <c r="Q536" s="2883">
        <v>20</v>
      </c>
      <c r="R536" s="2927">
        <v>24</v>
      </c>
      <c r="S536" s="2883">
        <v>50</v>
      </c>
      <c r="T536" s="2883">
        <v>8</v>
      </c>
      <c r="U536" s="2883">
        <v>16</v>
      </c>
      <c r="V536" s="2883">
        <v>28</v>
      </c>
      <c r="W536" s="2883">
        <v>3</v>
      </c>
      <c r="X536" s="2884" t="str">
        <f>O536&amp;P536</f>
        <v>Estados SobrenaturalesRF 180</v>
      </c>
      <c r="Z536" s="2872"/>
      <c r="AB536" s="2872"/>
    </row>
    <row r="537" spans="1:28" ht="12" customHeight="1" x14ac:dyDescent="0.2">
      <c r="A537" s="6112"/>
      <c r="C537" s="2892"/>
      <c r="D537" s="2892"/>
      <c r="M537" s="2872"/>
      <c r="N537" s="6122"/>
      <c r="O537" s="2901" t="s">
        <v>9820</v>
      </c>
      <c r="P537" s="2879" t="s">
        <v>10111</v>
      </c>
      <c r="Q537" s="2883">
        <v>28</v>
      </c>
      <c r="R537" s="2927">
        <v>32</v>
      </c>
      <c r="S537" s="2883">
        <v>80</v>
      </c>
      <c r="T537" s="2883">
        <v>10</v>
      </c>
      <c r="U537" s="2883">
        <v>20</v>
      </c>
      <c r="V537" s="2883">
        <v>35</v>
      </c>
      <c r="W537" s="2883">
        <v>3</v>
      </c>
      <c r="X537" s="2884" t="str">
        <f>O537&amp;P537</f>
        <v>Estados SobrenaturalesRF 200</v>
      </c>
      <c r="Z537" s="2872"/>
      <c r="AB537" s="2872"/>
    </row>
    <row r="538" spans="1:28" ht="12" customHeight="1" x14ac:dyDescent="0.2">
      <c r="A538" s="6112"/>
      <c r="M538" s="2872"/>
      <c r="N538" s="6122"/>
      <c r="O538" s="2901" t="s">
        <v>9820</v>
      </c>
      <c r="P538" s="2879" t="s">
        <v>9318</v>
      </c>
      <c r="Q538" s="2883">
        <v>6</v>
      </c>
      <c r="R538" s="2927">
        <v>6</v>
      </c>
      <c r="S538" s="2883">
        <v>15</v>
      </c>
      <c r="T538" s="2883"/>
      <c r="U538" s="2883"/>
      <c r="V538" s="2883"/>
      <c r="W538" s="2883">
        <v>1</v>
      </c>
      <c r="X538" s="2884" t="str">
        <f>O538&amp;P538</f>
        <v>Estados SobrenaturalesEstado añadido: Ceguera</v>
      </c>
      <c r="Z538" s="2872"/>
      <c r="AB538" s="2872"/>
    </row>
    <row r="539" spans="1:28" ht="12" customHeight="1" x14ac:dyDescent="0.2">
      <c r="A539" s="6112"/>
      <c r="M539" s="2872"/>
      <c r="N539" s="6122"/>
      <c r="O539" s="2901" t="s">
        <v>9820</v>
      </c>
      <c r="P539" s="2879" t="s">
        <v>9319</v>
      </c>
      <c r="Q539" s="2883">
        <v>14</v>
      </c>
      <c r="R539" s="2927">
        <v>14</v>
      </c>
      <c r="S539" s="2883">
        <v>40</v>
      </c>
      <c r="T539" s="2883"/>
      <c r="U539" s="2883"/>
      <c r="V539" s="2883"/>
      <c r="W539" s="2883">
        <v>2</v>
      </c>
      <c r="X539" s="2884" t="str">
        <f>O539&amp;P539</f>
        <v>Estados SobrenaturalesEstado añadido: Coma</v>
      </c>
      <c r="Z539" s="2872"/>
      <c r="AB539" s="2872"/>
    </row>
    <row r="540" spans="1:28" ht="12" customHeight="1" x14ac:dyDescent="0.2">
      <c r="A540" s="6112"/>
      <c r="M540" s="2872"/>
      <c r="N540" s="6122"/>
      <c r="O540" s="2901" t="s">
        <v>9820</v>
      </c>
      <c r="P540" s="2879" t="s">
        <v>9320</v>
      </c>
      <c r="Q540" s="2883">
        <v>14</v>
      </c>
      <c r="R540" s="2927">
        <v>14</v>
      </c>
      <c r="S540" s="2883">
        <v>40</v>
      </c>
      <c r="T540" s="2883"/>
      <c r="U540" s="2883"/>
      <c r="V540" s="2883"/>
      <c r="W540" s="2883">
        <v>2</v>
      </c>
      <c r="X540" s="2884" t="str">
        <f>O540&amp;P540</f>
        <v>Estados SobrenaturalesEstado añadido: Control</v>
      </c>
      <c r="Z540" s="2872"/>
      <c r="AB540" s="2872"/>
    </row>
    <row r="541" spans="1:28" ht="12" customHeight="1" x14ac:dyDescent="0.2">
      <c r="A541" s="6112"/>
      <c r="M541" s="2872"/>
      <c r="N541" s="6122"/>
      <c r="O541" s="2901" t="s">
        <v>9820</v>
      </c>
      <c r="P541" s="2879" t="s">
        <v>9321</v>
      </c>
      <c r="Q541" s="2883">
        <v>1</v>
      </c>
      <c r="R541" s="2927">
        <v>1</v>
      </c>
      <c r="S541" s="2883">
        <v>5</v>
      </c>
      <c r="T541" s="2883"/>
      <c r="U541" s="2883"/>
      <c r="V541" s="2883"/>
      <c r="W541" s="2883">
        <v>1</v>
      </c>
      <c r="X541" s="2884" t="str">
        <f>O541&amp;P541</f>
        <v>Estados SobrenaturalesEstado añadido: Daño</v>
      </c>
      <c r="Z541" s="2872"/>
      <c r="AB541" s="2872"/>
    </row>
    <row r="542" spans="1:28" ht="12" customHeight="1" x14ac:dyDescent="0.2">
      <c r="A542" s="6112"/>
      <c r="M542" s="2872"/>
      <c r="N542" s="6122"/>
      <c r="O542" s="2901" t="s">
        <v>9820</v>
      </c>
      <c r="P542" s="2879" t="s">
        <v>9322</v>
      </c>
      <c r="Q542" s="2883">
        <v>5</v>
      </c>
      <c r="R542" s="2927">
        <v>5</v>
      </c>
      <c r="S542" s="2883">
        <v>10</v>
      </c>
      <c r="T542" s="2883"/>
      <c r="U542" s="2883"/>
      <c r="V542" s="2883"/>
      <c r="W542" s="2883">
        <v>1</v>
      </c>
      <c r="X542" s="2884" t="str">
        <f>O542&amp;P542</f>
        <v>Estados SobrenaturalesEstado añadido: Doble Daño</v>
      </c>
      <c r="Z542" s="2872"/>
      <c r="AB542" s="2872"/>
    </row>
    <row r="543" spans="1:28" ht="12" customHeight="1" x14ac:dyDescent="0.2">
      <c r="A543" s="6112"/>
      <c r="M543" s="2872"/>
      <c r="N543" s="6122"/>
      <c r="O543" s="2901" t="s">
        <v>9820</v>
      </c>
      <c r="P543" s="2879" t="s">
        <v>9323</v>
      </c>
      <c r="Q543" s="2883">
        <v>3</v>
      </c>
      <c r="R543" s="2927">
        <v>3</v>
      </c>
      <c r="S543" s="2883">
        <v>10</v>
      </c>
      <c r="T543" s="2883"/>
      <c r="U543" s="2883"/>
      <c r="V543" s="2883"/>
      <c r="W543" s="2883">
        <v>1</v>
      </c>
      <c r="X543" s="2884" t="str">
        <f>O543&amp;P543</f>
        <v>Estados SobrenaturalesEstado añadido: Dolor</v>
      </c>
      <c r="Z543" s="2872"/>
      <c r="AB543" s="2872"/>
    </row>
    <row r="544" spans="1:28" ht="12" customHeight="1" x14ac:dyDescent="0.2">
      <c r="A544" s="6112"/>
      <c r="M544" s="2872"/>
      <c r="N544" s="6122"/>
      <c r="O544" s="2901" t="s">
        <v>9820</v>
      </c>
      <c r="P544" s="2879" t="s">
        <v>9324</v>
      </c>
      <c r="Q544" s="2883">
        <v>6</v>
      </c>
      <c r="R544" s="2927">
        <v>6</v>
      </c>
      <c r="S544" s="2883">
        <v>15</v>
      </c>
      <c r="T544" s="2883"/>
      <c r="U544" s="2883"/>
      <c r="V544" s="2883"/>
      <c r="W544" s="2883">
        <v>1</v>
      </c>
      <c r="X544" s="2884" t="str">
        <f>O544&amp;P544</f>
        <v>Estados SobrenaturalesEstado añadido: Dolor Extremo</v>
      </c>
      <c r="Z544" s="2872"/>
      <c r="AB544" s="2872"/>
    </row>
    <row r="545" spans="1:28" ht="12" customHeight="1" x14ac:dyDescent="0.2">
      <c r="A545" s="6112"/>
      <c r="M545" s="2872"/>
      <c r="N545" s="6122"/>
      <c r="O545" s="2901" t="s">
        <v>9820</v>
      </c>
      <c r="P545" s="2879" t="s">
        <v>9325</v>
      </c>
      <c r="Q545" s="2883">
        <v>8</v>
      </c>
      <c r="R545" s="2927">
        <v>8</v>
      </c>
      <c r="S545" s="2883">
        <v>15</v>
      </c>
      <c r="T545" s="2883"/>
      <c r="U545" s="2883"/>
      <c r="V545" s="2883"/>
      <c r="W545" s="2883">
        <v>2</v>
      </c>
      <c r="X545" s="2884" t="str">
        <f>O545&amp;P545</f>
        <v>Estados SobrenaturalesEstado añadido: Drenaje de Vida</v>
      </c>
      <c r="Z545" s="2872"/>
      <c r="AB545" s="2872"/>
    </row>
    <row r="546" spans="1:28" ht="12" customHeight="1" x14ac:dyDescent="0.2">
      <c r="A546" s="6112"/>
      <c r="M546" s="2872"/>
      <c r="N546" s="6122"/>
      <c r="O546" s="2901" t="s">
        <v>9820</v>
      </c>
      <c r="P546" s="2879" t="s">
        <v>9326</v>
      </c>
      <c r="Q546" s="2883">
        <v>8</v>
      </c>
      <c r="R546" s="2927">
        <v>8</v>
      </c>
      <c r="S546" s="2883">
        <v>20</v>
      </c>
      <c r="T546" s="2883"/>
      <c r="U546" s="2883"/>
      <c r="V546" s="2883"/>
      <c r="W546" s="2883">
        <v>1</v>
      </c>
      <c r="X546" s="2884" t="str">
        <f>O546&amp;P546</f>
        <v>Estados SobrenaturalesEstado añadido: Drenaje de Ki</v>
      </c>
      <c r="Z546" s="2872"/>
      <c r="AB546" s="2872"/>
    </row>
    <row r="547" spans="1:28" ht="12" customHeight="1" x14ac:dyDescent="0.2">
      <c r="A547" s="6112"/>
      <c r="M547" s="2872"/>
      <c r="N547" s="6122"/>
      <c r="O547" s="2901" t="s">
        <v>9820</v>
      </c>
      <c r="P547" s="2879" t="s">
        <v>9327</v>
      </c>
      <c r="Q547" s="2883">
        <v>6</v>
      </c>
      <c r="R547" s="2927">
        <v>6</v>
      </c>
      <c r="S547" s="2883">
        <v>10</v>
      </c>
      <c r="T547" s="2883"/>
      <c r="U547" s="2883"/>
      <c r="V547" s="2883"/>
      <c r="W547" s="2883">
        <v>1</v>
      </c>
      <c r="X547" s="2884" t="str">
        <f>O547&amp;P547</f>
        <v>Estados SobrenaturalesEstado añadido: Fascinación</v>
      </c>
      <c r="Z547" s="2872"/>
      <c r="AB547" s="2872"/>
    </row>
    <row r="548" spans="1:28" ht="12" customHeight="1" x14ac:dyDescent="0.2">
      <c r="A548" s="6112"/>
      <c r="M548" s="2872"/>
      <c r="N548" s="6122"/>
      <c r="O548" s="2901" t="s">
        <v>9820</v>
      </c>
      <c r="P548" s="2879" t="s">
        <v>9328</v>
      </c>
      <c r="Q548" s="2883">
        <v>7</v>
      </c>
      <c r="R548" s="2927">
        <v>7</v>
      </c>
      <c r="S548" s="2883">
        <v>10</v>
      </c>
      <c r="T548" s="2883"/>
      <c r="U548" s="2883"/>
      <c r="V548" s="2883"/>
      <c r="W548" s="2883">
        <v>1</v>
      </c>
      <c r="X548" s="2884" t="str">
        <f>O548&amp;P548</f>
        <v>Estados SobrenaturalesEstado añadido: Ilusión</v>
      </c>
      <c r="Z548" s="2872"/>
      <c r="AB548" s="2872"/>
    </row>
    <row r="549" spans="1:28" ht="12" customHeight="1" x14ac:dyDescent="0.2">
      <c r="A549" s="6112"/>
      <c r="M549" s="2872"/>
      <c r="N549" s="6122"/>
      <c r="O549" s="2901" t="s">
        <v>9820</v>
      </c>
      <c r="P549" s="2879" t="s">
        <v>9329</v>
      </c>
      <c r="Q549" s="2883">
        <v>11</v>
      </c>
      <c r="R549" s="2927">
        <v>11</v>
      </c>
      <c r="S549" s="2883">
        <v>20</v>
      </c>
      <c r="T549" s="2883"/>
      <c r="U549" s="2883"/>
      <c r="V549" s="2883"/>
      <c r="W549" s="2883">
        <v>1</v>
      </c>
      <c r="X549" s="2884" t="str">
        <f>O549&amp;P549</f>
        <v>Estados SobrenaturalesEstado añadido: Ilusión Fantasmal</v>
      </c>
      <c r="Z549" s="2872"/>
      <c r="AB549" s="2872"/>
    </row>
    <row r="550" spans="1:28" ht="12" customHeight="1" x14ac:dyDescent="0.2">
      <c r="A550" s="6112"/>
      <c r="M550" s="2872"/>
      <c r="N550" s="6122"/>
      <c r="O550" s="2901" t="s">
        <v>9820</v>
      </c>
      <c r="P550" s="2879" t="s">
        <v>9330</v>
      </c>
      <c r="Q550" s="2883">
        <v>9</v>
      </c>
      <c r="R550" s="2927">
        <v>9</v>
      </c>
      <c r="S550" s="2883">
        <v>15</v>
      </c>
      <c r="T550" s="2883"/>
      <c r="U550" s="2883"/>
      <c r="V550" s="2883"/>
      <c r="W550" s="2883">
        <v>1</v>
      </c>
      <c r="X550" s="2884" t="str">
        <f>O550&amp;P550</f>
        <v>Estados SobrenaturalesEstado añadido: Ilusión Mayor</v>
      </c>
      <c r="Z550" s="2872"/>
      <c r="AB550" s="2872"/>
    </row>
    <row r="551" spans="1:28" ht="12" customHeight="1" x14ac:dyDescent="0.2">
      <c r="A551" s="6112"/>
      <c r="M551" s="2872"/>
      <c r="N551" s="6122"/>
      <c r="O551" s="2901" t="s">
        <v>9820</v>
      </c>
      <c r="P551" s="2879" t="s">
        <v>9331</v>
      </c>
      <c r="Q551" s="2883">
        <v>12</v>
      </c>
      <c r="R551" s="2927">
        <v>12</v>
      </c>
      <c r="S551" s="2883">
        <v>35</v>
      </c>
      <c r="T551" s="2883"/>
      <c r="U551" s="2883"/>
      <c r="V551" s="2883"/>
      <c r="W551" s="2883">
        <v>2</v>
      </c>
      <c r="X551" s="2884" t="str">
        <f>O551&amp;P551</f>
        <v>Estados SobrenaturalesEstado añadido: Inconsciencia</v>
      </c>
      <c r="Z551" s="2872"/>
      <c r="AB551" s="2872"/>
    </row>
    <row r="552" spans="1:28" ht="12" customHeight="1" x14ac:dyDescent="0.2">
      <c r="A552" s="6112"/>
      <c r="C552" s="2892"/>
      <c r="D552" s="2892"/>
      <c r="M552" s="2872"/>
      <c r="N552" s="6122"/>
      <c r="O552" s="2901" t="s">
        <v>9820</v>
      </c>
      <c r="P552" s="2879" t="s">
        <v>9332</v>
      </c>
      <c r="Q552" s="2883">
        <v>3</v>
      </c>
      <c r="R552" s="2927">
        <v>3</v>
      </c>
      <c r="S552" s="2883">
        <v>10</v>
      </c>
      <c r="T552" s="2883"/>
      <c r="U552" s="2883"/>
      <c r="V552" s="2883"/>
      <c r="W552" s="2883">
        <v>1</v>
      </c>
      <c r="X552" s="2884" t="str">
        <f>O552&amp;P552</f>
        <v>Estados SobrenaturalesEstado añadido: Miedo</v>
      </c>
      <c r="Z552" s="2872"/>
      <c r="AB552" s="2872"/>
    </row>
    <row r="553" spans="1:28" ht="12" customHeight="1" x14ac:dyDescent="0.2">
      <c r="A553" s="6112"/>
      <c r="M553" s="2872"/>
      <c r="N553" s="6122"/>
      <c r="O553" s="2901" t="s">
        <v>9820</v>
      </c>
      <c r="P553" s="2879" t="s">
        <v>9333</v>
      </c>
      <c r="Q553" s="2883">
        <v>20</v>
      </c>
      <c r="R553" s="2927">
        <v>20</v>
      </c>
      <c r="S553" s="2883">
        <v>50</v>
      </c>
      <c r="T553" s="2883"/>
      <c r="U553" s="2883"/>
      <c r="V553" s="2883"/>
      <c r="W553" s="2883">
        <v>3</v>
      </c>
      <c r="X553" s="2884" t="str">
        <f>O553&amp;P553</f>
        <v>Estados SobrenaturalesEstado añadido: Muerte</v>
      </c>
      <c r="Z553" s="2872"/>
      <c r="AB553" s="2872"/>
    </row>
    <row r="554" spans="1:28" ht="12" customHeight="1" x14ac:dyDescent="0.2">
      <c r="A554" s="6112"/>
      <c r="M554" s="2872"/>
      <c r="N554" s="6122"/>
      <c r="O554" s="2901" t="s">
        <v>9820</v>
      </c>
      <c r="P554" s="2879" t="s">
        <v>9334</v>
      </c>
      <c r="Q554" s="2883">
        <v>6</v>
      </c>
      <c r="R554" s="2927">
        <v>6</v>
      </c>
      <c r="S554" s="2883">
        <v>10</v>
      </c>
      <c r="T554" s="2883"/>
      <c r="U554" s="2883"/>
      <c r="V554" s="2883"/>
      <c r="W554" s="2883">
        <v>1</v>
      </c>
      <c r="X554" s="2884" t="str">
        <f>O554&amp;P554</f>
        <v>Estados SobrenaturalesEstado añadido: Paralización Parcial</v>
      </c>
      <c r="Z554" s="2872"/>
      <c r="AB554" s="2872"/>
    </row>
    <row r="555" spans="1:28" ht="12" customHeight="1" x14ac:dyDescent="0.2">
      <c r="A555" s="6112"/>
      <c r="M555" s="2872"/>
      <c r="N555" s="6122"/>
      <c r="O555" s="2901" t="s">
        <v>9820</v>
      </c>
      <c r="P555" s="2879" t="s">
        <v>9335</v>
      </c>
      <c r="Q555" s="2883">
        <v>12</v>
      </c>
      <c r="R555" s="2927">
        <v>12</v>
      </c>
      <c r="S555" s="2883">
        <v>20</v>
      </c>
      <c r="T555" s="2883"/>
      <c r="U555" s="2883"/>
      <c r="V555" s="2883"/>
      <c r="W555" s="2883">
        <v>2</v>
      </c>
      <c r="X555" s="2884" t="str">
        <f>O555&amp;P555</f>
        <v>Estados SobrenaturalesEstado añadido: Paralización Total</v>
      </c>
      <c r="Z555" s="2872"/>
      <c r="AB555" s="2872"/>
    </row>
    <row r="556" spans="1:28" ht="12" customHeight="1" x14ac:dyDescent="0.2">
      <c r="A556" s="6112"/>
      <c r="M556" s="2872"/>
      <c r="N556" s="6122"/>
      <c r="O556" s="2901" t="s">
        <v>9820</v>
      </c>
      <c r="P556" s="2879" t="s">
        <v>10112</v>
      </c>
      <c r="Q556" s="2883">
        <v>4</v>
      </c>
      <c r="R556" s="2927">
        <v>4</v>
      </c>
      <c r="S556" s="2883">
        <v>5</v>
      </c>
      <c r="T556" s="2883"/>
      <c r="U556" s="2883"/>
      <c r="V556" s="2883"/>
      <c r="W556" s="2883">
        <v>1</v>
      </c>
      <c r="X556" s="2884" t="str">
        <f>O556&amp;P556</f>
        <v>Estados SobrenaturalesEstado añadido: Pen. a la Acción Mayor</v>
      </c>
      <c r="Z556" s="2872"/>
      <c r="AB556" s="2872"/>
    </row>
    <row r="557" spans="1:28" ht="12" customHeight="1" x14ac:dyDescent="0.2">
      <c r="A557" s="6112"/>
      <c r="M557" s="2872"/>
      <c r="N557" s="6122"/>
      <c r="O557" s="2901" t="s">
        <v>9820</v>
      </c>
      <c r="P557" s="2879" t="s">
        <v>10113</v>
      </c>
      <c r="Q557" s="2883">
        <v>1</v>
      </c>
      <c r="R557" s="2927">
        <v>1</v>
      </c>
      <c r="S557" s="2883">
        <v>5</v>
      </c>
      <c r="T557" s="2883"/>
      <c r="U557" s="2883"/>
      <c r="V557" s="2883"/>
      <c r="W557" s="2883">
        <v>1</v>
      </c>
      <c r="X557" s="2884" t="str">
        <f>O557&amp;P557</f>
        <v>Estados SobrenaturalesEstado añadido: Pen. a la Acción Menor</v>
      </c>
      <c r="Z557" s="2872"/>
      <c r="AB557" s="2872"/>
    </row>
    <row r="558" spans="1:28" ht="12" customHeight="1" x14ac:dyDescent="0.2">
      <c r="A558" s="6112"/>
      <c r="M558" s="2872"/>
      <c r="N558" s="6122"/>
      <c r="O558" s="2901" t="s">
        <v>9820</v>
      </c>
      <c r="P558" s="2879" t="s">
        <v>10114</v>
      </c>
      <c r="Q558" s="2883">
        <v>5</v>
      </c>
      <c r="R558" s="2927">
        <v>5</v>
      </c>
      <c r="S558" s="2883">
        <v>15</v>
      </c>
      <c r="T558" s="2883"/>
      <c r="U558" s="2883"/>
      <c r="V558" s="2883"/>
      <c r="W558" s="2883">
        <v>1</v>
      </c>
      <c r="X558" s="2884" t="str">
        <f>O558&amp;P558</f>
        <v>Estados SobrenaturalesEstado añadido: Reducción de Car.</v>
      </c>
      <c r="Z558" s="2872"/>
      <c r="AB558" s="2872"/>
    </row>
    <row r="559" spans="1:28" ht="12" customHeight="1" x14ac:dyDescent="0.2">
      <c r="A559" s="6112"/>
      <c r="M559" s="2872"/>
      <c r="N559" s="6122"/>
      <c r="O559" s="2901" t="s">
        <v>9820</v>
      </c>
      <c r="P559" s="2879" t="s">
        <v>10115</v>
      </c>
      <c r="Q559" s="2883">
        <v>2</v>
      </c>
      <c r="R559" s="2927">
        <v>2</v>
      </c>
      <c r="S559" s="2883">
        <v>10</v>
      </c>
      <c r="T559" s="2883"/>
      <c r="U559" s="2883"/>
      <c r="V559" s="2883"/>
      <c r="W559" s="2883">
        <v>1</v>
      </c>
      <c r="X559" s="2884" t="str">
        <f>O559&amp;P559</f>
        <v>Estados SobrenaturalesEstado añadido: Reducción de una Car.</v>
      </c>
      <c r="Z559" s="2872"/>
      <c r="AB559" s="2872"/>
    </row>
    <row r="560" spans="1:28" ht="12" customHeight="1" x14ac:dyDescent="0.2">
      <c r="A560" s="6112"/>
      <c r="M560" s="2872"/>
      <c r="N560" s="6122"/>
      <c r="O560" s="2901" t="s">
        <v>9820</v>
      </c>
      <c r="P560" s="2879" t="s">
        <v>9336</v>
      </c>
      <c r="Q560" s="2883">
        <v>2</v>
      </c>
      <c r="R560" s="2927">
        <v>2</v>
      </c>
      <c r="S560" s="2883">
        <v>10</v>
      </c>
      <c r="T560" s="2883"/>
      <c r="U560" s="2883"/>
      <c r="V560" s="2883"/>
      <c r="W560" s="2883">
        <v>1</v>
      </c>
      <c r="X560" s="2884" t="str">
        <f>O560&amp;P560</f>
        <v>Estados SobrenaturalesEstado añadido: Reducción de RF</v>
      </c>
      <c r="Z560" s="2872"/>
      <c r="AB560" s="2872"/>
    </row>
    <row r="561" spans="1:28" ht="12" customHeight="1" x14ac:dyDescent="0.2">
      <c r="A561" s="6112"/>
      <c r="M561" s="2872"/>
      <c r="N561" s="6122"/>
      <c r="O561" s="2901" t="s">
        <v>9820</v>
      </c>
      <c r="P561" s="2879" t="s">
        <v>9337</v>
      </c>
      <c r="Q561" s="2883">
        <v>2</v>
      </c>
      <c r="R561" s="2927">
        <v>2</v>
      </c>
      <c r="S561" s="2883">
        <v>10</v>
      </c>
      <c r="T561" s="2883"/>
      <c r="U561" s="2883"/>
      <c r="V561" s="2883"/>
      <c r="W561" s="2883">
        <v>1</v>
      </c>
      <c r="X561" s="2884" t="str">
        <f>O561&amp;P561</f>
        <v>Estados SobrenaturalesEstado añadido: Reducción de RP</v>
      </c>
      <c r="Z561" s="2872"/>
      <c r="AB561" s="2872"/>
    </row>
    <row r="562" spans="1:28" ht="12" customHeight="1" x14ac:dyDescent="0.2">
      <c r="A562" s="6112"/>
      <c r="M562" s="2872"/>
      <c r="N562" s="6122"/>
      <c r="O562" s="2901" t="s">
        <v>9820</v>
      </c>
      <c r="P562" s="2879" t="s">
        <v>9338</v>
      </c>
      <c r="Q562" s="2883">
        <v>6</v>
      </c>
      <c r="R562" s="2927">
        <v>6</v>
      </c>
      <c r="S562" s="2883">
        <v>15</v>
      </c>
      <c r="T562" s="2883"/>
      <c r="U562" s="2883"/>
      <c r="V562" s="2883"/>
      <c r="W562" s="2883">
        <v>1</v>
      </c>
      <c r="X562" s="2884" t="str">
        <f>O562&amp;P562</f>
        <v>Estados SobrenaturalesEstado añadido: Terror</v>
      </c>
      <c r="Z562" s="2872"/>
      <c r="AB562" s="2872"/>
    </row>
    <row r="563" spans="1:28" ht="12" customHeight="1" x14ac:dyDescent="0.2">
      <c r="A563" s="6112"/>
      <c r="M563" s="2872"/>
      <c r="N563" s="6122"/>
      <c r="O563" s="2901" t="s">
        <v>9820</v>
      </c>
      <c r="P563" s="2879" t="s">
        <v>10116</v>
      </c>
      <c r="Q563" s="2883">
        <v>0</v>
      </c>
      <c r="R563" s="2927">
        <v>0</v>
      </c>
      <c r="S563" s="2883">
        <v>0</v>
      </c>
      <c r="T563" s="2883"/>
      <c r="U563" s="2883"/>
      <c r="V563" s="2883"/>
      <c r="W563" s="2883">
        <v>1</v>
      </c>
      <c r="X563" s="2884" t="str">
        <f>O563&amp;P563</f>
        <v>Estados SobrenaturalesCondición: Conseguir dar un ataque</v>
      </c>
      <c r="Z563" s="2872"/>
      <c r="AB563" s="2872"/>
    </row>
    <row r="564" spans="1:28" ht="12" customHeight="1" x14ac:dyDescent="0.2">
      <c r="A564" s="6112"/>
      <c r="M564" s="2872"/>
      <c r="N564" s="6122"/>
      <c r="O564" s="2901" t="s">
        <v>9820</v>
      </c>
      <c r="P564" s="2879" t="s">
        <v>10117</v>
      </c>
      <c r="Q564" s="2883">
        <v>1</v>
      </c>
      <c r="R564" s="2927">
        <v>1</v>
      </c>
      <c r="S564" s="2883">
        <v>10</v>
      </c>
      <c r="T564" s="2883"/>
      <c r="U564" s="2883"/>
      <c r="V564" s="2883"/>
      <c r="W564" s="2883">
        <v>1</v>
      </c>
      <c r="X564" s="2884" t="str">
        <f>O564&amp;P564</f>
        <v>Estados SobrenaturalesCondición: Conseguir dar un Beso</v>
      </c>
      <c r="Z564" s="2872"/>
      <c r="AB564" s="2872"/>
    </row>
    <row r="565" spans="1:28" ht="12" customHeight="1" x14ac:dyDescent="0.2">
      <c r="A565" s="6112"/>
      <c r="C565" s="2892"/>
      <c r="D565" s="2892"/>
      <c r="M565" s="2872"/>
      <c r="N565" s="6122"/>
      <c r="O565" s="2901" t="s">
        <v>9820</v>
      </c>
      <c r="P565" s="2879" t="s">
        <v>10118</v>
      </c>
      <c r="Q565" s="2883">
        <v>2</v>
      </c>
      <c r="R565" s="2927">
        <v>2</v>
      </c>
      <c r="S565" s="2883">
        <v>5</v>
      </c>
      <c r="T565" s="2883"/>
      <c r="U565" s="2883"/>
      <c r="V565" s="2883"/>
      <c r="W565" s="2883">
        <v>1</v>
      </c>
      <c r="X565" s="2884" t="str">
        <f>O565&amp;P565</f>
        <v>Estados SobrenaturalesCondición: Contacto Físico</v>
      </c>
      <c r="Z565" s="2872"/>
      <c r="AB565" s="2872"/>
    </row>
    <row r="566" spans="1:28" ht="12" customHeight="1" x14ac:dyDescent="0.2">
      <c r="A566" s="6112"/>
      <c r="M566" s="2872"/>
      <c r="N566" s="6122"/>
      <c r="O566" s="2901" t="s">
        <v>9820</v>
      </c>
      <c r="P566" s="2879" t="s">
        <v>10119</v>
      </c>
      <c r="Q566" s="2883">
        <v>8</v>
      </c>
      <c r="R566" s="2927">
        <v>8</v>
      </c>
      <c r="S566" s="2883">
        <v>15</v>
      </c>
      <c r="T566" s="2883"/>
      <c r="U566" s="2883"/>
      <c r="V566" s="2883"/>
      <c r="W566" s="2883">
        <v>1</v>
      </c>
      <c r="X566" s="2884" t="str">
        <f>O566&amp;P566</f>
        <v>Estados SobrenaturalesCondición: Contacto Visual Mutuo</v>
      </c>
      <c r="Z566" s="2872"/>
      <c r="AB566" s="2872"/>
    </row>
    <row r="567" spans="1:28" ht="12" customHeight="1" x14ac:dyDescent="0.2">
      <c r="A567" s="6112"/>
      <c r="M567" s="2872"/>
      <c r="N567" s="6122"/>
      <c r="O567" s="2901" t="s">
        <v>9820</v>
      </c>
      <c r="P567" s="2879" t="s">
        <v>10120</v>
      </c>
      <c r="Q567" s="2883">
        <v>12</v>
      </c>
      <c r="R567" s="2927">
        <v>12</v>
      </c>
      <c r="S567" s="2883">
        <v>30</v>
      </c>
      <c r="T567" s="2883"/>
      <c r="U567" s="2883"/>
      <c r="V567" s="2883"/>
      <c r="W567" s="2883">
        <v>2</v>
      </c>
      <c r="X567" s="2884" t="str">
        <f>O567&amp;P567</f>
        <v>Estados SobrenaturalesCondición: Contacto Visual (Un Blanco)</v>
      </c>
      <c r="Z567" s="2872"/>
      <c r="AB567" s="2872"/>
    </row>
    <row r="568" spans="1:28" ht="12" customHeight="1" x14ac:dyDescent="0.2">
      <c r="A568" s="6112"/>
      <c r="M568" s="2872"/>
      <c r="N568" s="6122"/>
      <c r="O568" s="2901" t="s">
        <v>9820</v>
      </c>
      <c r="P568" s="2879" t="s">
        <v>10121</v>
      </c>
      <c r="Q568" s="2883">
        <v>16</v>
      </c>
      <c r="R568" s="2927">
        <v>16</v>
      </c>
      <c r="S568" s="2883">
        <v>40</v>
      </c>
      <c r="T568" s="2883"/>
      <c r="U568" s="2883"/>
      <c r="V568" s="2883"/>
      <c r="W568" s="2883">
        <v>3</v>
      </c>
      <c r="X568" s="2884" t="str">
        <f>O568&amp;P568</f>
        <v>Estados SobrenaturalesCondición: Contacto Visual (Varios)</v>
      </c>
      <c r="Z568" s="2872"/>
      <c r="AB568" s="2872"/>
    </row>
    <row r="569" spans="1:28" ht="12" customHeight="1" x14ac:dyDescent="0.2">
      <c r="A569" s="6112"/>
      <c r="M569" s="2872"/>
      <c r="N569" s="6122"/>
      <c r="O569" s="2901" t="s">
        <v>9820</v>
      </c>
      <c r="P569" s="2879" t="s">
        <v>10122</v>
      </c>
      <c r="Q569" s="2883">
        <v>20</v>
      </c>
      <c r="R569" s="2927">
        <v>20</v>
      </c>
      <c r="S569" s="2883">
        <v>50</v>
      </c>
      <c r="T569" s="2883"/>
      <c r="U569" s="2883"/>
      <c r="V569" s="2883"/>
      <c r="W569" s="2883">
        <v>3</v>
      </c>
      <c r="X569" s="2884" t="str">
        <f>O569&amp;P569</f>
        <v>Estados SobrenaturalesCondición: Por el Aire</v>
      </c>
      <c r="Z569" s="2872"/>
      <c r="AB569" s="2872"/>
    </row>
    <row r="570" spans="1:28" ht="12" customHeight="1" x14ac:dyDescent="0.2">
      <c r="A570" s="6112"/>
      <c r="M570" s="2872"/>
      <c r="N570" s="6122"/>
      <c r="O570" s="2901" t="s">
        <v>9820</v>
      </c>
      <c r="P570" s="2879" t="s">
        <v>10123</v>
      </c>
      <c r="Q570" s="2883">
        <v>13</v>
      </c>
      <c r="R570" s="2927">
        <v>13</v>
      </c>
      <c r="S570" s="2883">
        <v>35</v>
      </c>
      <c r="T570" s="2883"/>
      <c r="U570" s="2883"/>
      <c r="V570" s="2883"/>
      <c r="W570" s="2883">
        <v>2</v>
      </c>
      <c r="X570" s="2884" t="str">
        <f>O570&amp;P570</f>
        <v>Estados SobrenaturalesCondición: Por Sonido (Un Blanco)</v>
      </c>
      <c r="Z570" s="2872"/>
      <c r="AB570" s="2872"/>
    </row>
    <row r="571" spans="1:28" ht="12" customHeight="1" x14ac:dyDescent="0.2">
      <c r="A571" s="6112"/>
      <c r="M571" s="2872"/>
      <c r="N571" s="6122"/>
      <c r="O571" s="2901" t="s">
        <v>9820</v>
      </c>
      <c r="P571" s="2879" t="s">
        <v>10124</v>
      </c>
      <c r="Q571" s="2883">
        <v>18</v>
      </c>
      <c r="R571" s="2927">
        <v>18</v>
      </c>
      <c r="S571" s="2883">
        <v>45</v>
      </c>
      <c r="T571" s="2883"/>
      <c r="U571" s="2883"/>
      <c r="V571" s="2883"/>
      <c r="W571" s="2883">
        <v>3</v>
      </c>
      <c r="X571" s="2884" t="str">
        <f>O571&amp;P571</f>
        <v>Estados SobrenaturalesCondición: Por Sonido (Varios Blancos)</v>
      </c>
      <c r="Z571" s="2872"/>
      <c r="AB571" s="2872"/>
    </row>
    <row r="572" spans="1:28" ht="12" customHeight="1" x14ac:dyDescent="0.2">
      <c r="A572" s="6112"/>
      <c r="M572" s="2872"/>
      <c r="N572" s="6122"/>
      <c r="O572" s="2901" t="s">
        <v>9820</v>
      </c>
      <c r="P572" s="2879" t="s">
        <v>10125</v>
      </c>
      <c r="Q572" s="2883">
        <v>12</v>
      </c>
      <c r="R572" s="2927">
        <v>12</v>
      </c>
      <c r="S572" s="2883">
        <v>30</v>
      </c>
      <c r="T572" s="2883"/>
      <c r="U572" s="2883"/>
      <c r="V572" s="2883"/>
      <c r="W572" s="2883">
        <v>2</v>
      </c>
      <c r="X572" s="2884" t="str">
        <f>O572&amp;P572</f>
        <v>Estados SobrenaturalesCondición: Por Superficie</v>
      </c>
      <c r="Z572" s="2872"/>
      <c r="AB572" s="2872"/>
    </row>
    <row r="573" spans="1:28" ht="12" customHeight="1" x14ac:dyDescent="0.2">
      <c r="A573" s="6112"/>
      <c r="M573" s="2872"/>
      <c r="N573" s="6122"/>
      <c r="O573" s="2901" t="s">
        <v>9820</v>
      </c>
      <c r="P573" s="2879" t="s">
        <v>10126</v>
      </c>
      <c r="Q573" s="2883">
        <v>18</v>
      </c>
      <c r="R573" s="2927">
        <v>18</v>
      </c>
      <c r="S573" s="2883">
        <v>45</v>
      </c>
      <c r="T573" s="2883"/>
      <c r="U573" s="2883"/>
      <c r="V573" s="2883"/>
      <c r="W573" s="2883">
        <v>3</v>
      </c>
      <c r="X573" s="2884" t="str">
        <f>O573&amp;P573</f>
        <v>Estados SobrenaturalesCondición: Por Toda Superficie</v>
      </c>
      <c r="Z573" s="2872"/>
      <c r="AB573" s="2872"/>
    </row>
    <row r="574" spans="1:28" ht="12" customHeight="1" x14ac:dyDescent="0.2">
      <c r="A574" s="6112"/>
      <c r="M574" s="2872"/>
      <c r="N574" s="6122"/>
      <c r="O574" s="2901" t="s">
        <v>9820</v>
      </c>
      <c r="P574" s="2879" t="s">
        <v>10127</v>
      </c>
      <c r="Q574" s="2883">
        <v>1</v>
      </c>
      <c r="R574" s="2927">
        <v>1</v>
      </c>
      <c r="S574" s="2883">
        <v>5</v>
      </c>
      <c r="T574" s="2883"/>
      <c r="U574" s="2883"/>
      <c r="V574" s="2883"/>
      <c r="W574" s="2883">
        <v>1</v>
      </c>
      <c r="X574" s="2884" t="str">
        <f>O574&amp;P574</f>
        <v>Estados SobrenaturalesDistancia: 1 metro</v>
      </c>
      <c r="Z574" s="2872"/>
      <c r="AB574" s="2872"/>
    </row>
    <row r="575" spans="1:28" ht="12" customHeight="1" x14ac:dyDescent="0.2">
      <c r="A575" s="6112"/>
      <c r="M575" s="2872"/>
      <c r="N575" s="6122"/>
      <c r="O575" s="2901" t="s">
        <v>9820</v>
      </c>
      <c r="P575" s="2879" t="s">
        <v>10128</v>
      </c>
      <c r="Q575" s="2883">
        <v>3</v>
      </c>
      <c r="R575" s="2927">
        <v>3</v>
      </c>
      <c r="S575" s="2883">
        <v>5</v>
      </c>
      <c r="T575" s="2883"/>
      <c r="U575" s="2883"/>
      <c r="V575" s="2883"/>
      <c r="W575" s="2883">
        <v>1</v>
      </c>
      <c r="X575" s="2884" t="str">
        <f>O575&amp;P575</f>
        <v>Estados SobrenaturalesDistancia: 5 metros</v>
      </c>
      <c r="Z575" s="2872"/>
      <c r="AB575" s="2872"/>
    </row>
    <row r="576" spans="1:28" ht="12" customHeight="1" x14ac:dyDescent="0.2">
      <c r="A576" s="6112"/>
      <c r="M576" s="2872"/>
      <c r="N576" s="6122"/>
      <c r="O576" s="2901" t="s">
        <v>9820</v>
      </c>
      <c r="P576" s="2879" t="s">
        <v>10129</v>
      </c>
      <c r="Q576" s="2883">
        <v>5</v>
      </c>
      <c r="R576" s="2927">
        <v>5</v>
      </c>
      <c r="S576" s="2883">
        <v>10</v>
      </c>
      <c r="T576" s="2883"/>
      <c r="U576" s="2883"/>
      <c r="V576" s="2883"/>
      <c r="W576" s="2883">
        <v>1</v>
      </c>
      <c r="X576" s="2884" t="str">
        <f>O576&amp;P576</f>
        <v>Estados SobrenaturalesDistancia: 10 metros</v>
      </c>
      <c r="Z576" s="2872"/>
      <c r="AB576" s="2872"/>
    </row>
    <row r="577" spans="1:28" ht="12" customHeight="1" x14ac:dyDescent="0.2">
      <c r="A577" s="6112"/>
      <c r="M577" s="2872"/>
      <c r="N577" s="6122"/>
      <c r="O577" s="2901" t="s">
        <v>9820</v>
      </c>
      <c r="P577" s="2879" t="s">
        <v>10130</v>
      </c>
      <c r="Q577" s="2883">
        <v>8</v>
      </c>
      <c r="R577" s="2927">
        <v>8</v>
      </c>
      <c r="S577" s="2883">
        <v>10</v>
      </c>
      <c r="T577" s="2883"/>
      <c r="U577" s="2883"/>
      <c r="V577" s="2883"/>
      <c r="W577" s="2883">
        <v>1</v>
      </c>
      <c r="X577" s="2884" t="str">
        <f>O577&amp;P577</f>
        <v>Estados SobrenaturalesDistancia: 25 metros</v>
      </c>
      <c r="Z577" s="2872"/>
      <c r="AB577" s="2872"/>
    </row>
    <row r="578" spans="1:28" ht="12" customHeight="1" x14ac:dyDescent="0.2">
      <c r="A578" s="6112"/>
      <c r="M578" s="2872"/>
      <c r="N578" s="6122"/>
      <c r="O578" s="2901" t="s">
        <v>9820</v>
      </c>
      <c r="P578" s="2879" t="s">
        <v>10131</v>
      </c>
      <c r="Q578" s="2883">
        <v>12</v>
      </c>
      <c r="R578" s="2927">
        <v>12</v>
      </c>
      <c r="S578" s="2883">
        <v>15</v>
      </c>
      <c r="T578" s="2883"/>
      <c r="U578" s="2883"/>
      <c r="V578" s="2883"/>
      <c r="W578" s="2883">
        <v>2</v>
      </c>
      <c r="X578" s="2884" t="str">
        <f>O578&amp;P578</f>
        <v>Estados SobrenaturalesDistancia: 50 metros</v>
      </c>
      <c r="Z578" s="2872"/>
      <c r="AB578" s="2872"/>
    </row>
    <row r="579" spans="1:28" ht="12" customHeight="1" x14ac:dyDescent="0.2">
      <c r="A579" s="6112"/>
      <c r="M579" s="2872"/>
      <c r="N579" s="6122"/>
      <c r="O579" s="2901" t="s">
        <v>9820</v>
      </c>
      <c r="P579" s="2879" t="s">
        <v>10132</v>
      </c>
      <c r="Q579" s="2883">
        <v>15</v>
      </c>
      <c r="R579" s="2927">
        <v>15</v>
      </c>
      <c r="S579" s="2883">
        <v>20</v>
      </c>
      <c r="T579" s="2883"/>
      <c r="U579" s="2883"/>
      <c r="V579" s="2883"/>
      <c r="W579" s="2883">
        <v>2</v>
      </c>
      <c r="X579" s="2884" t="str">
        <f>O579&amp;P579</f>
        <v>Estados SobrenaturalesDistancia: 100 metros</v>
      </c>
      <c r="Z579" s="2872"/>
      <c r="AB579" s="2872"/>
    </row>
    <row r="580" spans="1:28" ht="12" customHeight="1" x14ac:dyDescent="0.2">
      <c r="A580" s="6112"/>
      <c r="M580" s="2872"/>
      <c r="N580" s="6122"/>
      <c r="O580" s="2901" t="s">
        <v>9820</v>
      </c>
      <c r="P580" s="2879" t="s">
        <v>10133</v>
      </c>
      <c r="Q580" s="2883">
        <v>20</v>
      </c>
      <c r="R580" s="2927">
        <v>20</v>
      </c>
      <c r="S580" s="2883">
        <v>25</v>
      </c>
      <c r="T580" s="2883"/>
      <c r="U580" s="2883"/>
      <c r="V580" s="2883"/>
      <c r="W580" s="2883">
        <v>3</v>
      </c>
      <c r="X580" s="2884" t="str">
        <f>O580&amp;P580</f>
        <v>Estados SobrenaturalesDistancia: 150 metros</v>
      </c>
      <c r="Z580" s="2872"/>
      <c r="AB580" s="2872"/>
    </row>
    <row r="581" spans="1:28" ht="12" customHeight="1" x14ac:dyDescent="0.2">
      <c r="A581" s="6112"/>
      <c r="M581" s="2872"/>
      <c r="N581" s="6122"/>
      <c r="O581" s="2901" t="s">
        <v>9820</v>
      </c>
      <c r="P581" s="2879" t="s">
        <v>10134</v>
      </c>
      <c r="Q581" s="2883">
        <v>25</v>
      </c>
      <c r="R581" s="2927">
        <v>25</v>
      </c>
      <c r="S581" s="2883">
        <v>30</v>
      </c>
      <c r="T581" s="2883"/>
      <c r="U581" s="2883"/>
      <c r="V581" s="2883"/>
      <c r="W581" s="2883">
        <v>3</v>
      </c>
      <c r="X581" s="2884" t="str">
        <f>O581&amp;P581</f>
        <v>Estados SobrenaturalesDistancia: 500 metros</v>
      </c>
      <c r="Z581" s="2872"/>
      <c r="AB581" s="2872"/>
    </row>
    <row r="582" spans="1:28" ht="12" customHeight="1" x14ac:dyDescent="0.2">
      <c r="A582" s="6112"/>
      <c r="M582" s="2872"/>
      <c r="N582" s="6122"/>
      <c r="O582" s="2901" t="s">
        <v>10135</v>
      </c>
      <c r="P582" s="2879" t="s">
        <v>7690</v>
      </c>
      <c r="Q582" s="2883"/>
      <c r="R582" s="2927"/>
      <c r="S582" s="2883"/>
      <c r="T582" s="2883"/>
      <c r="U582" s="2883"/>
      <c r="V582" s="2883"/>
      <c r="W582" s="2883"/>
      <c r="X582" s="2884" t="str">
        <f>O582&amp;P582</f>
        <v>&gt; IMPACTO</v>
      </c>
      <c r="Z582" s="2872"/>
      <c r="AB582" s="2872"/>
    </row>
    <row r="583" spans="1:28" ht="12" customHeight="1" x14ac:dyDescent="0.2">
      <c r="A583" s="6112"/>
      <c r="M583" s="2872"/>
      <c r="N583" s="6122"/>
      <c r="O583" s="2901" t="s">
        <v>3388</v>
      </c>
      <c r="P583" s="2879" t="s">
        <v>10136</v>
      </c>
      <c r="Q583" s="2883">
        <v>1</v>
      </c>
      <c r="R583" s="2927">
        <v>2</v>
      </c>
      <c r="S583" s="2883">
        <v>5</v>
      </c>
      <c r="T583" s="2883">
        <v>1</v>
      </c>
      <c r="U583" s="2883">
        <v>2</v>
      </c>
      <c r="V583" s="2883">
        <v>4</v>
      </c>
      <c r="W583" s="2883">
        <v>1</v>
      </c>
      <c r="X583" s="2884" t="str">
        <f>O583&amp;P583</f>
        <v>ImpactoFUE 4</v>
      </c>
      <c r="Z583" s="2872"/>
      <c r="AB583" s="2872"/>
    </row>
    <row r="584" spans="1:28" ht="12" customHeight="1" x14ac:dyDescent="0.2">
      <c r="A584" s="6112"/>
      <c r="M584" s="2872"/>
      <c r="N584" s="6122"/>
      <c r="O584" s="2901" t="s">
        <v>3388</v>
      </c>
      <c r="P584" s="2879" t="s">
        <v>10137</v>
      </c>
      <c r="Q584" s="2883">
        <v>2</v>
      </c>
      <c r="R584" s="2927">
        <v>4</v>
      </c>
      <c r="S584" s="2883">
        <v>5</v>
      </c>
      <c r="T584" s="2883">
        <v>2</v>
      </c>
      <c r="U584" s="2883">
        <v>4</v>
      </c>
      <c r="V584" s="2883">
        <v>7</v>
      </c>
      <c r="W584" s="2883">
        <v>1</v>
      </c>
      <c r="X584" s="2884" t="str">
        <f>O584&amp;P584</f>
        <v>ImpactoFUE 6</v>
      </c>
      <c r="Z584" s="2872"/>
      <c r="AB584" s="2872"/>
    </row>
    <row r="585" spans="1:28" ht="12" customHeight="1" x14ac:dyDescent="0.2">
      <c r="A585" s="6112"/>
      <c r="M585" s="2872"/>
      <c r="N585" s="6122"/>
      <c r="O585" s="2901" t="s">
        <v>3388</v>
      </c>
      <c r="P585" s="2879" t="s">
        <v>10138</v>
      </c>
      <c r="Q585" s="2883">
        <v>3</v>
      </c>
      <c r="R585" s="2927">
        <v>5</v>
      </c>
      <c r="S585" s="2883">
        <v>10</v>
      </c>
      <c r="T585" s="2883">
        <v>3</v>
      </c>
      <c r="U585" s="2883">
        <v>6</v>
      </c>
      <c r="V585" s="2883">
        <v>11</v>
      </c>
      <c r="W585" s="2883">
        <v>1</v>
      </c>
      <c r="X585" s="2884" t="str">
        <f>O585&amp;P585</f>
        <v>ImpactoFUE 8</v>
      </c>
      <c r="Z585" s="2872"/>
      <c r="AB585" s="2872"/>
    </row>
    <row r="586" spans="1:28" ht="12" customHeight="1" x14ac:dyDescent="0.2">
      <c r="A586" s="6112"/>
      <c r="M586" s="2872"/>
      <c r="N586" s="6122"/>
      <c r="O586" s="2901" t="s">
        <v>3388</v>
      </c>
      <c r="P586" s="2879" t="s">
        <v>10139</v>
      </c>
      <c r="Q586" s="2883">
        <v>4</v>
      </c>
      <c r="R586" s="2927">
        <v>6</v>
      </c>
      <c r="S586" s="2883">
        <v>10</v>
      </c>
      <c r="T586" s="2883">
        <v>4</v>
      </c>
      <c r="U586" s="2883">
        <v>8</v>
      </c>
      <c r="V586" s="2883">
        <v>14</v>
      </c>
      <c r="W586" s="2883">
        <v>1</v>
      </c>
      <c r="X586" s="2884" t="str">
        <f>O586&amp;P586</f>
        <v>ImpactoFUE 10</v>
      </c>
      <c r="Z586" s="2872"/>
      <c r="AB586" s="2872"/>
    </row>
    <row r="587" spans="1:28" ht="12" customHeight="1" x14ac:dyDescent="0.2">
      <c r="A587" s="6112"/>
      <c r="M587" s="2872"/>
      <c r="N587" s="6122"/>
      <c r="O587" s="2901" t="s">
        <v>3388</v>
      </c>
      <c r="P587" s="2879" t="s">
        <v>10140</v>
      </c>
      <c r="Q587" s="2883">
        <v>5</v>
      </c>
      <c r="R587" s="2927">
        <v>8</v>
      </c>
      <c r="S587" s="2883">
        <v>15</v>
      </c>
      <c r="T587" s="2883">
        <v>5</v>
      </c>
      <c r="U587" s="2883">
        <v>10</v>
      </c>
      <c r="V587" s="2883">
        <v>18</v>
      </c>
      <c r="W587" s="2883">
        <v>1</v>
      </c>
      <c r="X587" s="2884" t="str">
        <f>O587&amp;P587</f>
        <v>ImpactoFUE 12</v>
      </c>
      <c r="Z587" s="2872"/>
      <c r="AB587" s="2872"/>
    </row>
    <row r="588" spans="1:28" ht="12" customHeight="1" x14ac:dyDescent="0.2">
      <c r="A588" s="6112"/>
      <c r="M588" s="2872"/>
      <c r="N588" s="6122"/>
      <c r="O588" s="2901" t="s">
        <v>3388</v>
      </c>
      <c r="P588" s="2879" t="s">
        <v>10141</v>
      </c>
      <c r="Q588" s="2883">
        <v>6</v>
      </c>
      <c r="R588" s="2927">
        <v>9</v>
      </c>
      <c r="S588" s="2883">
        <v>20</v>
      </c>
      <c r="T588" s="2883">
        <v>6</v>
      </c>
      <c r="U588" s="2883">
        <v>12</v>
      </c>
      <c r="V588" s="2883">
        <v>21</v>
      </c>
      <c r="W588" s="2883">
        <v>2</v>
      </c>
      <c r="X588" s="2884" t="str">
        <f>O588&amp;P588</f>
        <v>ImpactoFUE 14</v>
      </c>
      <c r="Z588" s="2872"/>
      <c r="AB588" s="2872"/>
    </row>
    <row r="589" spans="1:28" ht="12" customHeight="1" x14ac:dyDescent="0.2">
      <c r="A589" s="6112"/>
      <c r="M589" s="2872"/>
      <c r="N589" s="6122"/>
      <c r="O589" s="2901" t="s">
        <v>3388</v>
      </c>
      <c r="P589" s="2879" t="s">
        <v>10142</v>
      </c>
      <c r="Q589" s="2883">
        <v>8</v>
      </c>
      <c r="R589" s="2927">
        <v>11</v>
      </c>
      <c r="S589" s="2883">
        <v>25</v>
      </c>
      <c r="T589" s="2883">
        <v>7</v>
      </c>
      <c r="U589" s="2883">
        <v>14</v>
      </c>
      <c r="V589" s="2883">
        <v>25</v>
      </c>
      <c r="W589" s="2883">
        <v>2</v>
      </c>
      <c r="X589" s="2884" t="str">
        <f>O589&amp;P589</f>
        <v>ImpactoFUE 16</v>
      </c>
      <c r="Z589" s="2872"/>
      <c r="AB589" s="2872"/>
    </row>
    <row r="590" spans="1:28" ht="12" customHeight="1" x14ac:dyDescent="0.2">
      <c r="A590" s="6112"/>
      <c r="C590" s="2892"/>
      <c r="D590" s="2892"/>
      <c r="M590" s="2872"/>
      <c r="N590" s="6122"/>
      <c r="O590" s="2901" t="s">
        <v>3388</v>
      </c>
      <c r="P590" s="2879" t="s">
        <v>10143</v>
      </c>
      <c r="Q590" s="2883">
        <v>10</v>
      </c>
      <c r="R590" s="2927">
        <v>13</v>
      </c>
      <c r="S590" s="2883">
        <v>30</v>
      </c>
      <c r="T590" s="2883">
        <v>8</v>
      </c>
      <c r="U590" s="2883">
        <v>16</v>
      </c>
      <c r="V590" s="2883">
        <v>28</v>
      </c>
      <c r="W590" s="2883">
        <v>3</v>
      </c>
      <c r="X590" s="2884" t="str">
        <f>O590&amp;P590</f>
        <v>ImpactoFUE 18</v>
      </c>
      <c r="Z590" s="2872"/>
      <c r="AB590" s="2872"/>
    </row>
    <row r="591" spans="1:28" ht="12" customHeight="1" x14ac:dyDescent="0.2">
      <c r="A591" s="6112"/>
      <c r="M591" s="2872"/>
      <c r="N591" s="6122"/>
      <c r="O591" s="2901" t="s">
        <v>3388</v>
      </c>
      <c r="P591" s="2879" t="s">
        <v>10144</v>
      </c>
      <c r="Q591" s="2883">
        <v>12</v>
      </c>
      <c r="R591" s="2927">
        <v>15</v>
      </c>
      <c r="S591" s="2883">
        <v>35</v>
      </c>
      <c r="T591" s="2883">
        <v>10</v>
      </c>
      <c r="U591" s="2883">
        <v>20</v>
      </c>
      <c r="V591" s="2883">
        <v>35</v>
      </c>
      <c r="W591" s="2883">
        <v>3</v>
      </c>
      <c r="X591" s="2884" t="str">
        <f>O591&amp;P591</f>
        <v>ImpactoFUE 20</v>
      </c>
      <c r="Z591" s="2872"/>
      <c r="AB591" s="2872"/>
    </row>
    <row r="592" spans="1:28" ht="12" customHeight="1" x14ac:dyDescent="0.2">
      <c r="A592" s="6112"/>
      <c r="M592" s="2872"/>
      <c r="N592" s="6122"/>
      <c r="O592" s="2901" t="s">
        <v>3388</v>
      </c>
      <c r="P592" s="2879" t="s">
        <v>7867</v>
      </c>
      <c r="Q592" s="2883">
        <v>1</v>
      </c>
      <c r="R592" s="2927">
        <v>1</v>
      </c>
      <c r="S592" s="2883">
        <v>5</v>
      </c>
      <c r="T592" s="2883">
        <v>1</v>
      </c>
      <c r="U592" s="2883">
        <v>2</v>
      </c>
      <c r="V592" s="2883">
        <v>4</v>
      </c>
      <c r="W592" s="2883">
        <v>1</v>
      </c>
      <c r="X592" s="2884" t="str">
        <f>O592&amp;P592</f>
        <v>ImpactoAtraer</v>
      </c>
      <c r="Z592" s="2872"/>
      <c r="AB592" s="2872"/>
    </row>
    <row r="593" spans="1:28" ht="12" customHeight="1" x14ac:dyDescent="0.2">
      <c r="A593" s="6112"/>
      <c r="M593" s="2872"/>
      <c r="N593" s="6122"/>
      <c r="O593" s="2901" t="s">
        <v>10145</v>
      </c>
      <c r="P593" s="2879" t="s">
        <v>7690</v>
      </c>
      <c r="Q593" s="2883"/>
      <c r="R593" s="2927"/>
      <c r="S593" s="2883"/>
      <c r="T593" s="2883"/>
      <c r="U593" s="2883"/>
      <c r="V593" s="2883"/>
      <c r="W593" s="2883"/>
      <c r="X593" s="2884" t="str">
        <f>O593&amp;P593</f>
        <v>&gt; INTERRUPCIÓN</v>
      </c>
      <c r="Z593" s="2872"/>
      <c r="AB593" s="2872"/>
    </row>
    <row r="594" spans="1:28" ht="12" customHeight="1" x14ac:dyDescent="0.2">
      <c r="A594" s="6112"/>
      <c r="M594" s="2872"/>
      <c r="N594" s="6122"/>
      <c r="O594" s="2901" t="s">
        <v>3393</v>
      </c>
      <c r="P594" s="2879" t="s">
        <v>10146</v>
      </c>
      <c r="Q594" s="2883">
        <v>1</v>
      </c>
      <c r="R594" s="2927">
        <v>2</v>
      </c>
      <c r="S594" s="2883">
        <v>5</v>
      </c>
      <c r="T594" s="2883">
        <v>1</v>
      </c>
      <c r="U594" s="2883">
        <v>2</v>
      </c>
      <c r="V594" s="2883">
        <v>4</v>
      </c>
      <c r="W594" s="2883">
        <v>1</v>
      </c>
      <c r="X594" s="2884" t="str">
        <f>O594&amp;P594</f>
        <v>InterrupciónRF = Daño</v>
      </c>
      <c r="Z594" s="2872"/>
      <c r="AB594" s="2872"/>
    </row>
    <row r="595" spans="1:28" ht="12" customHeight="1" x14ac:dyDescent="0.2">
      <c r="A595" s="6112"/>
      <c r="M595" s="2872"/>
      <c r="N595" s="6122"/>
      <c r="O595" s="2901" t="s">
        <v>3393</v>
      </c>
      <c r="P595" s="2879" t="s">
        <v>10147</v>
      </c>
      <c r="Q595" s="2883">
        <v>2</v>
      </c>
      <c r="R595" s="2927">
        <v>4</v>
      </c>
      <c r="S595" s="2883">
        <v>10</v>
      </c>
      <c r="T595" s="2883">
        <v>2</v>
      </c>
      <c r="U595" s="2883">
        <v>4</v>
      </c>
      <c r="V595" s="2883">
        <v>7</v>
      </c>
      <c r="W595" s="2883">
        <v>1</v>
      </c>
      <c r="X595" s="2884" t="str">
        <f>O595&amp;P595</f>
        <v>InterrupciónRF = Daño +20</v>
      </c>
      <c r="Z595" s="2872"/>
      <c r="AB595" s="2872"/>
    </row>
    <row r="596" spans="1:28" ht="12" customHeight="1" x14ac:dyDescent="0.2">
      <c r="A596" s="6112"/>
      <c r="M596" s="2872"/>
      <c r="N596" s="6122"/>
      <c r="O596" s="2901" t="s">
        <v>3393</v>
      </c>
      <c r="P596" s="2879" t="s">
        <v>10148</v>
      </c>
      <c r="Q596" s="2883">
        <v>4</v>
      </c>
      <c r="R596" s="2927">
        <v>6</v>
      </c>
      <c r="S596" s="2883">
        <v>15</v>
      </c>
      <c r="T596" s="2883">
        <v>3</v>
      </c>
      <c r="U596" s="2883">
        <v>6</v>
      </c>
      <c r="V596" s="2883">
        <v>11</v>
      </c>
      <c r="W596" s="2883">
        <v>1</v>
      </c>
      <c r="X596" s="2884" t="str">
        <f>O596&amp;P596</f>
        <v>InterrupciónRF = Daño +40</v>
      </c>
      <c r="Z596" s="2872"/>
      <c r="AB596" s="2872"/>
    </row>
    <row r="597" spans="1:28" ht="12" customHeight="1" x14ac:dyDescent="0.2">
      <c r="A597" s="6112"/>
      <c r="M597" s="2872"/>
      <c r="N597" s="6122"/>
      <c r="O597" s="2901" t="s">
        <v>3393</v>
      </c>
      <c r="P597" s="2879" t="s">
        <v>10149</v>
      </c>
      <c r="Q597" s="2883">
        <v>6</v>
      </c>
      <c r="R597" s="2927">
        <v>9</v>
      </c>
      <c r="S597" s="2883">
        <v>20</v>
      </c>
      <c r="T597" s="2883">
        <v>4</v>
      </c>
      <c r="U597" s="2883">
        <v>8</v>
      </c>
      <c r="V597" s="2883">
        <v>14</v>
      </c>
      <c r="W597" s="2883">
        <v>1</v>
      </c>
      <c r="X597" s="2884" t="str">
        <f>O597&amp;P597</f>
        <v>InterrupciónRF = Daño +60</v>
      </c>
      <c r="Z597" s="2872"/>
      <c r="AB597" s="2872"/>
    </row>
    <row r="598" spans="1:28" ht="12" customHeight="1" x14ac:dyDescent="0.2">
      <c r="A598" s="6112"/>
      <c r="M598" s="2872"/>
      <c r="N598" s="6122"/>
      <c r="O598" s="2901" t="s">
        <v>3393</v>
      </c>
      <c r="P598" s="2879" t="s">
        <v>10150</v>
      </c>
      <c r="Q598" s="2883">
        <v>8</v>
      </c>
      <c r="R598" s="2927">
        <v>11</v>
      </c>
      <c r="S598" s="2883">
        <v>25</v>
      </c>
      <c r="T598" s="2883">
        <v>6</v>
      </c>
      <c r="U598" s="2883">
        <v>12</v>
      </c>
      <c r="V598" s="2883">
        <v>21</v>
      </c>
      <c r="W598" s="2883">
        <v>2</v>
      </c>
      <c r="X598" s="2884" t="str">
        <f>O598&amp;P598</f>
        <v>InterrupciónRF = Daño +80</v>
      </c>
      <c r="Z598" s="2872"/>
      <c r="AB598" s="2872"/>
    </row>
    <row r="599" spans="1:28" ht="12" customHeight="1" x14ac:dyDescent="0.2">
      <c r="A599" s="6112"/>
      <c r="M599" s="2872"/>
      <c r="N599" s="6122"/>
      <c r="O599" s="2901" t="s">
        <v>3393</v>
      </c>
      <c r="P599" s="2879" t="s">
        <v>10151</v>
      </c>
      <c r="Q599" s="2883">
        <v>12</v>
      </c>
      <c r="R599" s="2927">
        <v>15</v>
      </c>
      <c r="S599" s="2883">
        <v>30</v>
      </c>
      <c r="T599" s="2883">
        <v>8</v>
      </c>
      <c r="U599" s="2883">
        <v>16</v>
      </c>
      <c r="V599" s="2883">
        <v>28</v>
      </c>
      <c r="W599" s="2883">
        <v>2</v>
      </c>
      <c r="X599" s="2884" t="str">
        <f>O599&amp;P599</f>
        <v>InterrupciónRF = Daño +100</v>
      </c>
      <c r="Z599" s="2872"/>
      <c r="AB599" s="2872"/>
    </row>
    <row r="600" spans="1:28" ht="12" customHeight="1" x14ac:dyDescent="0.2">
      <c r="A600" s="6112"/>
      <c r="M600" s="2872"/>
      <c r="N600" s="6122"/>
      <c r="O600" s="2901" t="s">
        <v>3393</v>
      </c>
      <c r="P600" s="2879" t="s">
        <v>10152</v>
      </c>
      <c r="Q600" s="2883">
        <v>16</v>
      </c>
      <c r="R600" s="2927">
        <v>20</v>
      </c>
      <c r="S600" s="2883">
        <v>35</v>
      </c>
      <c r="T600" s="2883">
        <v>10</v>
      </c>
      <c r="U600" s="2883">
        <v>20</v>
      </c>
      <c r="V600" s="2883">
        <v>35</v>
      </c>
      <c r="W600" s="2883">
        <v>3</v>
      </c>
      <c r="X600" s="2884" t="str">
        <f>O600&amp;P600</f>
        <v>InterrupciónRF = Daño +120</v>
      </c>
      <c r="Z600" s="2872"/>
      <c r="AB600" s="2872"/>
    </row>
    <row r="601" spans="1:28" ht="12" customHeight="1" x14ac:dyDescent="0.2">
      <c r="A601" s="6112"/>
      <c r="M601" s="2872"/>
      <c r="N601" s="6122"/>
      <c r="O601" s="2901" t="s">
        <v>3393</v>
      </c>
      <c r="P601" s="2879" t="s">
        <v>3747</v>
      </c>
      <c r="Q601" s="2883">
        <v>2</v>
      </c>
      <c r="R601" s="2927">
        <v>2</v>
      </c>
      <c r="S601" s="2883">
        <v>5</v>
      </c>
      <c r="T601" s="2883">
        <v>1</v>
      </c>
      <c r="U601" s="2883">
        <v>2</v>
      </c>
      <c r="V601" s="2883">
        <v>4</v>
      </c>
      <c r="W601" s="2883">
        <v>1</v>
      </c>
      <c r="X601" s="2884" t="str">
        <f>O601&amp;P601</f>
        <v>InterrupciónInterrumpe Ki</v>
      </c>
      <c r="Z601" s="2872"/>
      <c r="AB601" s="2872"/>
    </row>
    <row r="602" spans="1:28" ht="12" customHeight="1" x14ac:dyDescent="0.2">
      <c r="A602" s="6112"/>
      <c r="M602" s="2872"/>
      <c r="N602" s="6122"/>
      <c r="O602" s="2901" t="s">
        <v>3393</v>
      </c>
      <c r="P602" s="2879" t="s">
        <v>3748</v>
      </c>
      <c r="Q602" s="2883">
        <v>2</v>
      </c>
      <c r="R602" s="2927">
        <v>2</v>
      </c>
      <c r="S602" s="2883">
        <v>5</v>
      </c>
      <c r="T602" s="2883">
        <v>1</v>
      </c>
      <c r="U602" s="2883">
        <v>2</v>
      </c>
      <c r="V602" s="2883">
        <v>4</v>
      </c>
      <c r="W602" s="2883">
        <v>1</v>
      </c>
      <c r="X602" s="2884" t="str">
        <f>O602&amp;P602</f>
        <v>InterrupciónInterrumpe Magia</v>
      </c>
      <c r="Z602" s="2872"/>
      <c r="AB602" s="2872"/>
    </row>
    <row r="603" spans="1:28" ht="12" customHeight="1" x14ac:dyDescent="0.2">
      <c r="A603" s="6112"/>
      <c r="M603" s="2872"/>
      <c r="N603" s="6122"/>
      <c r="O603" s="2901" t="s">
        <v>3393</v>
      </c>
      <c r="P603" s="2879" t="s">
        <v>3749</v>
      </c>
      <c r="Q603" s="2883">
        <v>2</v>
      </c>
      <c r="R603" s="2927">
        <v>2</v>
      </c>
      <c r="S603" s="2883">
        <v>5</v>
      </c>
      <c r="T603" s="2883">
        <v>1</v>
      </c>
      <c r="U603" s="2883">
        <v>2</v>
      </c>
      <c r="V603" s="2883">
        <v>4</v>
      </c>
      <c r="W603" s="2883">
        <v>1</v>
      </c>
      <c r="X603" s="2884" t="str">
        <f>O603&amp;P603</f>
        <v>InterrupciónInterrumpe Psíquica</v>
      </c>
      <c r="Z603" s="2872"/>
      <c r="AB603" s="2872"/>
    </row>
    <row r="604" spans="1:28" ht="12" customHeight="1" x14ac:dyDescent="0.2">
      <c r="A604" s="6112"/>
      <c r="C604" s="2892"/>
      <c r="D604" s="2892"/>
      <c r="M604" s="2872"/>
      <c r="N604" s="6122"/>
      <c r="O604" s="2901" t="s">
        <v>10153</v>
      </c>
      <c r="P604" s="2879" t="s">
        <v>7690</v>
      </c>
      <c r="Q604" s="2883"/>
      <c r="R604" s="2927"/>
      <c r="S604" s="2883"/>
      <c r="T604" s="2883"/>
      <c r="U604" s="2883"/>
      <c r="V604" s="2883"/>
      <c r="W604" s="2883"/>
      <c r="X604" s="2884" t="str">
        <f>O604&amp;P604</f>
        <v>&gt; INTANGIBILIDAD</v>
      </c>
      <c r="Z604" s="2872"/>
      <c r="AB604" s="2872"/>
    </row>
    <row r="605" spans="1:28" ht="12" customHeight="1" x14ac:dyDescent="0.2">
      <c r="A605" s="6112"/>
      <c r="M605" s="2872"/>
      <c r="N605" s="6122"/>
      <c r="O605" s="2901" t="s">
        <v>3397</v>
      </c>
      <c r="P605" s="2879" t="s">
        <v>7690</v>
      </c>
      <c r="Q605" s="2883">
        <v>3</v>
      </c>
      <c r="R605" s="2927">
        <v>5</v>
      </c>
      <c r="S605" s="2883">
        <v>10</v>
      </c>
      <c r="T605" s="2883">
        <v>2</v>
      </c>
      <c r="U605" s="2883">
        <v>4</v>
      </c>
      <c r="V605" s="2883">
        <v>7</v>
      </c>
      <c r="W605" s="2883">
        <v>1</v>
      </c>
      <c r="X605" s="2884" t="str">
        <f>O605&amp;P605</f>
        <v>Intangibilidad</v>
      </c>
      <c r="Z605" s="2872"/>
      <c r="AB605" s="2872"/>
    </row>
    <row r="606" spans="1:28" ht="12" customHeight="1" x14ac:dyDescent="0.2">
      <c r="A606" s="6112"/>
      <c r="M606" s="2872"/>
      <c r="N606" s="6122"/>
      <c r="O606" s="2901" t="s">
        <v>3397</v>
      </c>
      <c r="P606" s="2879" t="s">
        <v>3750</v>
      </c>
      <c r="Q606" s="2883">
        <v>1</v>
      </c>
      <c r="R606" s="2927">
        <v>1</v>
      </c>
      <c r="S606" s="2883">
        <v>5</v>
      </c>
      <c r="T606" s="2883">
        <v>1</v>
      </c>
      <c r="U606" s="2883">
        <v>2</v>
      </c>
      <c r="V606" s="2883">
        <v>4</v>
      </c>
      <c r="W606" s="2883">
        <v>1</v>
      </c>
      <c r="X606" s="2884" t="str">
        <f>O606&amp;P606</f>
        <v>IntangibilidadPresencia Simple</v>
      </c>
      <c r="Z606" s="2872"/>
      <c r="AB606" s="2872"/>
    </row>
    <row r="607" spans="1:28" ht="12" customHeight="1" x14ac:dyDescent="0.2">
      <c r="A607" s="6112"/>
      <c r="M607" s="2872"/>
      <c r="N607" s="6122"/>
      <c r="O607" s="2901" t="s">
        <v>3397</v>
      </c>
      <c r="P607" s="2879" t="s">
        <v>3751</v>
      </c>
      <c r="Q607" s="2883">
        <v>3</v>
      </c>
      <c r="R607" s="2927">
        <v>3</v>
      </c>
      <c r="S607" s="2883">
        <v>10</v>
      </c>
      <c r="T607" s="2883">
        <v>2</v>
      </c>
      <c r="U607" s="2883">
        <v>4</v>
      </c>
      <c r="V607" s="2883">
        <v>7</v>
      </c>
      <c r="W607" s="2883">
        <v>1</v>
      </c>
      <c r="X607" s="2884" t="str">
        <f>O607&amp;P607</f>
        <v>IntangibilidadPresencia Extendida</v>
      </c>
      <c r="Z607" s="2872"/>
      <c r="AB607" s="2872"/>
    </row>
    <row r="608" spans="1:28" ht="12" customHeight="1" x14ac:dyDescent="0.2">
      <c r="A608" s="6112"/>
      <c r="M608" s="2872"/>
      <c r="N608" s="6122"/>
      <c r="O608" s="2901" t="s">
        <v>3397</v>
      </c>
      <c r="P608" s="2879" t="s">
        <v>3752</v>
      </c>
      <c r="Q608" s="2883">
        <v>2</v>
      </c>
      <c r="R608" s="2927">
        <v>2</v>
      </c>
      <c r="S608" s="2883">
        <v>10</v>
      </c>
      <c r="T608" s="2883">
        <v>2</v>
      </c>
      <c r="U608" s="2883">
        <v>4</v>
      </c>
      <c r="V608" s="2883">
        <v>7</v>
      </c>
      <c r="W608" s="2883">
        <v>1</v>
      </c>
      <c r="X608" s="2884" t="str">
        <f>O608&amp;P608</f>
        <v>IntangibilidadFusión</v>
      </c>
      <c r="Z608" s="2872"/>
      <c r="AB608" s="2872"/>
    </row>
    <row r="609" spans="1:28" ht="12" customHeight="1" x14ac:dyDescent="0.2">
      <c r="A609" s="6112"/>
      <c r="M609" s="2872"/>
      <c r="N609" s="6122"/>
      <c r="O609" s="2901" t="s">
        <v>10154</v>
      </c>
      <c r="P609" s="2879" t="s">
        <v>7690</v>
      </c>
      <c r="Q609" s="2883"/>
      <c r="R609" s="2927"/>
      <c r="S609" s="2883"/>
      <c r="T609" s="2883"/>
      <c r="U609" s="2883"/>
      <c r="V609" s="2883"/>
      <c r="W609" s="2883"/>
      <c r="X609" s="2884" t="str">
        <f>O609&amp;P609</f>
        <v>&gt; MARCA</v>
      </c>
      <c r="Z609" s="2872"/>
      <c r="AB609" s="2872"/>
    </row>
    <row r="610" spans="1:28" ht="12" customHeight="1" x14ac:dyDescent="0.2">
      <c r="A610" s="6112"/>
      <c r="M610" s="2872"/>
      <c r="N610" s="6122"/>
      <c r="O610" s="2901" t="s">
        <v>3402</v>
      </c>
      <c r="P610" s="2879" t="s">
        <v>9191</v>
      </c>
      <c r="Q610" s="2883">
        <v>4</v>
      </c>
      <c r="R610" s="2927">
        <v>6</v>
      </c>
      <c r="S610" s="2883">
        <v>10</v>
      </c>
      <c r="T610" s="2883">
        <v>2</v>
      </c>
      <c r="U610" s="2883">
        <v>4</v>
      </c>
      <c r="V610" s="2883">
        <v>7</v>
      </c>
      <c r="W610" s="2883">
        <v>1</v>
      </c>
      <c r="X610" s="2884" t="str">
        <f>O610&amp;P610</f>
        <v>MarcaMenor</v>
      </c>
      <c r="Z610" s="2872"/>
      <c r="AB610" s="2872"/>
    </row>
    <row r="611" spans="1:28" ht="12" customHeight="1" x14ac:dyDescent="0.2">
      <c r="A611" s="6112"/>
      <c r="M611" s="2872"/>
      <c r="N611" s="6122"/>
      <c r="O611" s="2901" t="s">
        <v>3402</v>
      </c>
      <c r="P611" s="2879" t="s">
        <v>9190</v>
      </c>
      <c r="Q611" s="2883">
        <v>10</v>
      </c>
      <c r="R611" s="2927">
        <v>13</v>
      </c>
      <c r="S611" s="2883">
        <v>25</v>
      </c>
      <c r="T611" s="2883">
        <v>4</v>
      </c>
      <c r="U611" s="2883">
        <v>8</v>
      </c>
      <c r="V611" s="2883">
        <v>14</v>
      </c>
      <c r="W611" s="2883">
        <v>2</v>
      </c>
      <c r="X611" s="2884" t="str">
        <f>O611&amp;P611</f>
        <v>MarcaMayor</v>
      </c>
      <c r="Z611" s="2872"/>
      <c r="AB611" s="2872"/>
    </row>
    <row r="612" spans="1:28" ht="12" customHeight="1" x14ac:dyDescent="0.2">
      <c r="A612" s="6112"/>
      <c r="M612" s="2872"/>
      <c r="N612" s="6122"/>
      <c r="O612" s="2901" t="s">
        <v>3402</v>
      </c>
      <c r="P612" s="2879" t="s">
        <v>3753</v>
      </c>
      <c r="Q612" s="2883">
        <v>4</v>
      </c>
      <c r="R612" s="2927">
        <v>4</v>
      </c>
      <c r="S612" s="2883">
        <v>10</v>
      </c>
      <c r="T612" s="2883"/>
      <c r="U612" s="2883"/>
      <c r="V612" s="2883"/>
      <c r="W612" s="2883">
        <v>1</v>
      </c>
      <c r="X612" s="2884" t="str">
        <f>O612&amp;P612</f>
        <v>MarcaPermanencia Prolongada</v>
      </c>
      <c r="Z612" s="2872"/>
      <c r="AB612" s="2872"/>
    </row>
    <row r="613" spans="1:28" ht="12" customHeight="1" x14ac:dyDescent="0.2">
      <c r="A613" s="6112"/>
      <c r="M613" s="2872"/>
      <c r="N613" s="6122"/>
      <c r="O613" s="2901" t="s">
        <v>3402</v>
      </c>
      <c r="P613" s="2879" t="s">
        <v>3754</v>
      </c>
      <c r="Q613" s="2883">
        <v>10</v>
      </c>
      <c r="R613" s="2927">
        <v>10</v>
      </c>
      <c r="S613" s="2883">
        <v>30</v>
      </c>
      <c r="T613" s="2883">
        <v>2</v>
      </c>
      <c r="U613" s="2883">
        <v>4</v>
      </c>
      <c r="V613" s="2883">
        <v>7</v>
      </c>
      <c r="W613" s="2883">
        <v>1</v>
      </c>
      <c r="X613" s="2884" t="str">
        <f>O613&amp;P613</f>
        <v>MarcaPermanencia Eterna</v>
      </c>
      <c r="Z613" s="2872"/>
      <c r="AB613" s="2872"/>
    </row>
    <row r="614" spans="1:28" ht="12" customHeight="1" x14ac:dyDescent="0.2">
      <c r="A614" s="6112"/>
      <c r="M614" s="2872"/>
      <c r="N614" s="6122"/>
      <c r="O614" s="2901" t="s">
        <v>10155</v>
      </c>
      <c r="P614" s="2879" t="s">
        <v>7690</v>
      </c>
      <c r="Q614" s="2883"/>
      <c r="R614" s="2927"/>
      <c r="S614" s="2883"/>
      <c r="T614" s="2883"/>
      <c r="U614" s="2883"/>
      <c r="V614" s="2883"/>
      <c r="W614" s="2883"/>
      <c r="X614" s="2884" t="str">
        <f>O614&amp;P614</f>
        <v>&gt; POTENCIAR CRÍTICO</v>
      </c>
      <c r="Z614" s="2872"/>
      <c r="AB614" s="2872"/>
    </row>
    <row r="615" spans="1:28" ht="12" customHeight="1" x14ac:dyDescent="0.2">
      <c r="A615" s="6112"/>
      <c r="M615" s="2872"/>
      <c r="N615" s="6122"/>
      <c r="O615" s="2901" t="s">
        <v>9828</v>
      </c>
      <c r="P615" s="2879" t="s">
        <v>8285</v>
      </c>
      <c r="Q615" s="2883">
        <v>2</v>
      </c>
      <c r="R615" s="2927">
        <v>4</v>
      </c>
      <c r="S615" s="2883">
        <v>5</v>
      </c>
      <c r="T615" s="2883">
        <v>1</v>
      </c>
      <c r="U615" s="2883">
        <v>2</v>
      </c>
      <c r="V615" s="2883">
        <v>4</v>
      </c>
      <c r="W615" s="2883">
        <v>1</v>
      </c>
      <c r="X615" s="2884" t="str">
        <f>O615&amp;P615</f>
        <v>Potenciar Crítico+10</v>
      </c>
      <c r="Z615" s="2872"/>
      <c r="AB615" s="2872"/>
    </row>
    <row r="616" spans="1:28" ht="12" customHeight="1" x14ac:dyDescent="0.2">
      <c r="A616" s="6112"/>
      <c r="M616" s="2872"/>
      <c r="N616" s="6122"/>
      <c r="O616" s="2901" t="s">
        <v>9828</v>
      </c>
      <c r="P616" s="2879" t="s">
        <v>8439</v>
      </c>
      <c r="Q616" s="2883">
        <v>3</v>
      </c>
      <c r="R616" s="2927">
        <v>5</v>
      </c>
      <c r="S616" s="2883">
        <v>5</v>
      </c>
      <c r="T616" s="2883">
        <v>2</v>
      </c>
      <c r="U616" s="2883">
        <v>4</v>
      </c>
      <c r="V616" s="2883">
        <v>7</v>
      </c>
      <c r="W616" s="2883">
        <v>1</v>
      </c>
      <c r="X616" s="2884" t="str">
        <f>O616&amp;P616</f>
        <v>Potenciar Crítico+25</v>
      </c>
      <c r="Z616" s="2872"/>
      <c r="AB616" s="2872"/>
    </row>
    <row r="617" spans="1:28" ht="12" customHeight="1" x14ac:dyDescent="0.2">
      <c r="A617" s="6112"/>
      <c r="M617" s="2872"/>
      <c r="N617" s="6122"/>
      <c r="O617" s="2901" t="s">
        <v>9828</v>
      </c>
      <c r="P617" s="2879" t="s">
        <v>8287</v>
      </c>
      <c r="Q617" s="2883">
        <v>4</v>
      </c>
      <c r="R617" s="2927">
        <v>6</v>
      </c>
      <c r="S617" s="2883">
        <v>10</v>
      </c>
      <c r="T617" s="2883">
        <v>3</v>
      </c>
      <c r="U617" s="2883">
        <v>6</v>
      </c>
      <c r="V617" s="2883">
        <v>11</v>
      </c>
      <c r="W617" s="2883">
        <v>1</v>
      </c>
      <c r="X617" s="2884" t="str">
        <f>O617&amp;P617</f>
        <v>Potenciar Crítico+40</v>
      </c>
      <c r="Z617" s="2872"/>
      <c r="AB617" s="2872"/>
    </row>
    <row r="618" spans="1:28" ht="12" customHeight="1" x14ac:dyDescent="0.2">
      <c r="A618" s="6112"/>
      <c r="M618" s="2872"/>
      <c r="N618" s="6122"/>
      <c r="O618" s="2901" t="s">
        <v>9828</v>
      </c>
      <c r="P618" s="2879" t="s">
        <v>8288</v>
      </c>
      <c r="Q618" s="2883">
        <v>5</v>
      </c>
      <c r="R618" s="2927">
        <v>8</v>
      </c>
      <c r="S618" s="2883">
        <v>15</v>
      </c>
      <c r="T618" s="2883">
        <v>4</v>
      </c>
      <c r="U618" s="2883">
        <v>8</v>
      </c>
      <c r="V618" s="2883">
        <v>14</v>
      </c>
      <c r="W618" s="2883">
        <v>1</v>
      </c>
      <c r="X618" s="2884" t="str">
        <f>O618&amp;P618</f>
        <v>Potenciar Crítico+50</v>
      </c>
      <c r="Z618" s="2872"/>
      <c r="AB618" s="2872"/>
    </row>
    <row r="619" spans="1:28" ht="12" customHeight="1" x14ac:dyDescent="0.2">
      <c r="A619" s="6112"/>
      <c r="M619" s="2872"/>
      <c r="N619" s="6122"/>
      <c r="O619" s="2901" t="s">
        <v>9828</v>
      </c>
      <c r="P619" s="2879" t="s">
        <v>9694</v>
      </c>
      <c r="Q619" s="2883">
        <v>8</v>
      </c>
      <c r="R619" s="2927">
        <v>11</v>
      </c>
      <c r="S619" s="2883">
        <v>20</v>
      </c>
      <c r="T619" s="2883">
        <v>6</v>
      </c>
      <c r="U619" s="2883">
        <v>12</v>
      </c>
      <c r="V619" s="2883">
        <v>21</v>
      </c>
      <c r="W619" s="2883">
        <v>1</v>
      </c>
      <c r="X619" s="2884" t="str">
        <f>O619&amp;P619</f>
        <v>Potenciar Crítico+75</v>
      </c>
      <c r="Z619" s="2872"/>
      <c r="AB619" s="2872"/>
    </row>
    <row r="620" spans="1:28" ht="12" customHeight="1" x14ac:dyDescent="0.2">
      <c r="A620" s="6112"/>
      <c r="M620" s="2872"/>
      <c r="N620" s="6122"/>
      <c r="O620" s="2901" t="s">
        <v>9828</v>
      </c>
      <c r="P620" s="2879" t="s">
        <v>9698</v>
      </c>
      <c r="Q620" s="2883">
        <v>12</v>
      </c>
      <c r="R620" s="2927">
        <v>15</v>
      </c>
      <c r="S620" s="2883">
        <v>25</v>
      </c>
      <c r="T620" s="2883">
        <v>8</v>
      </c>
      <c r="U620" s="2883">
        <v>16</v>
      </c>
      <c r="V620" s="2883">
        <v>28</v>
      </c>
      <c r="W620" s="2883">
        <v>1</v>
      </c>
      <c r="X620" s="2884" t="str">
        <f>O620&amp;P620</f>
        <v>Potenciar Crítico+90</v>
      </c>
      <c r="Z620" s="2872"/>
      <c r="AB620" s="2872"/>
    </row>
    <row r="621" spans="1:28" ht="12" customHeight="1" x14ac:dyDescent="0.2">
      <c r="A621" s="6112"/>
      <c r="M621" s="2872"/>
      <c r="N621" s="6122"/>
      <c r="O621" s="2901" t="s">
        <v>9828</v>
      </c>
      <c r="P621" s="2879" t="s">
        <v>9701</v>
      </c>
      <c r="Q621" s="2883">
        <v>14</v>
      </c>
      <c r="R621" s="2927">
        <v>18</v>
      </c>
      <c r="S621" s="2883">
        <v>30</v>
      </c>
      <c r="T621" s="2883">
        <v>10</v>
      </c>
      <c r="U621" s="2883">
        <v>20</v>
      </c>
      <c r="V621" s="2883">
        <v>35</v>
      </c>
      <c r="W621" s="2883">
        <v>1</v>
      </c>
      <c r="X621" s="2884" t="str">
        <f>O621&amp;P621</f>
        <v>Potenciar Crítico+100</v>
      </c>
      <c r="Z621" s="2872"/>
      <c r="AB621" s="2872"/>
    </row>
    <row r="622" spans="1:28" ht="12" customHeight="1" x14ac:dyDescent="0.2">
      <c r="A622" s="6112"/>
      <c r="M622" s="2872"/>
      <c r="N622" s="6122"/>
      <c r="O622" s="2901" t="s">
        <v>9828</v>
      </c>
      <c r="P622" s="2879" t="s">
        <v>9702</v>
      </c>
      <c r="Q622" s="2883">
        <v>18</v>
      </c>
      <c r="R622" s="2927">
        <v>22</v>
      </c>
      <c r="S622" s="2883">
        <v>35</v>
      </c>
      <c r="T622" s="2883">
        <v>12</v>
      </c>
      <c r="U622" s="2883">
        <v>24</v>
      </c>
      <c r="V622" s="2883">
        <v>42</v>
      </c>
      <c r="W622" s="2883">
        <v>2</v>
      </c>
      <c r="X622" s="2884" t="str">
        <f>O622&amp;P622</f>
        <v>Potenciar Crítico+125</v>
      </c>
      <c r="Z622" s="2872"/>
      <c r="AB622" s="2872"/>
    </row>
    <row r="623" spans="1:28" ht="12" customHeight="1" x14ac:dyDescent="0.2">
      <c r="A623" s="6112"/>
      <c r="C623" s="2892"/>
      <c r="D623" s="2892"/>
      <c r="M623" s="2872"/>
      <c r="N623" s="6122"/>
      <c r="O623" s="2901" t="s">
        <v>9828</v>
      </c>
      <c r="P623" s="2879" t="s">
        <v>9704</v>
      </c>
      <c r="Q623" s="2883">
        <v>22</v>
      </c>
      <c r="R623" s="2927">
        <v>26</v>
      </c>
      <c r="S623" s="2883">
        <v>40</v>
      </c>
      <c r="T623" s="2883">
        <v>14</v>
      </c>
      <c r="U623" s="2883">
        <v>28</v>
      </c>
      <c r="V623" s="2883">
        <v>49</v>
      </c>
      <c r="W623" s="2883">
        <v>2</v>
      </c>
      <c r="X623" s="2884" t="str">
        <f>O623&amp;P623</f>
        <v>Potenciar Crítico+150</v>
      </c>
      <c r="Z623" s="2872"/>
      <c r="AB623" s="2872"/>
    </row>
    <row r="624" spans="1:28" ht="12" customHeight="1" x14ac:dyDescent="0.2">
      <c r="A624" s="6112"/>
      <c r="M624" s="2872"/>
      <c r="N624" s="6122"/>
      <c r="O624" s="2901" t="s">
        <v>9828</v>
      </c>
      <c r="P624" s="2879" t="s">
        <v>9707</v>
      </c>
      <c r="Q624" s="2883">
        <v>26</v>
      </c>
      <c r="R624" s="2927">
        <v>32</v>
      </c>
      <c r="S624" s="2883">
        <v>45</v>
      </c>
      <c r="T624" s="2883">
        <v>16</v>
      </c>
      <c r="U624" s="2883">
        <v>32</v>
      </c>
      <c r="V624" s="2883">
        <v>56</v>
      </c>
      <c r="W624" s="2883">
        <v>3</v>
      </c>
      <c r="X624" s="2884" t="str">
        <f>O624&amp;P624</f>
        <v>Potenciar Crítico+175</v>
      </c>
      <c r="Z624" s="2872"/>
      <c r="AB624" s="2872"/>
    </row>
    <row r="625" spans="1:28" ht="12" customHeight="1" x14ac:dyDescent="0.2">
      <c r="A625" s="6112"/>
      <c r="M625" s="2872"/>
      <c r="N625" s="6122"/>
      <c r="O625" s="2901" t="s">
        <v>9828</v>
      </c>
      <c r="P625" s="2879" t="s">
        <v>9709</v>
      </c>
      <c r="Q625" s="2883">
        <v>30</v>
      </c>
      <c r="R625" s="2927">
        <v>36</v>
      </c>
      <c r="S625" s="2883">
        <v>50</v>
      </c>
      <c r="T625" s="2883">
        <v>18</v>
      </c>
      <c r="U625" s="2883">
        <v>36</v>
      </c>
      <c r="V625" s="2883">
        <v>63</v>
      </c>
      <c r="W625" s="2883">
        <v>3</v>
      </c>
      <c r="X625" s="2884" t="str">
        <f>O625&amp;P625</f>
        <v>Potenciar Crítico+200</v>
      </c>
      <c r="Z625" s="2872"/>
      <c r="AB625" s="2872"/>
    </row>
    <row r="626" spans="1:28" ht="12" customHeight="1" x14ac:dyDescent="0.2">
      <c r="A626" s="6112"/>
      <c r="M626" s="2872"/>
      <c r="N626" s="6122"/>
      <c r="O626" s="2901" t="s">
        <v>9828</v>
      </c>
      <c r="P626" s="2879" t="s">
        <v>15</v>
      </c>
      <c r="Q626" s="2883">
        <v>8</v>
      </c>
      <c r="R626" s="2927">
        <v>8</v>
      </c>
      <c r="S626" s="2883">
        <v>30</v>
      </c>
      <c r="T626" s="2883">
        <v>4</v>
      </c>
      <c r="U626" s="2883">
        <v>8</v>
      </c>
      <c r="V626" s="2883">
        <v>14</v>
      </c>
      <c r="W626" s="2883">
        <v>1</v>
      </c>
      <c r="X626" s="2884" t="str">
        <f>O626&amp;P626</f>
        <v>Potenciar CríticoCrítico Automático</v>
      </c>
      <c r="Z626" s="2872"/>
      <c r="AB626" s="2872"/>
    </row>
    <row r="627" spans="1:28" ht="12" customHeight="1" x14ac:dyDescent="0.2">
      <c r="A627" s="6112"/>
      <c r="M627" s="2872"/>
      <c r="N627" s="6122"/>
      <c r="O627" s="2901" t="s">
        <v>10156</v>
      </c>
      <c r="P627" s="2879" t="s">
        <v>7690</v>
      </c>
      <c r="Q627" s="2883"/>
      <c r="R627" s="2927"/>
      <c r="S627" s="2883"/>
      <c r="T627" s="2883"/>
      <c r="U627" s="2883"/>
      <c r="V627" s="2883"/>
      <c r="W627" s="2883"/>
      <c r="X627" s="2884" t="str">
        <f>O627&amp;P627</f>
        <v>&gt; POTENCIAR CRÍTICO REAL</v>
      </c>
      <c r="Z627" s="2872"/>
      <c r="AB627" s="2872"/>
    </row>
    <row r="628" spans="1:28" ht="12" customHeight="1" x14ac:dyDescent="0.2">
      <c r="A628" s="6112"/>
      <c r="M628" s="2872"/>
      <c r="N628" s="6122"/>
      <c r="O628" s="2901" t="s">
        <v>9830</v>
      </c>
      <c r="P628" s="2879" t="s">
        <v>8285</v>
      </c>
      <c r="Q628" s="2883">
        <v>3</v>
      </c>
      <c r="R628" s="2927">
        <v>5</v>
      </c>
      <c r="S628" s="2883">
        <v>10</v>
      </c>
      <c r="T628" s="2883">
        <v>2</v>
      </c>
      <c r="U628" s="2883">
        <v>4</v>
      </c>
      <c r="V628" s="2883">
        <v>7</v>
      </c>
      <c r="W628" s="2883">
        <v>1</v>
      </c>
      <c r="X628" s="2884" t="str">
        <f>O628&amp;P628</f>
        <v>Potenciar Crítico Real+10</v>
      </c>
      <c r="Z628" s="2872"/>
      <c r="AB628" s="2872"/>
    </row>
    <row r="629" spans="1:28" ht="12" customHeight="1" x14ac:dyDescent="0.2">
      <c r="A629" s="6112"/>
      <c r="M629" s="2872"/>
      <c r="N629" s="6122"/>
      <c r="O629" s="2901" t="s">
        <v>9830</v>
      </c>
      <c r="P629" s="2879" t="s">
        <v>8439</v>
      </c>
      <c r="Q629" s="2883">
        <v>5</v>
      </c>
      <c r="R629" s="2927">
        <v>8</v>
      </c>
      <c r="S629" s="2883">
        <v>20</v>
      </c>
      <c r="T629" s="2883">
        <v>4</v>
      </c>
      <c r="U629" s="2883">
        <v>8</v>
      </c>
      <c r="V629" s="2883">
        <v>14</v>
      </c>
      <c r="W629" s="2883">
        <v>1</v>
      </c>
      <c r="X629" s="2884" t="str">
        <f>O629&amp;P629</f>
        <v>Potenciar Crítico Real+25</v>
      </c>
      <c r="Z629" s="2872"/>
      <c r="AB629" s="2872"/>
    </row>
    <row r="630" spans="1:28" ht="12" customHeight="1" x14ac:dyDescent="0.2">
      <c r="A630" s="6112"/>
      <c r="M630" s="2872"/>
      <c r="N630" s="6122"/>
      <c r="O630" s="2901" t="s">
        <v>9830</v>
      </c>
      <c r="P630" s="2879" t="s">
        <v>8287</v>
      </c>
      <c r="Q630" s="2883">
        <v>7</v>
      </c>
      <c r="R630" s="2927">
        <v>9</v>
      </c>
      <c r="S630" s="2883">
        <v>25</v>
      </c>
      <c r="T630" s="2883">
        <v>6</v>
      </c>
      <c r="U630" s="2883">
        <v>12</v>
      </c>
      <c r="V630" s="2883">
        <v>21</v>
      </c>
      <c r="W630" s="2883">
        <v>1</v>
      </c>
      <c r="X630" s="2884" t="str">
        <f>O630&amp;P630</f>
        <v>Potenciar Crítico Real+40</v>
      </c>
      <c r="Z630" s="2872"/>
      <c r="AB630" s="2872"/>
    </row>
    <row r="631" spans="1:28" ht="12" customHeight="1" x14ac:dyDescent="0.2">
      <c r="A631" s="6112"/>
      <c r="M631" s="2872"/>
      <c r="N631" s="6122"/>
      <c r="O631" s="2901" t="s">
        <v>9830</v>
      </c>
      <c r="P631" s="2879" t="s">
        <v>8288</v>
      </c>
      <c r="Q631" s="2883">
        <v>9</v>
      </c>
      <c r="R631" s="2927">
        <v>12</v>
      </c>
      <c r="S631" s="2883">
        <v>35</v>
      </c>
      <c r="T631" s="2883">
        <v>8</v>
      </c>
      <c r="U631" s="2883">
        <v>16</v>
      </c>
      <c r="V631" s="2883">
        <v>28</v>
      </c>
      <c r="W631" s="2883">
        <v>2</v>
      </c>
      <c r="X631" s="2884" t="str">
        <f>O631&amp;P631</f>
        <v>Potenciar Crítico Real+50</v>
      </c>
      <c r="Z631" s="2872"/>
      <c r="AB631" s="2872"/>
    </row>
    <row r="632" spans="1:28" ht="12" customHeight="1" x14ac:dyDescent="0.2">
      <c r="A632" s="6112"/>
      <c r="M632" s="2872"/>
      <c r="N632" s="6122"/>
      <c r="O632" s="2901" t="s">
        <v>9830</v>
      </c>
      <c r="P632" s="2879" t="s">
        <v>9694</v>
      </c>
      <c r="Q632" s="2883">
        <v>12</v>
      </c>
      <c r="R632" s="2927">
        <v>15</v>
      </c>
      <c r="S632" s="2883">
        <v>50</v>
      </c>
      <c r="T632" s="2883">
        <v>10</v>
      </c>
      <c r="U632" s="2883">
        <v>20</v>
      </c>
      <c r="V632" s="2883">
        <v>35</v>
      </c>
      <c r="W632" s="2883">
        <v>2</v>
      </c>
      <c r="X632" s="2884" t="str">
        <f>O632&amp;P632</f>
        <v>Potenciar Crítico Real+75</v>
      </c>
      <c r="Z632" s="2872"/>
      <c r="AB632" s="2872"/>
    </row>
    <row r="633" spans="1:28" ht="12" customHeight="1" x14ac:dyDescent="0.2">
      <c r="A633" s="6112"/>
      <c r="M633" s="2872"/>
      <c r="N633" s="6122"/>
      <c r="O633" s="2901" t="s">
        <v>9830</v>
      </c>
      <c r="P633" s="2879" t="s">
        <v>9698</v>
      </c>
      <c r="Q633" s="2883">
        <v>16</v>
      </c>
      <c r="R633" s="2927">
        <v>20</v>
      </c>
      <c r="S633" s="2883">
        <v>60</v>
      </c>
      <c r="T633" s="2883">
        <v>12</v>
      </c>
      <c r="U633" s="2883">
        <v>24</v>
      </c>
      <c r="V633" s="2883">
        <v>42</v>
      </c>
      <c r="W633" s="2883">
        <v>3</v>
      </c>
      <c r="X633" s="2884" t="str">
        <f>O633&amp;P633</f>
        <v>Potenciar Crítico Real+90</v>
      </c>
      <c r="Z633" s="2872"/>
      <c r="AB633" s="2872"/>
    </row>
    <row r="634" spans="1:28" ht="12" customHeight="1" x14ac:dyDescent="0.2">
      <c r="A634" s="6112"/>
      <c r="M634" s="2872"/>
      <c r="N634" s="6122"/>
      <c r="O634" s="2901" t="s">
        <v>9830</v>
      </c>
      <c r="P634" s="2879" t="s">
        <v>9701</v>
      </c>
      <c r="Q634" s="2883">
        <v>18</v>
      </c>
      <c r="R634" s="2927">
        <v>22</v>
      </c>
      <c r="S634" s="2883">
        <v>65</v>
      </c>
      <c r="T634" s="2883">
        <v>14</v>
      </c>
      <c r="U634" s="2883">
        <v>28</v>
      </c>
      <c r="V634" s="2883">
        <v>49</v>
      </c>
      <c r="W634" s="2883">
        <v>3</v>
      </c>
      <c r="X634" s="2884" t="str">
        <f>O634&amp;P634</f>
        <v>Potenciar Crítico Real+100</v>
      </c>
      <c r="Z634" s="2872"/>
      <c r="AB634" s="2872"/>
    </row>
    <row r="635" spans="1:28" ht="12" customHeight="1" x14ac:dyDescent="0.2">
      <c r="A635" s="6112"/>
      <c r="M635" s="2872"/>
      <c r="N635" s="6122"/>
      <c r="O635" s="2901" t="s">
        <v>9830</v>
      </c>
      <c r="P635" s="2879" t="s">
        <v>15</v>
      </c>
      <c r="Q635" s="2883">
        <v>8</v>
      </c>
      <c r="R635" s="2927">
        <v>8</v>
      </c>
      <c r="S635" s="2883">
        <v>30</v>
      </c>
      <c r="T635" s="2883">
        <v>4</v>
      </c>
      <c r="U635" s="2883">
        <v>8</v>
      </c>
      <c r="V635" s="2883">
        <v>14</v>
      </c>
      <c r="W635" s="2883">
        <v>1</v>
      </c>
      <c r="X635" s="2884" t="str">
        <f>O635&amp;P635</f>
        <v>Potenciar Crítico RealCrítico Automático</v>
      </c>
      <c r="Z635" s="2872"/>
      <c r="AB635" s="2872"/>
    </row>
    <row r="636" spans="1:28" ht="12" customHeight="1" x14ac:dyDescent="0.2">
      <c r="A636" s="6112"/>
      <c r="M636" s="2872"/>
      <c r="N636" s="6122"/>
      <c r="O636" s="2901" t="s">
        <v>10157</v>
      </c>
      <c r="P636" s="2879" t="s">
        <v>7690</v>
      </c>
      <c r="Q636" s="2883"/>
      <c r="R636" s="2927"/>
      <c r="S636" s="2883"/>
      <c r="T636" s="2883"/>
      <c r="U636" s="2883"/>
      <c r="V636" s="2883"/>
      <c r="W636" s="2883"/>
      <c r="X636" s="2884" t="str">
        <f>O636&amp;P636</f>
        <v>&gt; REFLECTAR EL ATAQUE</v>
      </c>
      <c r="Z636" s="2872"/>
      <c r="AB636" s="2872"/>
    </row>
    <row r="637" spans="1:28" ht="12" customHeight="1" x14ac:dyDescent="0.2">
      <c r="A637" s="6112"/>
      <c r="M637" s="2872"/>
      <c r="N637" s="6122"/>
      <c r="O637" s="2901" t="s">
        <v>10158</v>
      </c>
      <c r="P637" s="2879" t="s">
        <v>7690</v>
      </c>
      <c r="Q637" s="2883">
        <v>12</v>
      </c>
      <c r="R637" s="2927">
        <v>15</v>
      </c>
      <c r="S637" s="2883">
        <v>30</v>
      </c>
      <c r="T637" s="2883">
        <v>8</v>
      </c>
      <c r="U637" s="2883">
        <v>16</v>
      </c>
      <c r="V637" s="2883">
        <v>28</v>
      </c>
      <c r="W637" s="2883">
        <v>2</v>
      </c>
      <c r="X637" s="2884" t="str">
        <f>O637&amp;P637</f>
        <v>Reflectar El Ataque</v>
      </c>
      <c r="Z637" s="2872"/>
      <c r="AB637" s="2872"/>
    </row>
    <row r="638" spans="1:28" ht="12" customHeight="1" x14ac:dyDescent="0.2">
      <c r="A638" s="6112"/>
      <c r="C638" s="2892"/>
      <c r="D638" s="2892"/>
      <c r="M638" s="2872"/>
      <c r="N638" s="6122"/>
      <c r="O638" s="2901" t="s">
        <v>10158</v>
      </c>
      <c r="P638" s="2879" t="s">
        <v>3714</v>
      </c>
      <c r="Q638" s="2883">
        <v>2</v>
      </c>
      <c r="R638" s="2927">
        <v>2</v>
      </c>
      <c r="S638" s="2883">
        <v>10</v>
      </c>
      <c r="T638" s="2883">
        <v>2</v>
      </c>
      <c r="U638" s="2883">
        <v>4</v>
      </c>
      <c r="V638" s="2883">
        <v>7</v>
      </c>
      <c r="W638" s="2883">
        <v>1</v>
      </c>
      <c r="X638" s="2884" t="str">
        <f>O638&amp;P638</f>
        <v>Reflectar El AtaqueElección de Blanco</v>
      </c>
      <c r="Z638" s="2872"/>
      <c r="AB638" s="2872"/>
    </row>
    <row r="639" spans="1:28" ht="12" customHeight="1" thickBot="1" x14ac:dyDescent="0.25">
      <c r="A639" s="6112"/>
      <c r="M639" s="2872"/>
      <c r="N639" s="6123"/>
      <c r="O639" s="2902" t="s">
        <v>10158</v>
      </c>
      <c r="P639" s="2887" t="s">
        <v>3756</v>
      </c>
      <c r="Q639" s="2893">
        <v>4</v>
      </c>
      <c r="R639" s="2928">
        <v>4</v>
      </c>
      <c r="S639" s="2893">
        <v>20</v>
      </c>
      <c r="T639" s="2893">
        <v>1</v>
      </c>
      <c r="U639" s="2893">
        <v>2</v>
      </c>
      <c r="V639" s="2893">
        <v>4</v>
      </c>
      <c r="W639" s="2893">
        <v>1</v>
      </c>
      <c r="X639" s="2894" t="str">
        <f>O639&amp;P639</f>
        <v>Reflectar El AtaqueReflectar Habilidades Esotéricas</v>
      </c>
      <c r="Z639" s="2872"/>
      <c r="AB639" s="2872"/>
    </row>
    <row r="640" spans="1:28" ht="12" customHeight="1" x14ac:dyDescent="0.2">
      <c r="A640" s="6112"/>
      <c r="Q640" s="1212"/>
      <c r="R640" s="1212"/>
      <c r="S640" s="1212"/>
      <c r="T640" s="1212"/>
      <c r="U640" s="1212"/>
      <c r="V640" s="1212"/>
      <c r="W640" s="1212"/>
      <c r="X640" s="1212"/>
      <c r="Y640" s="1212"/>
    </row>
    <row r="641" spans="1:25" ht="12" customHeight="1" x14ac:dyDescent="0.2">
      <c r="A641" s="6109"/>
      <c r="B641" s="6110" t="s">
        <v>10159</v>
      </c>
      <c r="C641" s="6110"/>
      <c r="D641" s="6110"/>
      <c r="E641" s="6110"/>
      <c r="F641" s="6110"/>
      <c r="G641" s="6110"/>
      <c r="H641" s="6110"/>
      <c r="I641" s="6110"/>
      <c r="J641" s="6110"/>
      <c r="K641" s="6110"/>
      <c r="L641" s="6110"/>
      <c r="N641" s="124"/>
      <c r="O641" s="2895"/>
      <c r="U641" s="2872"/>
      <c r="Y641"/>
    </row>
    <row r="642" spans="1:25" ht="12" customHeight="1" x14ac:dyDescent="0.2">
      <c r="A642" s="6109"/>
      <c r="B642" s="6110"/>
      <c r="C642" s="6110"/>
      <c r="D642" s="6110"/>
      <c r="E642" s="6110"/>
      <c r="F642" s="6110"/>
      <c r="G642" s="6110"/>
      <c r="H642" s="6110"/>
      <c r="I642" s="6110"/>
      <c r="J642" s="6110"/>
      <c r="K642" s="6110"/>
      <c r="L642" s="6110"/>
      <c r="M642" s="2904"/>
      <c r="N642" s="124"/>
      <c r="O642" s="2895"/>
      <c r="U642" s="2872"/>
      <c r="Y642"/>
    </row>
    <row r="643" spans="1:25" ht="12" customHeight="1" x14ac:dyDescent="0.2">
      <c r="A643" s="6109"/>
      <c r="B643" s="6110"/>
      <c r="C643" s="6110"/>
      <c r="D643" s="6110"/>
      <c r="E643" s="6110"/>
      <c r="F643" s="6110"/>
      <c r="G643" s="6110"/>
      <c r="H643" s="6110"/>
      <c r="I643" s="6110"/>
      <c r="J643" s="6110"/>
      <c r="K643" s="6110"/>
      <c r="L643" s="6110"/>
      <c r="N643" s="124"/>
      <c r="O643" s="2895"/>
      <c r="U643" s="2872"/>
      <c r="Y643"/>
    </row>
    <row r="644" spans="1:25" ht="12" customHeight="1" x14ac:dyDescent="0.2">
      <c r="A644" s="6109"/>
      <c r="N644" s="124"/>
      <c r="O644" s="2895"/>
      <c r="U644" s="2872"/>
      <c r="Y644"/>
    </row>
    <row r="645" spans="1:25" ht="12" customHeight="1" x14ac:dyDescent="0.2">
      <c r="A645" s="6109"/>
      <c r="B645" s="6111"/>
      <c r="C645" s="6127" t="s">
        <v>10160</v>
      </c>
      <c r="D645" s="6128"/>
      <c r="E645" s="6128"/>
      <c r="F645" s="6128"/>
      <c r="G645" s="6128"/>
      <c r="H645" s="6128"/>
      <c r="I645" s="6128"/>
      <c r="J645" s="6128"/>
      <c r="K645" s="6128"/>
      <c r="L645" s="6128"/>
      <c r="M645" s="6128"/>
      <c r="N645" s="6128"/>
      <c r="O645" s="2895"/>
      <c r="U645" s="2872"/>
      <c r="Y645"/>
    </row>
    <row r="646" spans="1:25" ht="12" customHeight="1" thickBot="1" x14ac:dyDescent="0.25">
      <c r="A646" s="6109"/>
      <c r="B646" s="6111"/>
      <c r="C646" s="6127"/>
      <c r="D646" s="6128"/>
      <c r="E646" s="6128"/>
      <c r="F646" s="6128"/>
      <c r="G646" s="6128"/>
      <c r="H646" s="6128"/>
      <c r="I646" s="6128"/>
      <c r="J646" s="6128"/>
      <c r="K646" s="6128"/>
      <c r="L646" s="6128"/>
      <c r="M646" s="6128"/>
      <c r="N646" s="6128"/>
      <c r="O646" s="2895"/>
      <c r="U646" s="2872"/>
      <c r="Y646"/>
    </row>
    <row r="647" spans="1:25" ht="12" customHeight="1" x14ac:dyDescent="0.2">
      <c r="A647" s="6109"/>
      <c r="B647" s="6111"/>
      <c r="C647" s="2906">
        <v>1</v>
      </c>
      <c r="D647" s="2905">
        <v>2</v>
      </c>
      <c r="E647" s="2905">
        <v>3</v>
      </c>
      <c r="F647" s="2905">
        <v>4</v>
      </c>
      <c r="G647" s="2905">
        <v>5</v>
      </c>
      <c r="H647" s="2905">
        <v>6</v>
      </c>
      <c r="I647" s="2905"/>
      <c r="J647" s="2905"/>
      <c r="K647" s="2905">
        <v>7</v>
      </c>
      <c r="L647" s="2905">
        <v>8</v>
      </c>
      <c r="M647" s="2905">
        <v>9</v>
      </c>
      <c r="N647" s="2907">
        <v>10</v>
      </c>
      <c r="O647" s="2895"/>
      <c r="P647" s="6107" t="s">
        <v>10221</v>
      </c>
      <c r="U647" s="2872"/>
      <c r="Y647"/>
    </row>
    <row r="648" spans="1:25" ht="12" customHeight="1" x14ac:dyDescent="0.2">
      <c r="A648" s="6109"/>
      <c r="B648" s="6111"/>
      <c r="C648" s="2906" t="s">
        <v>1714</v>
      </c>
      <c r="D648" s="2905" t="s">
        <v>10161</v>
      </c>
      <c r="E648" s="2905" t="s">
        <v>1676</v>
      </c>
      <c r="F648" s="2905" t="s">
        <v>1774</v>
      </c>
      <c r="G648" s="2905" t="s">
        <v>1764</v>
      </c>
      <c r="H648" s="2905" t="s">
        <v>3223</v>
      </c>
      <c r="I648" s="2905"/>
      <c r="J648" s="2905"/>
      <c r="K648" s="2905" t="s">
        <v>10162</v>
      </c>
      <c r="L648" s="2905" t="s">
        <v>1672</v>
      </c>
      <c r="M648" s="2905" t="s">
        <v>1824</v>
      </c>
      <c r="N648" s="2908" t="s">
        <v>10163</v>
      </c>
      <c r="P648" s="6108"/>
    </row>
    <row r="649" spans="1:25" ht="12" customHeight="1" x14ac:dyDescent="0.2">
      <c r="A649" s="6109"/>
      <c r="B649" s="6111"/>
      <c r="C649" s="2909" t="s">
        <v>3224</v>
      </c>
      <c r="D649" s="2910"/>
      <c r="E649" s="2911"/>
      <c r="F649" s="2911"/>
      <c r="G649" s="2912"/>
      <c r="H649" s="2913"/>
      <c r="I649" s="2913"/>
      <c r="J649" s="2913"/>
      <c r="K649" s="2910"/>
      <c r="L649" s="2897"/>
      <c r="M649" s="2897"/>
      <c r="N649" s="2924"/>
      <c r="P649" s="2929" t="s">
        <v>10197</v>
      </c>
    </row>
    <row r="650" spans="1:25" ht="12" customHeight="1" x14ac:dyDescent="0.2">
      <c r="A650" s="6109"/>
      <c r="B650" s="6111"/>
      <c r="C650" s="2909" t="str">
        <f>IF(INDEX('Creación de Técnicas'!D:D,$N650)="","Técnica Propia "&amp;Tablas!$A1,INDEX('Creación de Técnicas'!D:D,$N650))</f>
        <v>Nombre de la técnica</v>
      </c>
      <c r="D650" s="2910" t="str">
        <f>PROPER(MID(C649,3,100))</f>
        <v>Técnicas Propias</v>
      </c>
      <c r="E650" s="2915">
        <f>MAX(1,INDEX('Creación de Técnicas'!R:R,$N650))</f>
        <v>1</v>
      </c>
      <c r="F650" s="2915">
        <f>INDEX('Creación de Técnicas'!W:W,$N650)</f>
        <v>0</v>
      </c>
      <c r="G650" s="2915">
        <f>INDEX('Creación de Técnicas'!Z:Z,$N650)</f>
        <v>0</v>
      </c>
      <c r="H650" s="2913" t="str">
        <f>IF(INDEX('Creación de Técnicas'!U:U,$N650)="Si","Combinable. ","")&amp;INDEX('Creación de Técnicas'!AO:AO,$N650+12)</f>
        <v>Habilidad de Ataque), Habilidad de Ataque Completa)</v>
      </c>
      <c r="I650" s="2913"/>
      <c r="J650" s="2913"/>
      <c r="K650" s="2910" t="str">
        <f>INDEX('Creación de Técnicas'!AO:AO,$N650+13)</f>
        <v>Atadura Elemental (Aire)</v>
      </c>
      <c r="L650" s="2897"/>
      <c r="M650" s="2897">
        <f>INDEX('Creación de Técnicas'!D:D,$N650+(37-12))</f>
        <v>0</v>
      </c>
      <c r="N650" s="2914">
        <f>12+((45-12)*(Tablas!$A1-1))</f>
        <v>12</v>
      </c>
      <c r="P650" s="2929" t="s">
        <v>10198</v>
      </c>
    </row>
    <row r="651" spans="1:25" ht="12" customHeight="1" x14ac:dyDescent="0.2">
      <c r="A651" s="6109"/>
      <c r="B651" s="6111"/>
      <c r="C651" s="2909" t="str">
        <f>IF(INDEX('Creación de Técnicas'!D:D,N651)="","Técnica Propia "&amp;Tablas!$A2,INDEX('Creación de Técnicas'!D:D,N651))</f>
        <v>Técnica Propia 2</v>
      </c>
      <c r="D651" s="2910" t="str">
        <f>D650</f>
        <v>Técnicas Propias</v>
      </c>
      <c r="E651" s="2915">
        <f>MAX(1,INDEX('Creación de Técnicas'!R:R,N651))</f>
        <v>1</v>
      </c>
      <c r="F651" s="2915">
        <f>INDEX('Creación de Técnicas'!W:W,$N651)</f>
        <v>0</v>
      </c>
      <c r="G651" s="2915">
        <f>INDEX('Creación de Técnicas'!Z:Z,$N651)</f>
        <v>0</v>
      </c>
      <c r="H651" s="2913">
        <f>INDEX('Creación de Técnicas'!AO:AO,$N651+12)</f>
        <v>0</v>
      </c>
      <c r="I651" s="2913"/>
      <c r="J651" s="2913"/>
      <c r="K651" s="2910" t="e">
        <f>INDEX('Creación de Técnicas'!AO:AO,$N651+13)</f>
        <v>#VALUE!</v>
      </c>
      <c r="L651" s="2897"/>
      <c r="M651" s="2897" t="str">
        <f>INDEX('Creación de Técnicas'!D:D,$N651+(37-12))</f>
        <v>Descripción</v>
      </c>
      <c r="N651" s="2914">
        <f>12+((45-12)*(Tablas!$A2-1))</f>
        <v>45</v>
      </c>
      <c r="P651" s="2929" t="s">
        <v>3070</v>
      </c>
    </row>
    <row r="652" spans="1:25" ht="12" customHeight="1" x14ac:dyDescent="0.2">
      <c r="A652" s="6109"/>
      <c r="B652" s="6111"/>
      <c r="C652" s="2909" t="str">
        <f>IF(INDEX('Creación de Técnicas'!D:D,N652)="","Técnica Propia "&amp;Tablas!$A3,INDEX('Creación de Técnicas'!D:D,N652))</f>
        <v>Técnica Propia 3</v>
      </c>
      <c r="D652" s="2910" t="str">
        <f>D651</f>
        <v>Técnicas Propias</v>
      </c>
      <c r="E652" s="2915">
        <f>MAX(1,INDEX('Creación de Técnicas'!R:R,N652))</f>
        <v>1</v>
      </c>
      <c r="F652" s="2915">
        <f>INDEX('Creación de Técnicas'!W:W,$N652)</f>
        <v>0</v>
      </c>
      <c r="G652" s="2915">
        <f>INDEX('Creación de Técnicas'!Z:Z,$N652)</f>
        <v>0</v>
      </c>
      <c r="H652" s="2913">
        <f>INDEX('Creación de Técnicas'!AO:AO,$N652+12)</f>
        <v>0</v>
      </c>
      <c r="I652" s="2913"/>
      <c r="J652" s="2913"/>
      <c r="K652" s="2910" t="e">
        <f>INDEX('Creación de Técnicas'!AO:AO,$N652+13)</f>
        <v>#VALUE!</v>
      </c>
      <c r="L652" s="2897"/>
      <c r="M652" s="2897" t="str">
        <f>INDEX('Creación de Técnicas'!D:D,$N652+(37-12))</f>
        <v>Descripción</v>
      </c>
      <c r="N652" s="2914">
        <f>12+((45-12)*(Tablas!$A3-1))</f>
        <v>78</v>
      </c>
      <c r="P652" s="2929" t="s">
        <v>10199</v>
      </c>
    </row>
    <row r="653" spans="1:25" ht="12" customHeight="1" x14ac:dyDescent="0.2">
      <c r="A653" s="6109"/>
      <c r="B653" s="6111"/>
      <c r="C653" s="2909" t="str">
        <f>IF(INDEX('Creación de Técnicas'!D:D,N653)="","Técnica Propia "&amp;Tablas!$A4,INDEX('Creación de Técnicas'!D:D,N653))</f>
        <v>Técnica Propia 4</v>
      </c>
      <c r="D653" s="2910" t="str">
        <f>D652</f>
        <v>Técnicas Propias</v>
      </c>
      <c r="E653" s="2915">
        <f>MAX(1,INDEX('Creación de Técnicas'!R:R,N653))</f>
        <v>1</v>
      </c>
      <c r="F653" s="2915">
        <f>INDEX('Creación de Técnicas'!W:W,$N653)</f>
        <v>0</v>
      </c>
      <c r="G653" s="2915">
        <f>INDEX('Creación de Técnicas'!Z:Z,$N653)</f>
        <v>0</v>
      </c>
      <c r="H653" s="2913">
        <f>INDEX('Creación de Técnicas'!AO:AO,$N653+12)</f>
        <v>0</v>
      </c>
      <c r="I653" s="2913"/>
      <c r="J653" s="2913"/>
      <c r="K653" s="2910" t="e">
        <f>INDEX('Creación de Técnicas'!AO:AO,$N653+13)</f>
        <v>#VALUE!</v>
      </c>
      <c r="L653" s="2897"/>
      <c r="M653" s="2897" t="str">
        <f>INDEX('Creación de Técnicas'!D:D,$N653+(37-12))</f>
        <v>Descripción</v>
      </c>
      <c r="N653" s="2914">
        <f>12+((45-12)*(Tablas!$A4-1))</f>
        <v>111</v>
      </c>
      <c r="P653" s="2929" t="s">
        <v>10200</v>
      </c>
    </row>
    <row r="654" spans="1:25" ht="12" customHeight="1" x14ac:dyDescent="0.2">
      <c r="A654" s="6109"/>
      <c r="B654" s="6111"/>
      <c r="C654" s="2909" t="str">
        <f>IF(INDEX('Creación de Técnicas'!D:D,N654)="","Técnica Propia "&amp;Tablas!$A5,INDEX('Creación de Técnicas'!D:D,N654))</f>
        <v>Técnica Propia 5</v>
      </c>
      <c r="D654" s="2910" t="str">
        <f>D653</f>
        <v>Técnicas Propias</v>
      </c>
      <c r="E654" s="2915">
        <f>MAX(1,INDEX('Creación de Técnicas'!R:R,N654))</f>
        <v>1</v>
      </c>
      <c r="F654" s="2915">
        <f>INDEX('Creación de Técnicas'!W:W,$N654)</f>
        <v>0</v>
      </c>
      <c r="G654" s="2915">
        <f>INDEX('Creación de Técnicas'!Z:Z,$N654)</f>
        <v>0</v>
      </c>
      <c r="H654" s="2913">
        <f>INDEX('Creación de Técnicas'!AO:AO,$N654+12)</f>
        <v>0</v>
      </c>
      <c r="I654" s="2913"/>
      <c r="J654" s="2913"/>
      <c r="K654" s="2910" t="e">
        <f>INDEX('Creación de Técnicas'!AO:AO,$N654+13)</f>
        <v>#VALUE!</v>
      </c>
      <c r="L654" s="2897"/>
      <c r="M654" s="2897" t="str">
        <f>INDEX('Creación de Técnicas'!D:D,$N654+(37-12))</f>
        <v>Descripción</v>
      </c>
      <c r="N654" s="2914">
        <f>12+((45-12)*(Tablas!$A5-1))</f>
        <v>144</v>
      </c>
      <c r="P654" s="2929" t="s">
        <v>10201</v>
      </c>
    </row>
    <row r="655" spans="1:25" ht="12" customHeight="1" x14ac:dyDescent="0.2">
      <c r="A655" s="6109"/>
      <c r="B655" s="6111"/>
      <c r="C655" s="2909" t="str">
        <f>IF(INDEX('Creación de Técnicas'!D:D,N655)="","Técnica Propia "&amp;Tablas!$A6,INDEX('Creación de Técnicas'!D:D,N655))</f>
        <v>Técnica Propia 6</v>
      </c>
      <c r="D655" s="2910" t="str">
        <f t="shared" ref="D655:D659" si="1">D654</f>
        <v>Técnicas Propias</v>
      </c>
      <c r="E655" s="2915">
        <f>MAX(1,INDEX('Creación de Técnicas'!R:R,N655))</f>
        <v>1</v>
      </c>
      <c r="F655" s="2915">
        <f>INDEX('Creación de Técnicas'!W:W,$N655)</f>
        <v>0</v>
      </c>
      <c r="G655" s="2915">
        <f>INDEX('Creación de Técnicas'!Z:Z,$N655)</f>
        <v>0</v>
      </c>
      <c r="H655" s="2913">
        <f>INDEX('Creación de Técnicas'!AO:AO,$N655+12)</f>
        <v>0</v>
      </c>
      <c r="I655" s="2913"/>
      <c r="J655" s="2913"/>
      <c r="K655" s="2910" t="e">
        <f>INDEX('Creación de Técnicas'!AO:AO,$N655+13)</f>
        <v>#VALUE!</v>
      </c>
      <c r="L655" s="2897"/>
      <c r="M655" s="2897" t="str">
        <f>INDEX('Creación de Técnicas'!D:D,$N655+(37-12))</f>
        <v>Descripción</v>
      </c>
      <c r="N655" s="2914">
        <f>12+((45-12)*(Tablas!$A6-1))</f>
        <v>177</v>
      </c>
      <c r="P655" s="2929" t="s">
        <v>10202</v>
      </c>
    </row>
    <row r="656" spans="1:25" ht="12" customHeight="1" x14ac:dyDescent="0.2">
      <c r="A656" s="6109"/>
      <c r="B656" s="6111"/>
      <c r="C656" s="2909" t="str">
        <f>IF(INDEX('Creación de Técnicas'!D:D,N656)="","Técnica Propia "&amp;Tablas!$A7,INDEX('Creación de Técnicas'!D:D,N656))</f>
        <v>Técnica Propia 7</v>
      </c>
      <c r="D656" s="2910" t="str">
        <f t="shared" si="1"/>
        <v>Técnicas Propias</v>
      </c>
      <c r="E656" s="2915">
        <f>MAX(1,INDEX('Creación de Técnicas'!R:R,N656))</f>
        <v>1</v>
      </c>
      <c r="F656" s="2915">
        <f>INDEX('Creación de Técnicas'!W:W,$N656)</f>
        <v>0</v>
      </c>
      <c r="G656" s="2915">
        <f>INDEX('Creación de Técnicas'!Z:Z,$N656)</f>
        <v>0</v>
      </c>
      <c r="H656" s="2913">
        <f>INDEX('Creación de Técnicas'!AO:AO,$N656+12)</f>
        <v>0</v>
      </c>
      <c r="I656" s="2913"/>
      <c r="J656" s="2913"/>
      <c r="K656" s="2910" t="e">
        <f>INDEX('Creación de Técnicas'!AO:AO,$N656+13)</f>
        <v>#VALUE!</v>
      </c>
      <c r="L656" s="2897"/>
      <c r="M656" s="2897" t="str">
        <f>INDEX('Creación de Técnicas'!D:D,$N656+(37-12))</f>
        <v>Descripción</v>
      </c>
      <c r="N656" s="2914">
        <f>12+((45-12)*(Tablas!$A7-1))</f>
        <v>210</v>
      </c>
      <c r="P656" s="2929" t="s">
        <v>10203</v>
      </c>
    </row>
    <row r="657" spans="1:25" ht="12" customHeight="1" x14ac:dyDescent="0.2">
      <c r="A657" s="6109"/>
      <c r="B657" s="6111"/>
      <c r="C657" s="2909" t="str">
        <f>IF(INDEX('Creación de Técnicas'!D:D,N657)="","Técnica Propia "&amp;Tablas!$A8,INDEX('Creación de Técnicas'!D:D,N657))</f>
        <v>Técnica Propia 8</v>
      </c>
      <c r="D657" s="2910" t="str">
        <f t="shared" si="1"/>
        <v>Técnicas Propias</v>
      </c>
      <c r="E657" s="2915">
        <f>MAX(1,INDEX('Creación de Técnicas'!R:R,N657))</f>
        <v>1</v>
      </c>
      <c r="F657" s="2915">
        <f>INDEX('Creación de Técnicas'!W:W,$N657)</f>
        <v>0</v>
      </c>
      <c r="G657" s="2915">
        <f>INDEX('Creación de Técnicas'!Z:Z,$N657)</f>
        <v>0</v>
      </c>
      <c r="H657" s="2913">
        <f>INDEX('Creación de Técnicas'!AO:AO,$N657+12)</f>
        <v>0</v>
      </c>
      <c r="I657" s="2913"/>
      <c r="J657" s="2913"/>
      <c r="K657" s="2910" t="e">
        <f>INDEX('Creación de Técnicas'!AO:AO,$N657+13)</f>
        <v>#VALUE!</v>
      </c>
      <c r="L657" s="2897"/>
      <c r="M657" s="2897" t="str">
        <f>INDEX('Creación de Técnicas'!D:D,$N657+(37-12))</f>
        <v>Descripción</v>
      </c>
      <c r="N657" s="2914">
        <f>12+((45-12)*(Tablas!$A8-1))</f>
        <v>243</v>
      </c>
      <c r="P657" s="2929" t="s">
        <v>10204</v>
      </c>
    </row>
    <row r="658" spans="1:25" ht="12" customHeight="1" x14ac:dyDescent="0.2">
      <c r="A658" s="6109"/>
      <c r="B658" s="6111"/>
      <c r="C658" s="2909" t="str">
        <f>IF(INDEX('Creación de Técnicas'!D:D,N658)="","Técnica Propia "&amp;Tablas!$A9,INDEX('Creación de Técnicas'!D:D,N658))</f>
        <v>Técnica Propia 9</v>
      </c>
      <c r="D658" s="2910" t="str">
        <f t="shared" si="1"/>
        <v>Técnicas Propias</v>
      </c>
      <c r="E658" s="2915">
        <f>MAX(1,INDEX('Creación de Técnicas'!R:R,N658))</f>
        <v>1</v>
      </c>
      <c r="F658" s="2915">
        <f>INDEX('Creación de Técnicas'!W:W,$N658)</f>
        <v>0</v>
      </c>
      <c r="G658" s="2915">
        <f>INDEX('Creación de Técnicas'!Z:Z,$N658)</f>
        <v>0</v>
      </c>
      <c r="H658" s="2913">
        <f>INDEX('Creación de Técnicas'!AO:AO,$N658+12)</f>
        <v>0</v>
      </c>
      <c r="I658" s="2913"/>
      <c r="J658" s="2913"/>
      <c r="K658" s="2910" t="e">
        <f>INDEX('Creación de Técnicas'!AO:AO,$N658+13)</f>
        <v>#VALUE!</v>
      </c>
      <c r="L658" s="2897"/>
      <c r="M658" s="2897" t="str">
        <f>INDEX('Creación de Técnicas'!D:D,$N658+(37-12))</f>
        <v>Descripción</v>
      </c>
      <c r="N658" s="2914">
        <f>12+((45-12)*(Tablas!$A9-1))</f>
        <v>276</v>
      </c>
      <c r="P658" s="2929" t="s">
        <v>10205</v>
      </c>
    </row>
    <row r="659" spans="1:25" ht="12" customHeight="1" x14ac:dyDescent="0.2">
      <c r="A659" s="6109"/>
      <c r="B659" s="6111"/>
      <c r="C659" s="2909" t="str">
        <f>IF(INDEX('Creación de Técnicas'!D:D,N659)="","Técnica Propia "&amp;Tablas!$A10,INDEX('Creación de Técnicas'!D:D,N659))</f>
        <v>Técnica Propia 10</v>
      </c>
      <c r="D659" s="2910" t="str">
        <f t="shared" si="1"/>
        <v>Técnicas Propias</v>
      </c>
      <c r="E659" s="2915">
        <f>MAX(1,INDEX('Creación de Técnicas'!R:R,N659))</f>
        <v>1</v>
      </c>
      <c r="F659" s="2915">
        <f>INDEX('Creación de Técnicas'!W:W,$N659)</f>
        <v>0</v>
      </c>
      <c r="G659" s="2915">
        <f>INDEX('Creación de Técnicas'!Z:Z,$N659)</f>
        <v>0</v>
      </c>
      <c r="H659" s="2913">
        <f>INDEX('Creación de Técnicas'!AO:AO,$N659+12)</f>
        <v>0</v>
      </c>
      <c r="I659" s="2913"/>
      <c r="J659" s="2913"/>
      <c r="K659" s="2910" t="e">
        <f>INDEX('Creación de Técnicas'!AO:AO,$N659+13)</f>
        <v>#VALUE!</v>
      </c>
      <c r="L659" s="2897"/>
      <c r="M659" s="2897" t="str">
        <f>INDEX('Creación de Técnicas'!D:D,$N659+(37-12))</f>
        <v>Descripción</v>
      </c>
      <c r="N659" s="2914">
        <f>12+((45-12)*(Tablas!$A10-1))</f>
        <v>309</v>
      </c>
      <c r="P659" s="2929" t="s">
        <v>10206</v>
      </c>
    </row>
    <row r="660" spans="1:25" ht="12" customHeight="1" x14ac:dyDescent="0.2">
      <c r="A660" s="6109"/>
      <c r="B660" s="6111"/>
      <c r="C660" s="2909" t="s">
        <v>3232</v>
      </c>
      <c r="D660" s="2910"/>
      <c r="E660" s="2911"/>
      <c r="F660" s="2911"/>
      <c r="G660" s="2912"/>
      <c r="H660" s="2913"/>
      <c r="I660" s="2913"/>
      <c r="J660" s="2913"/>
      <c r="K660" s="2910"/>
      <c r="L660" s="2897"/>
      <c r="M660" s="2897"/>
      <c r="N660" s="2914"/>
      <c r="P660" s="2929" t="s">
        <v>10207</v>
      </c>
    </row>
    <row r="661" spans="1:25" ht="12" customHeight="1" x14ac:dyDescent="0.2">
      <c r="A661" s="6109"/>
      <c r="B661" s="6111"/>
      <c r="C661" s="2909" t="s">
        <v>3233</v>
      </c>
      <c r="D661" s="2910" t="str">
        <f>PROPER(MID(C660,3,100))</f>
        <v>Celéritas</v>
      </c>
      <c r="E661" s="2915">
        <v>1</v>
      </c>
      <c r="F661" s="2915">
        <v>25</v>
      </c>
      <c r="G661" s="2912" t="s">
        <v>3234</v>
      </c>
      <c r="H661" s="2913" t="s">
        <v>3235</v>
      </c>
      <c r="I661" s="2913"/>
      <c r="J661" s="2913"/>
      <c r="K661" s="2910"/>
      <c r="L661" s="2897"/>
      <c r="M661" s="2897" t="s">
        <v>10165</v>
      </c>
      <c r="N661" s="2914"/>
      <c r="P661" s="2929" t="s">
        <v>10208</v>
      </c>
    </row>
    <row r="662" spans="1:25" ht="12" customHeight="1" x14ac:dyDescent="0.2">
      <c r="A662" s="6109"/>
      <c r="B662" s="6111"/>
      <c r="C662" s="2909" t="s">
        <v>3236</v>
      </c>
      <c r="D662" s="2910" t="str">
        <f>D661</f>
        <v>Celéritas</v>
      </c>
      <c r="E662" s="2915">
        <v>1</v>
      </c>
      <c r="F662" s="2915">
        <v>25</v>
      </c>
      <c r="G662" s="2912" t="s">
        <v>3237</v>
      </c>
      <c r="H662" s="2913" t="s">
        <v>3238</v>
      </c>
      <c r="I662" s="2913"/>
      <c r="J662" s="2913"/>
      <c r="K662" s="2913"/>
      <c r="L662" s="2897"/>
      <c r="M662" s="2925" t="s">
        <v>10167</v>
      </c>
      <c r="N662" s="2914"/>
      <c r="P662" s="2929" t="s">
        <v>10209</v>
      </c>
    </row>
    <row r="663" spans="1:25" ht="12" customHeight="1" x14ac:dyDescent="0.2">
      <c r="A663" s="6109"/>
      <c r="B663" s="6111"/>
      <c r="C663" s="2909" t="s">
        <v>3239</v>
      </c>
      <c r="D663" s="2910" t="str">
        <f>D662</f>
        <v>Celéritas</v>
      </c>
      <c r="E663" s="2915">
        <v>2</v>
      </c>
      <c r="F663" s="2915">
        <v>45</v>
      </c>
      <c r="G663" s="2912" t="s">
        <v>3240</v>
      </c>
      <c r="H663" s="2913" t="s">
        <v>3241</v>
      </c>
      <c r="I663" s="2913"/>
      <c r="J663" s="2913"/>
      <c r="K663" s="2913"/>
      <c r="L663" s="2897"/>
      <c r="M663" s="2925" t="s">
        <v>10168</v>
      </c>
      <c r="N663" s="2914"/>
      <c r="P663" s="2929" t="s">
        <v>10210</v>
      </c>
    </row>
    <row r="664" spans="1:25" ht="12" customHeight="1" x14ac:dyDescent="0.2">
      <c r="A664" s="6109"/>
      <c r="B664" s="6111"/>
      <c r="C664" s="2909" t="s">
        <v>3242</v>
      </c>
      <c r="D664" s="2910" t="str">
        <f>D663</f>
        <v>Celéritas</v>
      </c>
      <c r="E664" s="2915">
        <v>2</v>
      </c>
      <c r="F664" s="2915">
        <v>45</v>
      </c>
      <c r="G664" s="2912" t="s">
        <v>3243</v>
      </c>
      <c r="H664" s="2913" t="s">
        <v>3244</v>
      </c>
      <c r="I664" s="2913"/>
      <c r="J664" s="2913"/>
      <c r="K664" s="2913"/>
      <c r="L664" s="2897"/>
      <c r="M664" s="2925" t="s">
        <v>10169</v>
      </c>
      <c r="N664" s="2914"/>
      <c r="P664" s="2929" t="s">
        <v>3310</v>
      </c>
    </row>
    <row r="665" spans="1:25" ht="12" customHeight="1" x14ac:dyDescent="0.2">
      <c r="A665" s="6109"/>
      <c r="B665" s="6111"/>
      <c r="C665" s="2909" t="s">
        <v>3245</v>
      </c>
      <c r="D665" s="2910" t="str">
        <f>D664</f>
        <v>Celéritas</v>
      </c>
      <c r="E665" s="2915">
        <v>3</v>
      </c>
      <c r="F665" s="2915">
        <v>85</v>
      </c>
      <c r="G665" s="2912" t="s">
        <v>3246</v>
      </c>
      <c r="H665" s="2913" t="s">
        <v>3247</v>
      </c>
      <c r="I665" s="2913"/>
      <c r="J665" s="2913"/>
      <c r="K665" s="2913"/>
      <c r="L665" s="2897"/>
      <c r="M665" s="2925" t="s">
        <v>10170</v>
      </c>
      <c r="N665" s="2914"/>
      <c r="P665" s="2929" t="s">
        <v>10211</v>
      </c>
    </row>
    <row r="666" spans="1:25" ht="12" customHeight="1" x14ac:dyDescent="0.2">
      <c r="A666" s="6109"/>
      <c r="B666" s="6111"/>
      <c r="C666" s="2909" t="s">
        <v>3248</v>
      </c>
      <c r="D666" s="2910"/>
      <c r="E666" s="2915"/>
      <c r="F666" s="2915"/>
      <c r="G666" s="2912"/>
      <c r="H666" s="2913"/>
      <c r="I666" s="2913"/>
      <c r="J666" s="2913"/>
      <c r="K666" s="2913"/>
      <c r="L666" s="2897"/>
      <c r="M666" s="2897"/>
      <c r="N666" s="2914"/>
      <c r="P666" s="2929" t="s">
        <v>10212</v>
      </c>
    </row>
    <row r="667" spans="1:25" ht="12" customHeight="1" x14ac:dyDescent="0.2">
      <c r="A667" s="6109"/>
      <c r="B667" s="6111"/>
      <c r="C667" s="2909" t="s">
        <v>3249</v>
      </c>
      <c r="D667" s="2910" t="str">
        <f>PROPER(MID(C666,3,100))</f>
        <v>Ignis</v>
      </c>
      <c r="E667" s="2915">
        <v>1</v>
      </c>
      <c r="F667" s="2915">
        <v>20</v>
      </c>
      <c r="G667" s="2912" t="s">
        <v>3250</v>
      </c>
      <c r="H667" s="2912" t="s">
        <v>3251</v>
      </c>
      <c r="I667" s="2912"/>
      <c r="J667" s="2912"/>
      <c r="K667" s="2912"/>
      <c r="L667" s="2897"/>
      <c r="M667" s="2925" t="s">
        <v>10171</v>
      </c>
      <c r="N667" s="2914"/>
      <c r="P667" s="2929" t="s">
        <v>10213</v>
      </c>
    </row>
    <row r="668" spans="1:25" ht="12" customHeight="1" x14ac:dyDescent="0.2">
      <c r="A668" s="6109"/>
      <c r="B668" s="6111"/>
      <c r="C668" s="2909" t="s">
        <v>3253</v>
      </c>
      <c r="D668" s="2910" t="str">
        <f>D667</f>
        <v>Ignis</v>
      </c>
      <c r="E668" s="2915">
        <v>1</v>
      </c>
      <c r="F668" s="2915">
        <v>20</v>
      </c>
      <c r="G668" s="2912" t="s">
        <v>3254</v>
      </c>
      <c r="H668" s="2912" t="s">
        <v>3255</v>
      </c>
      <c r="I668" s="2912"/>
      <c r="J668" s="2912"/>
      <c r="K668" s="2912"/>
      <c r="L668" s="2897"/>
      <c r="M668" s="2925" t="s">
        <v>10172</v>
      </c>
      <c r="N668" s="2914"/>
      <c r="P668" s="2929" t="s">
        <v>10214</v>
      </c>
      <c r="Q668" s="2895"/>
      <c r="R668" s="2895"/>
      <c r="S668" s="2895"/>
      <c r="T668" s="2895"/>
      <c r="U668" s="2895"/>
      <c r="V668" s="2874"/>
      <c r="W668" s="2874"/>
      <c r="X668" s="2874"/>
      <c r="Y668" s="2874"/>
    </row>
    <row r="669" spans="1:25" ht="12" customHeight="1" x14ac:dyDescent="0.2">
      <c r="A669" s="6109"/>
      <c r="B669" s="6111"/>
      <c r="C669" s="2909" t="s">
        <v>3256</v>
      </c>
      <c r="D669" s="2910" t="str">
        <f>D668</f>
        <v>Ignis</v>
      </c>
      <c r="E669" s="2915">
        <v>2</v>
      </c>
      <c r="F669" s="2915">
        <v>40</v>
      </c>
      <c r="G669" s="2912" t="s">
        <v>3257</v>
      </c>
      <c r="H669" s="2913" t="s">
        <v>3258</v>
      </c>
      <c r="I669" s="2913"/>
      <c r="J669" s="2913"/>
      <c r="K669" s="2913" t="s">
        <v>3259</v>
      </c>
      <c r="L669" s="2897"/>
      <c r="M669" s="2925" t="s">
        <v>10173</v>
      </c>
      <c r="N669" s="2914"/>
      <c r="P669" s="2929" t="s">
        <v>10215</v>
      </c>
    </row>
    <row r="670" spans="1:25" ht="12" customHeight="1" x14ac:dyDescent="0.2">
      <c r="A670" s="6109"/>
      <c r="B670" s="6111"/>
      <c r="C670" s="2909" t="s">
        <v>3260</v>
      </c>
      <c r="D670" s="2910" t="str">
        <f>D669</f>
        <v>Ignis</v>
      </c>
      <c r="E670" s="2915">
        <v>2</v>
      </c>
      <c r="F670" s="2915">
        <v>40</v>
      </c>
      <c r="G670" s="2912" t="s">
        <v>3261</v>
      </c>
      <c r="H670" s="2913" t="s">
        <v>3262</v>
      </c>
      <c r="I670" s="2913"/>
      <c r="J670" s="2913"/>
      <c r="K670" s="2913" t="s">
        <v>3259</v>
      </c>
      <c r="L670" s="2897"/>
      <c r="M670" s="2925" t="s">
        <v>10174</v>
      </c>
      <c r="N670" s="2914"/>
      <c r="P670" s="2929" t="s">
        <v>10216</v>
      </c>
    </row>
    <row r="671" spans="1:25" ht="12" customHeight="1" x14ac:dyDescent="0.2">
      <c r="A671" s="6109"/>
      <c r="B671" s="6111"/>
      <c r="C671" s="2909" t="s">
        <v>3263</v>
      </c>
      <c r="D671" s="2910" t="str">
        <f>D670</f>
        <v>Ignis</v>
      </c>
      <c r="E671" s="2915">
        <v>3</v>
      </c>
      <c r="F671" s="2915">
        <v>60</v>
      </c>
      <c r="G671" s="2912" t="s">
        <v>3264</v>
      </c>
      <c r="H671" s="2913" t="s">
        <v>3265</v>
      </c>
      <c r="I671" s="2913"/>
      <c r="J671" s="2913"/>
      <c r="K671" s="2913" t="s">
        <v>3259</v>
      </c>
      <c r="L671" s="2897"/>
      <c r="M671" s="2925" t="s">
        <v>10175</v>
      </c>
      <c r="N671" s="2914"/>
      <c r="P671" s="2929" t="s">
        <v>10217</v>
      </c>
    </row>
    <row r="672" spans="1:25" ht="12" customHeight="1" x14ac:dyDescent="0.2">
      <c r="A672" s="6109"/>
      <c r="B672" s="6111"/>
      <c r="C672" s="2909" t="s">
        <v>3266</v>
      </c>
      <c r="D672" s="2910"/>
      <c r="E672" s="2915"/>
      <c r="F672" s="2915"/>
      <c r="G672" s="2912"/>
      <c r="H672" s="2913"/>
      <c r="I672" s="2913"/>
      <c r="J672" s="2913"/>
      <c r="K672" s="2913"/>
      <c r="L672" s="2897"/>
      <c r="M672" s="2897"/>
      <c r="N672" s="2914"/>
      <c r="P672" s="2929" t="s">
        <v>984</v>
      </c>
    </row>
    <row r="673" spans="1:16" ht="12" customHeight="1" x14ac:dyDescent="0.2">
      <c r="A673" s="6109"/>
      <c r="B673" s="6111"/>
      <c r="C673" s="2909" t="s">
        <v>3268</v>
      </c>
      <c r="D673" s="2910" t="str">
        <f>PROPER(MID(C672,3,100))</f>
        <v>El Dragón</v>
      </c>
      <c r="E673" s="2915">
        <v>1</v>
      </c>
      <c r="F673" s="2915">
        <v>20</v>
      </c>
      <c r="G673" s="2912" t="s">
        <v>3269</v>
      </c>
      <c r="H673" s="2913" t="s">
        <v>3270</v>
      </c>
      <c r="I673" s="2913"/>
      <c r="J673" s="2913"/>
      <c r="K673" s="2913"/>
      <c r="L673" s="2897"/>
      <c r="M673" s="2925" t="s">
        <v>10176</v>
      </c>
      <c r="N673" s="2914"/>
      <c r="P673" s="2929" t="s">
        <v>10218</v>
      </c>
    </row>
    <row r="674" spans="1:16" ht="12" customHeight="1" x14ac:dyDescent="0.2">
      <c r="A674" s="6109"/>
      <c r="B674" s="6111"/>
      <c r="C674" s="2909" t="s">
        <v>3271</v>
      </c>
      <c r="D674" s="2910" t="str">
        <f>D673</f>
        <v>El Dragón</v>
      </c>
      <c r="E674" s="2915">
        <v>1</v>
      </c>
      <c r="F674" s="2915">
        <v>30</v>
      </c>
      <c r="G674" s="2912" t="s">
        <v>3272</v>
      </c>
      <c r="H674" s="2913" t="s">
        <v>3273</v>
      </c>
      <c r="I674" s="2913"/>
      <c r="J674" s="2913"/>
      <c r="K674" s="2913"/>
      <c r="L674" s="2897"/>
      <c r="M674" s="2925" t="s">
        <v>10177</v>
      </c>
      <c r="N674" s="2914"/>
      <c r="P674" s="2929" t="s">
        <v>10219</v>
      </c>
    </row>
    <row r="675" spans="1:16" ht="12" customHeight="1" thickBot="1" x14ac:dyDescent="0.25">
      <c r="A675" s="6109"/>
      <c r="B675" s="6111"/>
      <c r="C675" s="2909" t="s">
        <v>3274</v>
      </c>
      <c r="D675" s="2910" t="str">
        <f>D674</f>
        <v>El Dragón</v>
      </c>
      <c r="E675" s="2915">
        <v>2</v>
      </c>
      <c r="F675" s="2915">
        <v>45</v>
      </c>
      <c r="G675" s="2912" t="s">
        <v>3275</v>
      </c>
      <c r="H675" s="2916" t="s">
        <v>3276</v>
      </c>
      <c r="I675" s="2916"/>
      <c r="J675" s="2916"/>
      <c r="K675" s="2913"/>
      <c r="L675" s="2897"/>
      <c r="M675" s="2925" t="s">
        <v>10178</v>
      </c>
      <c r="N675" s="2914"/>
      <c r="P675" s="2930" t="s">
        <v>10220</v>
      </c>
    </row>
    <row r="676" spans="1:16" ht="12" customHeight="1" x14ac:dyDescent="0.2">
      <c r="A676" s="6109"/>
      <c r="B676" s="6111"/>
      <c r="C676" s="2909" t="s">
        <v>3278</v>
      </c>
      <c r="D676" s="2910" t="str">
        <f>D675</f>
        <v>El Dragón</v>
      </c>
      <c r="E676" s="2915">
        <v>2</v>
      </c>
      <c r="F676" s="2915">
        <v>55</v>
      </c>
      <c r="G676" s="2912" t="s">
        <v>3279</v>
      </c>
      <c r="H676" s="2916" t="s">
        <v>3280</v>
      </c>
      <c r="I676" s="2916"/>
      <c r="J676" s="2916"/>
      <c r="K676" s="2913"/>
      <c r="L676" s="2897"/>
      <c r="M676" s="2925" t="s">
        <v>10179</v>
      </c>
      <c r="N676" s="2914"/>
    </row>
    <row r="677" spans="1:16" ht="12" customHeight="1" x14ac:dyDescent="0.2">
      <c r="A677" s="6109"/>
      <c r="B677" s="6111"/>
      <c r="C677" s="2909" t="s">
        <v>3282</v>
      </c>
      <c r="D677" s="2910" t="str">
        <f>D676</f>
        <v>El Dragón</v>
      </c>
      <c r="E677" s="2915">
        <v>3</v>
      </c>
      <c r="F677" s="2915">
        <v>80</v>
      </c>
      <c r="G677" s="2912" t="s">
        <v>3283</v>
      </c>
      <c r="H677" s="2913" t="s">
        <v>3284</v>
      </c>
      <c r="I677" s="2913"/>
      <c r="J677" s="2913"/>
      <c r="K677" s="2913" t="s">
        <v>3285</v>
      </c>
      <c r="L677" s="2897"/>
      <c r="M677" s="2925" t="s">
        <v>10180</v>
      </c>
      <c r="N677" s="2914"/>
    </row>
    <row r="678" spans="1:16" ht="12" customHeight="1" x14ac:dyDescent="0.2">
      <c r="A678" s="6109"/>
      <c r="B678" s="6111"/>
      <c r="C678" s="2909" t="s">
        <v>6901</v>
      </c>
      <c r="D678" s="2910"/>
      <c r="E678" s="2915"/>
      <c r="F678" s="2915"/>
      <c r="G678" s="2912"/>
      <c r="H678" s="2913"/>
      <c r="I678" s="2913"/>
      <c r="J678" s="2913"/>
      <c r="K678" s="2913"/>
      <c r="L678" s="2897"/>
      <c r="M678" s="2897"/>
      <c r="N678" s="2914"/>
    </row>
    <row r="679" spans="1:16" ht="12" customHeight="1" x14ac:dyDescent="0.2">
      <c r="A679" s="6109"/>
      <c r="B679" s="6111"/>
      <c r="C679" s="2909" t="s">
        <v>6902</v>
      </c>
      <c r="D679" s="2910" t="str">
        <f>PROPER(MID(C678,3,100))</f>
        <v>Las Cadenas</v>
      </c>
      <c r="E679" s="2915">
        <v>1</v>
      </c>
      <c r="F679" s="2915">
        <v>35</v>
      </c>
      <c r="G679" s="2912" t="s">
        <v>10164</v>
      </c>
      <c r="H679" s="2916" t="s">
        <v>6907</v>
      </c>
      <c r="I679" s="2916"/>
      <c r="J679" s="2916"/>
      <c r="K679" s="2913"/>
      <c r="L679" s="2897"/>
      <c r="M679" s="2925" t="s">
        <v>10181</v>
      </c>
      <c r="N679" s="2914"/>
    </row>
    <row r="680" spans="1:16" ht="12" customHeight="1" x14ac:dyDescent="0.2">
      <c r="A680" s="6109"/>
      <c r="B680" s="6111"/>
      <c r="C680" s="2909" t="s">
        <v>6903</v>
      </c>
      <c r="D680" s="2910" t="str">
        <f>D679</f>
        <v>Las Cadenas</v>
      </c>
      <c r="E680" s="2915">
        <v>1</v>
      </c>
      <c r="F680" s="2915">
        <v>50</v>
      </c>
      <c r="G680" s="2912" t="s">
        <v>6908</v>
      </c>
      <c r="H680" s="2916" t="s">
        <v>6912</v>
      </c>
      <c r="I680" s="2916"/>
      <c r="J680" s="2916"/>
      <c r="K680" s="2913"/>
      <c r="L680" s="2897"/>
      <c r="M680" s="2925" t="s">
        <v>10182</v>
      </c>
      <c r="N680" s="2914"/>
    </row>
    <row r="681" spans="1:16" ht="12" customHeight="1" x14ac:dyDescent="0.2">
      <c r="A681" s="6109"/>
      <c r="B681" s="6111"/>
      <c r="C681" s="2909" t="s">
        <v>6904</v>
      </c>
      <c r="D681" s="2910" t="str">
        <f>D680</f>
        <v>Las Cadenas</v>
      </c>
      <c r="E681" s="2915">
        <v>2</v>
      </c>
      <c r="F681" s="2915">
        <v>60</v>
      </c>
      <c r="G681" s="2912" t="s">
        <v>6909</v>
      </c>
      <c r="H681" s="2916" t="s">
        <v>6913</v>
      </c>
      <c r="I681" s="2916"/>
      <c r="J681" s="2916"/>
      <c r="K681" s="2913"/>
      <c r="L681" s="2897"/>
      <c r="M681" s="2925" t="s">
        <v>10183</v>
      </c>
      <c r="N681" s="2914"/>
    </row>
    <row r="682" spans="1:16" ht="12" customHeight="1" x14ac:dyDescent="0.2">
      <c r="A682" s="6109"/>
      <c r="B682" s="6111"/>
      <c r="C682" s="2909" t="s">
        <v>6905</v>
      </c>
      <c r="D682" s="2910" t="str">
        <f>D681</f>
        <v>Las Cadenas</v>
      </c>
      <c r="E682" s="2915">
        <v>2</v>
      </c>
      <c r="F682" s="2915">
        <v>70</v>
      </c>
      <c r="G682" s="2912" t="s">
        <v>6910</v>
      </c>
      <c r="H682" s="2916" t="s">
        <v>6914</v>
      </c>
      <c r="I682" s="2916"/>
      <c r="J682" s="2916"/>
      <c r="K682" s="2913"/>
      <c r="L682" s="2897"/>
      <c r="M682" s="2925" t="s">
        <v>10184</v>
      </c>
      <c r="N682" s="2914"/>
    </row>
    <row r="683" spans="1:16" ht="12" customHeight="1" x14ac:dyDescent="0.2">
      <c r="A683" s="6109"/>
      <c r="B683" s="6111"/>
      <c r="C683" s="2909" t="s">
        <v>6906</v>
      </c>
      <c r="D683" s="2910" t="str">
        <f>D682</f>
        <v>Las Cadenas</v>
      </c>
      <c r="E683" s="2915">
        <v>3</v>
      </c>
      <c r="F683" s="2915">
        <v>90</v>
      </c>
      <c r="G683" s="2912" t="s">
        <v>6911</v>
      </c>
      <c r="H683" s="2916" t="s">
        <v>6915</v>
      </c>
      <c r="I683" s="2916"/>
      <c r="J683" s="2916"/>
      <c r="K683" s="2913"/>
      <c r="L683" s="2897"/>
      <c r="M683" s="2925" t="s">
        <v>10185</v>
      </c>
      <c r="N683" s="2914"/>
    </row>
    <row r="684" spans="1:16" ht="12" customHeight="1" x14ac:dyDescent="0.2">
      <c r="A684" s="6109"/>
      <c r="B684" s="6111"/>
      <c r="C684" s="2909" t="s">
        <v>6916</v>
      </c>
      <c r="D684" s="2910"/>
      <c r="E684" s="2915"/>
      <c r="F684" s="2915"/>
      <c r="G684" s="2912"/>
      <c r="H684" s="2913"/>
      <c r="I684" s="2913"/>
      <c r="J684" s="2913"/>
      <c r="K684" s="2913"/>
      <c r="L684" s="2897"/>
      <c r="M684" s="2897"/>
      <c r="N684" s="2914"/>
    </row>
    <row r="685" spans="1:16" ht="12" customHeight="1" x14ac:dyDescent="0.2">
      <c r="A685" s="6109"/>
      <c r="B685" s="6111"/>
      <c r="C685" s="2909" t="s">
        <v>6918</v>
      </c>
      <c r="D685" s="2910" t="str">
        <f>PROPER(MID(C684,3,100))</f>
        <v>Sirius</v>
      </c>
      <c r="E685" s="2915">
        <v>1</v>
      </c>
      <c r="F685" s="2915">
        <v>30</v>
      </c>
      <c r="G685" s="2912" t="s">
        <v>6923</v>
      </c>
      <c r="H685" s="2916" t="s">
        <v>6929</v>
      </c>
      <c r="I685" s="2916"/>
      <c r="J685" s="2916"/>
      <c r="K685" s="2913" t="s">
        <v>6928</v>
      </c>
      <c r="L685" s="2897"/>
      <c r="M685" s="2925" t="s">
        <v>10186</v>
      </c>
      <c r="N685" s="2914"/>
    </row>
    <row r="686" spans="1:16" ht="12" customHeight="1" x14ac:dyDescent="0.2">
      <c r="A686" s="6109"/>
      <c r="B686" s="6111"/>
      <c r="C686" s="2909" t="s">
        <v>6919</v>
      </c>
      <c r="D686" s="2910" t="str">
        <f>D685</f>
        <v>Sirius</v>
      </c>
      <c r="E686" s="2915">
        <v>1</v>
      </c>
      <c r="F686" s="2915">
        <v>30</v>
      </c>
      <c r="G686" s="2912" t="s">
        <v>6924</v>
      </c>
      <c r="H686" s="2916" t="s">
        <v>6930</v>
      </c>
      <c r="I686" s="2916"/>
      <c r="J686" s="2916"/>
      <c r="K686" s="2913"/>
      <c r="L686" s="2897"/>
      <c r="M686" s="2925" t="s">
        <v>10187</v>
      </c>
      <c r="N686" s="2914"/>
    </row>
    <row r="687" spans="1:16" ht="12" customHeight="1" x14ac:dyDescent="0.2">
      <c r="A687" s="6109"/>
      <c r="B687" s="6111"/>
      <c r="C687" s="2909" t="s">
        <v>6920</v>
      </c>
      <c r="D687" s="2910" t="str">
        <f>D686</f>
        <v>Sirius</v>
      </c>
      <c r="E687" s="2915">
        <v>2</v>
      </c>
      <c r="F687" s="2915">
        <v>40</v>
      </c>
      <c r="G687" s="2912" t="s">
        <v>6925</v>
      </c>
      <c r="H687" s="2916" t="s">
        <v>6931</v>
      </c>
      <c r="I687" s="2916"/>
      <c r="J687" s="2916"/>
      <c r="K687" s="2913" t="s">
        <v>6928</v>
      </c>
      <c r="L687" s="2897"/>
      <c r="M687" s="2925" t="s">
        <v>10190</v>
      </c>
      <c r="N687" s="2914"/>
    </row>
    <row r="688" spans="1:16" ht="12" customHeight="1" x14ac:dyDescent="0.2">
      <c r="A688" s="6109"/>
      <c r="B688" s="6111"/>
      <c r="C688" s="2909" t="s">
        <v>6921</v>
      </c>
      <c r="D688" s="2910" t="str">
        <f>D687</f>
        <v>Sirius</v>
      </c>
      <c r="E688" s="2915">
        <v>2</v>
      </c>
      <c r="F688" s="2915">
        <v>40</v>
      </c>
      <c r="G688" s="2912" t="s">
        <v>6926</v>
      </c>
      <c r="H688" s="2916" t="s">
        <v>6932</v>
      </c>
      <c r="I688" s="2916"/>
      <c r="J688" s="2916"/>
      <c r="K688" s="2913" t="s">
        <v>6928</v>
      </c>
      <c r="L688" s="2897"/>
      <c r="M688" s="2925" t="s">
        <v>10188</v>
      </c>
      <c r="N688" s="2914"/>
    </row>
    <row r="689" spans="1:16" ht="12" customHeight="1" x14ac:dyDescent="0.2">
      <c r="A689" s="6109"/>
      <c r="B689" s="6111"/>
      <c r="C689" s="2909" t="s">
        <v>6922</v>
      </c>
      <c r="D689" s="2910" t="str">
        <f>D688</f>
        <v>Sirius</v>
      </c>
      <c r="E689" s="2915">
        <v>3</v>
      </c>
      <c r="F689" s="2915">
        <v>70</v>
      </c>
      <c r="G689" s="2912" t="s">
        <v>6927</v>
      </c>
      <c r="H689" s="2916" t="s">
        <v>6933</v>
      </c>
      <c r="I689" s="2916"/>
      <c r="J689" s="2916"/>
      <c r="K689" s="2913" t="s">
        <v>6928</v>
      </c>
      <c r="L689" s="2897"/>
      <c r="M689" s="2925" t="s">
        <v>10189</v>
      </c>
      <c r="N689" s="2914"/>
    </row>
    <row r="690" spans="1:16" ht="12" customHeight="1" x14ac:dyDescent="0.2">
      <c r="A690" s="6109"/>
      <c r="B690" s="6111"/>
      <c r="C690" s="2909" t="s">
        <v>6917</v>
      </c>
      <c r="D690" s="2910"/>
      <c r="E690" s="2915"/>
      <c r="F690" s="2915"/>
      <c r="G690" s="2912"/>
      <c r="H690" s="2913"/>
      <c r="I690" s="2913"/>
      <c r="J690" s="2913"/>
      <c r="K690" s="2913"/>
      <c r="L690" s="2897"/>
      <c r="M690" s="2897"/>
      <c r="N690" s="2914"/>
    </row>
    <row r="691" spans="1:16" ht="12" customHeight="1" x14ac:dyDescent="0.2">
      <c r="A691" s="6109"/>
      <c r="B691" s="6111"/>
      <c r="C691" s="2909" t="s">
        <v>6934</v>
      </c>
      <c r="D691" s="2910" t="str">
        <f>PROPER(MID(C690,3,100))</f>
        <v>Basis</v>
      </c>
      <c r="E691" s="2915">
        <v>1</v>
      </c>
      <c r="F691" s="2915">
        <v>25</v>
      </c>
      <c r="G691" s="2912" t="s">
        <v>6936</v>
      </c>
      <c r="H691" s="2916" t="s">
        <v>6938</v>
      </c>
      <c r="I691" s="2916"/>
      <c r="J691" s="2916"/>
      <c r="K691" s="2913"/>
      <c r="L691" s="2897"/>
      <c r="M691" s="2925" t="s">
        <v>10191</v>
      </c>
      <c r="N691" s="2914"/>
    </row>
    <row r="692" spans="1:16" ht="12" customHeight="1" x14ac:dyDescent="0.2">
      <c r="A692" s="6109"/>
      <c r="B692" s="6111"/>
      <c r="C692" s="2909" t="s">
        <v>6935</v>
      </c>
      <c r="D692" s="2910" t="str">
        <f>D691</f>
        <v>Basis</v>
      </c>
      <c r="E692" s="2915">
        <v>1</v>
      </c>
      <c r="F692" s="2915">
        <v>20</v>
      </c>
      <c r="G692" s="2912" t="s">
        <v>6937</v>
      </c>
      <c r="H692" s="2916" t="s">
        <v>6939</v>
      </c>
      <c r="I692" s="2916"/>
      <c r="J692" s="2916"/>
      <c r="K692" s="2913"/>
      <c r="L692" s="2897"/>
      <c r="M692" s="2925" t="s">
        <v>10192</v>
      </c>
      <c r="N692" s="2914"/>
    </row>
    <row r="693" spans="1:16" ht="12" customHeight="1" x14ac:dyDescent="0.2">
      <c r="A693" s="6109"/>
      <c r="B693" s="6111"/>
      <c r="C693" s="2909" t="s">
        <v>6940</v>
      </c>
      <c r="D693" s="2910" t="str">
        <f>D692</f>
        <v>Basis</v>
      </c>
      <c r="E693" s="2915">
        <v>2</v>
      </c>
      <c r="F693" s="2915">
        <v>50</v>
      </c>
      <c r="G693" s="2912" t="s">
        <v>6942</v>
      </c>
      <c r="H693" s="2916" t="s">
        <v>6945</v>
      </c>
      <c r="I693" s="2916"/>
      <c r="J693" s="2916"/>
      <c r="K693" s="2913"/>
      <c r="L693" s="2897"/>
      <c r="M693" s="2925" t="s">
        <v>10194</v>
      </c>
      <c r="N693" s="2914"/>
      <c r="P693" s="2872" t="s">
        <v>10193</v>
      </c>
    </row>
    <row r="694" spans="1:16" ht="12" customHeight="1" x14ac:dyDescent="0.2">
      <c r="A694" s="6109"/>
      <c r="B694" s="6111"/>
      <c r="C694" s="2909" t="s">
        <v>907</v>
      </c>
      <c r="D694" s="2910" t="str">
        <f>D693</f>
        <v>Basis</v>
      </c>
      <c r="E694" s="2915">
        <v>2</v>
      </c>
      <c r="F694" s="2915">
        <v>50</v>
      </c>
      <c r="G694" s="2912" t="s">
        <v>6943</v>
      </c>
      <c r="H694" s="2916" t="s">
        <v>6946</v>
      </c>
      <c r="I694" s="2916"/>
      <c r="J694" s="2916"/>
      <c r="K694" s="2913"/>
      <c r="L694" s="2897"/>
      <c r="M694" s="2925" t="s">
        <v>10195</v>
      </c>
      <c r="N694" s="2914"/>
    </row>
    <row r="695" spans="1:16" ht="12" customHeight="1" x14ac:dyDescent="0.2">
      <c r="A695" s="6109"/>
      <c r="B695" s="6111"/>
      <c r="C695" s="2909" t="s">
        <v>6941</v>
      </c>
      <c r="D695" s="2910" t="str">
        <f>D694</f>
        <v>Basis</v>
      </c>
      <c r="E695" s="2915">
        <v>3</v>
      </c>
      <c r="F695" s="2915">
        <v>60</v>
      </c>
      <c r="G695" s="2912" t="s">
        <v>6944</v>
      </c>
      <c r="H695" s="2916" t="s">
        <v>6947</v>
      </c>
      <c r="I695" s="2916"/>
      <c r="J695" s="2916"/>
      <c r="K695" s="2913"/>
      <c r="L695" s="2897"/>
      <c r="M695" s="2925" t="s">
        <v>10196</v>
      </c>
      <c r="N695" s="2914"/>
    </row>
    <row r="696" spans="1:16" ht="12" customHeight="1" x14ac:dyDescent="0.2">
      <c r="A696" s="6109"/>
      <c r="B696" s="6111"/>
      <c r="C696" s="2909" t="s">
        <v>7677</v>
      </c>
      <c r="D696" s="2910"/>
      <c r="E696" s="2915"/>
      <c r="F696" s="2915"/>
      <c r="G696" s="2912"/>
      <c r="H696" s="2913"/>
      <c r="I696" s="2913"/>
      <c r="J696" s="2913"/>
      <c r="K696" s="2913"/>
      <c r="L696" s="2897"/>
      <c r="M696" s="2897"/>
      <c r="N696" s="2914"/>
    </row>
    <row r="697" spans="1:16" ht="12" customHeight="1" x14ac:dyDescent="0.2">
      <c r="A697" s="6109"/>
      <c r="B697" s="6111"/>
      <c r="C697" s="2909" t="s">
        <v>3287</v>
      </c>
      <c r="D697" s="2910" t="str">
        <f>PROPER(MID(C696,3,100))</f>
        <v>Ormus</v>
      </c>
      <c r="E697" s="2915">
        <v>1</v>
      </c>
      <c r="F697" s="2915">
        <v>45</v>
      </c>
      <c r="G697" s="2912" t="s">
        <v>3288</v>
      </c>
      <c r="H697" s="2913" t="s">
        <v>3289</v>
      </c>
      <c r="I697" s="2913"/>
      <c r="J697" s="2913"/>
      <c r="K697" s="2913"/>
      <c r="L697" s="2897"/>
      <c r="M697" s="2897"/>
      <c r="N697" s="2914"/>
    </row>
    <row r="698" spans="1:16" ht="12" customHeight="1" x14ac:dyDescent="0.2">
      <c r="A698" s="6109"/>
      <c r="B698" s="6111"/>
      <c r="C698" s="2909" t="s">
        <v>3290</v>
      </c>
      <c r="D698" s="2910" t="str">
        <f>D697</f>
        <v>Ormus</v>
      </c>
      <c r="E698" s="2915">
        <v>1</v>
      </c>
      <c r="F698" s="2915">
        <v>30</v>
      </c>
      <c r="G698" s="2912" t="s">
        <v>3291</v>
      </c>
      <c r="H698" s="2913" t="s">
        <v>3292</v>
      </c>
      <c r="I698" s="2913"/>
      <c r="J698" s="2913"/>
      <c r="K698" s="2913"/>
      <c r="L698" s="2897"/>
      <c r="M698" s="2897"/>
      <c r="N698" s="2914"/>
    </row>
    <row r="699" spans="1:16" ht="12" customHeight="1" x14ac:dyDescent="0.2">
      <c r="A699" s="6109"/>
      <c r="B699" s="6111"/>
      <c r="C699" s="2909" t="s">
        <v>3293</v>
      </c>
      <c r="D699" s="2910" t="str">
        <f>D698</f>
        <v>Ormus</v>
      </c>
      <c r="E699" s="2915">
        <v>2</v>
      </c>
      <c r="F699" s="2915">
        <v>75</v>
      </c>
      <c r="G699" s="2912" t="s">
        <v>3294</v>
      </c>
      <c r="H699" s="2913" t="s">
        <v>3295</v>
      </c>
      <c r="I699" s="2913"/>
      <c r="J699" s="2913"/>
      <c r="K699" s="2913"/>
      <c r="L699" s="2897"/>
      <c r="M699" s="2897"/>
      <c r="N699" s="2914"/>
    </row>
    <row r="700" spans="1:16" ht="12" customHeight="1" x14ac:dyDescent="0.2">
      <c r="A700" s="6109"/>
      <c r="B700" s="6111"/>
      <c r="C700" s="2909" t="s">
        <v>3296</v>
      </c>
      <c r="D700" s="2910" t="str">
        <f>D699</f>
        <v>Ormus</v>
      </c>
      <c r="E700" s="2915">
        <v>2</v>
      </c>
      <c r="F700" s="2915">
        <v>55</v>
      </c>
      <c r="G700" s="2912" t="s">
        <v>3297</v>
      </c>
      <c r="H700" s="2913" t="s">
        <v>3298</v>
      </c>
      <c r="I700" s="2913"/>
      <c r="J700" s="2913"/>
      <c r="K700" s="2913"/>
      <c r="L700" s="2897"/>
      <c r="M700" s="2897"/>
      <c r="N700" s="2914"/>
    </row>
    <row r="701" spans="1:16" ht="12" customHeight="1" x14ac:dyDescent="0.2">
      <c r="A701" s="6109"/>
      <c r="B701" s="6111"/>
      <c r="C701" s="2909" t="s">
        <v>3299</v>
      </c>
      <c r="D701" s="2910" t="str">
        <f>D700</f>
        <v>Ormus</v>
      </c>
      <c r="E701" s="2915">
        <v>3</v>
      </c>
      <c r="F701" s="2915">
        <v>110</v>
      </c>
      <c r="G701" s="2912" t="s">
        <v>3300</v>
      </c>
      <c r="H701" s="2913" t="s">
        <v>3301</v>
      </c>
      <c r="I701" s="2913"/>
      <c r="J701" s="2913"/>
      <c r="K701" s="2913"/>
      <c r="L701" s="2897"/>
      <c r="M701" s="2897"/>
      <c r="N701" s="2914"/>
    </row>
    <row r="702" spans="1:16" ht="12" customHeight="1" x14ac:dyDescent="0.2">
      <c r="A702" s="6109"/>
      <c r="B702" s="6111"/>
      <c r="C702" s="2909" t="s">
        <v>3303</v>
      </c>
      <c r="D702" s="2910"/>
      <c r="E702" s="2915"/>
      <c r="F702" s="2915"/>
      <c r="G702" s="2912"/>
      <c r="H702" s="2913"/>
      <c r="I702" s="2913"/>
      <c r="J702" s="2913"/>
      <c r="K702" s="2913"/>
      <c r="L702" s="2897"/>
      <c r="M702" s="2897"/>
      <c r="N702" s="2914"/>
    </row>
    <row r="703" spans="1:16" ht="12" customHeight="1" x14ac:dyDescent="0.2">
      <c r="A703" s="6109"/>
      <c r="B703" s="6111"/>
      <c r="C703" s="2909" t="s">
        <v>3304</v>
      </c>
      <c r="D703" s="2910" t="str">
        <f>PROPER(MID(C702,3,100))</f>
        <v>Hyousetsu Jigoku</v>
      </c>
      <c r="E703" s="2915">
        <v>1</v>
      </c>
      <c r="F703" s="2915">
        <v>30</v>
      </c>
      <c r="G703" s="2912" t="s">
        <v>3305</v>
      </c>
      <c r="H703" s="2913" t="s">
        <v>3306</v>
      </c>
      <c r="I703" s="2913"/>
      <c r="J703" s="2913"/>
      <c r="K703" s="2913"/>
      <c r="L703" s="2897"/>
      <c r="M703" s="2897"/>
      <c r="N703" s="2914"/>
    </row>
    <row r="704" spans="1:16" ht="12" customHeight="1" x14ac:dyDescent="0.2">
      <c r="A704" s="6109"/>
      <c r="B704" s="6111"/>
      <c r="C704" s="2909" t="s">
        <v>3307</v>
      </c>
      <c r="D704" s="2910" t="str">
        <f>D703</f>
        <v>Hyousetsu Jigoku</v>
      </c>
      <c r="E704" s="2915">
        <v>1</v>
      </c>
      <c r="F704" s="2915">
        <v>20</v>
      </c>
      <c r="G704" s="2912" t="s">
        <v>3308</v>
      </c>
      <c r="H704" s="2913" t="s">
        <v>3309</v>
      </c>
      <c r="I704" s="2913"/>
      <c r="J704" s="2913"/>
      <c r="K704" s="2913"/>
      <c r="L704" s="2897"/>
      <c r="M704" s="2897"/>
      <c r="N704" s="2914"/>
    </row>
    <row r="705" spans="1:14" ht="12" customHeight="1" x14ac:dyDescent="0.2">
      <c r="A705" s="6109"/>
      <c r="B705" s="6111"/>
      <c r="C705" s="2909" t="s">
        <v>3310</v>
      </c>
      <c r="D705" s="2910" t="str">
        <f>D704</f>
        <v>Hyousetsu Jigoku</v>
      </c>
      <c r="E705" s="2915">
        <v>2</v>
      </c>
      <c r="F705" s="2915">
        <v>65</v>
      </c>
      <c r="G705" s="2912" t="s">
        <v>3311</v>
      </c>
      <c r="H705" s="2913" t="s">
        <v>3312</v>
      </c>
      <c r="I705" s="2913"/>
      <c r="J705" s="2913"/>
      <c r="K705" s="2913"/>
      <c r="L705" s="2897"/>
      <c r="M705" s="2897"/>
      <c r="N705" s="2914"/>
    </row>
    <row r="706" spans="1:14" ht="12" customHeight="1" x14ac:dyDescent="0.2">
      <c r="A706" s="6109"/>
      <c r="B706" s="6111"/>
      <c r="C706" s="2909" t="s">
        <v>3314</v>
      </c>
      <c r="D706" s="2910" t="str">
        <f>D705</f>
        <v>Hyousetsu Jigoku</v>
      </c>
      <c r="E706" s="2915">
        <v>2</v>
      </c>
      <c r="F706" s="2915">
        <v>70</v>
      </c>
      <c r="G706" s="2912" t="s">
        <v>3315</v>
      </c>
      <c r="H706" s="2913" t="s">
        <v>3316</v>
      </c>
      <c r="I706" s="2913"/>
      <c r="J706" s="2913"/>
      <c r="K706" s="2913"/>
      <c r="L706" s="2897"/>
      <c r="M706" s="2897"/>
      <c r="N706" s="2914"/>
    </row>
    <row r="707" spans="1:14" ht="12" customHeight="1" x14ac:dyDescent="0.2">
      <c r="A707" s="6109"/>
      <c r="B707" s="6111"/>
      <c r="C707" s="2909" t="s">
        <v>3318</v>
      </c>
      <c r="D707" s="2910" t="str">
        <f>D706</f>
        <v>Hyousetsu Jigoku</v>
      </c>
      <c r="E707" s="2915">
        <v>3</v>
      </c>
      <c r="F707" s="2915">
        <v>115</v>
      </c>
      <c r="G707" s="2912" t="s">
        <v>3319</v>
      </c>
      <c r="H707" s="2913" t="s">
        <v>3320</v>
      </c>
      <c r="I707" s="2913"/>
      <c r="J707" s="2913"/>
      <c r="K707" s="2913" t="s">
        <v>3285</v>
      </c>
      <c r="L707" s="2897"/>
      <c r="M707" s="2897"/>
      <c r="N707" s="2914"/>
    </row>
    <row r="708" spans="1:14" ht="12" customHeight="1" x14ac:dyDescent="0.2">
      <c r="A708" s="6109"/>
      <c r="B708" s="6111"/>
      <c r="C708" s="2909" t="s">
        <v>3321</v>
      </c>
      <c r="D708" s="2910"/>
      <c r="E708" s="2915"/>
      <c r="F708" s="2915"/>
      <c r="G708" s="2912"/>
      <c r="H708" s="2913"/>
      <c r="I708" s="2913"/>
      <c r="J708" s="2913"/>
      <c r="K708" s="2913"/>
      <c r="L708" s="2897"/>
      <c r="M708" s="2897"/>
      <c r="N708" s="2914"/>
    </row>
    <row r="709" spans="1:14" ht="12" customHeight="1" x14ac:dyDescent="0.2">
      <c r="A709" s="6109"/>
      <c r="B709" s="6111"/>
      <c r="C709" s="2909" t="s">
        <v>3322</v>
      </c>
      <c r="D709" s="2910" t="str">
        <f>PROPER(MID(C708,3,100))</f>
        <v>Hypnos Requiem</v>
      </c>
      <c r="E709" s="2915">
        <v>1</v>
      </c>
      <c r="F709" s="2915">
        <v>25</v>
      </c>
      <c r="G709" s="2912" t="s">
        <v>3323</v>
      </c>
      <c r="H709" s="2913" t="s">
        <v>3324</v>
      </c>
      <c r="I709" s="2913"/>
      <c r="J709" s="2913"/>
      <c r="K709" s="2913"/>
      <c r="L709" s="2897"/>
      <c r="M709" s="2897"/>
      <c r="N709" s="2914"/>
    </row>
    <row r="710" spans="1:14" ht="12" customHeight="1" x14ac:dyDescent="0.2">
      <c r="A710" s="6109"/>
      <c r="B710" s="6111"/>
      <c r="C710" s="2909" t="s">
        <v>3325</v>
      </c>
      <c r="D710" s="2910" t="str">
        <f>D709</f>
        <v>Hypnos Requiem</v>
      </c>
      <c r="E710" s="2915">
        <v>1</v>
      </c>
      <c r="F710" s="2915">
        <v>25</v>
      </c>
      <c r="G710" s="2912" t="s">
        <v>3326</v>
      </c>
      <c r="H710" s="2913" t="s">
        <v>3327</v>
      </c>
      <c r="I710" s="2913"/>
      <c r="J710" s="2913"/>
      <c r="K710" s="2913"/>
      <c r="L710" s="2897"/>
      <c r="M710" s="2897"/>
      <c r="N710" s="2914"/>
    </row>
    <row r="711" spans="1:14" ht="12" customHeight="1" x14ac:dyDescent="0.2">
      <c r="A711" s="6109"/>
      <c r="B711" s="6111"/>
      <c r="C711" s="2909" t="s">
        <v>3328</v>
      </c>
      <c r="D711" s="2910" t="str">
        <f>D710</f>
        <v>Hypnos Requiem</v>
      </c>
      <c r="E711" s="2915">
        <v>1</v>
      </c>
      <c r="F711" s="2915">
        <v>30</v>
      </c>
      <c r="G711" s="2912" t="s">
        <v>3329</v>
      </c>
      <c r="H711" s="2913" t="s">
        <v>3330</v>
      </c>
      <c r="I711" s="2913"/>
      <c r="J711" s="2913"/>
      <c r="K711" s="2913"/>
      <c r="L711" s="2897"/>
      <c r="M711" s="2897"/>
      <c r="N711" s="2914"/>
    </row>
    <row r="712" spans="1:14" ht="12" customHeight="1" x14ac:dyDescent="0.2">
      <c r="A712" s="6109"/>
      <c r="B712" s="6111"/>
      <c r="C712" s="2909" t="s">
        <v>3331</v>
      </c>
      <c r="D712" s="2910" t="str">
        <f>D711</f>
        <v>Hypnos Requiem</v>
      </c>
      <c r="E712" s="2915">
        <v>2</v>
      </c>
      <c r="F712" s="2915">
        <v>60</v>
      </c>
      <c r="G712" s="2912" t="s">
        <v>3332</v>
      </c>
      <c r="H712" s="2913" t="s">
        <v>3333</v>
      </c>
      <c r="I712" s="2913"/>
      <c r="J712" s="2913"/>
      <c r="K712" s="2913"/>
      <c r="L712" s="2897"/>
      <c r="M712" s="2897"/>
      <c r="N712" s="2914"/>
    </row>
    <row r="713" spans="1:14" ht="12" customHeight="1" x14ac:dyDescent="0.2">
      <c r="A713" s="6109"/>
      <c r="B713" s="6111"/>
      <c r="C713" s="2909" t="s">
        <v>3334</v>
      </c>
      <c r="D713" s="2910" t="str">
        <f>D712</f>
        <v>Hypnos Requiem</v>
      </c>
      <c r="E713" s="2915">
        <v>2</v>
      </c>
      <c r="F713" s="2915">
        <v>45</v>
      </c>
      <c r="G713" s="2912" t="s">
        <v>3335</v>
      </c>
      <c r="H713" s="2913" t="s">
        <v>3336</v>
      </c>
      <c r="I713" s="2913"/>
      <c r="J713" s="2913"/>
      <c r="K713" s="2913" t="s">
        <v>3337</v>
      </c>
      <c r="L713" s="2897"/>
      <c r="M713" s="2897"/>
      <c r="N713" s="2914"/>
    </row>
    <row r="714" spans="1:14" ht="12" customHeight="1" x14ac:dyDescent="0.2">
      <c r="A714" s="6109"/>
      <c r="B714" s="6111"/>
      <c r="C714" s="2909" t="s">
        <v>3338</v>
      </c>
      <c r="D714" s="2910"/>
      <c r="E714" s="2915">
        <v>2</v>
      </c>
      <c r="F714" s="2915">
        <v>80</v>
      </c>
      <c r="G714" s="2912" t="s">
        <v>3339</v>
      </c>
      <c r="H714" s="2913" t="s">
        <v>3340</v>
      </c>
      <c r="I714" s="2913"/>
      <c r="J714" s="2913"/>
      <c r="K714" s="2913" t="s">
        <v>3341</v>
      </c>
      <c r="L714" s="2897"/>
      <c r="M714" s="2897"/>
      <c r="N714" s="2914"/>
    </row>
    <row r="715" spans="1:14" ht="12" customHeight="1" x14ac:dyDescent="0.2">
      <c r="A715" s="6109"/>
      <c r="B715" s="6111"/>
      <c r="C715" s="2909" t="s">
        <v>3342</v>
      </c>
      <c r="D715" s="2910"/>
      <c r="E715" s="2915"/>
      <c r="F715" s="2915"/>
      <c r="G715" s="2912"/>
      <c r="H715" s="2913"/>
      <c r="I715" s="2913"/>
      <c r="J715" s="2913"/>
      <c r="K715" s="2913"/>
      <c r="L715" s="2897"/>
      <c r="M715" s="2897"/>
      <c r="N715" s="2914"/>
    </row>
    <row r="716" spans="1:14" ht="12" customHeight="1" x14ac:dyDescent="0.2">
      <c r="A716" s="6109"/>
      <c r="B716" s="6111"/>
      <c r="C716" s="2909" t="s">
        <v>3343</v>
      </c>
      <c r="D716" s="2910" t="str">
        <f>PROPER(MID(C715,3,100))</f>
        <v>Le Rose Du Sang</v>
      </c>
      <c r="E716" s="2915">
        <v>1</v>
      </c>
      <c r="F716" s="2915">
        <v>20</v>
      </c>
      <c r="G716" s="2912" t="s">
        <v>3344</v>
      </c>
      <c r="H716" s="2913" t="s">
        <v>3345</v>
      </c>
      <c r="I716" s="2913"/>
      <c r="J716" s="2913"/>
      <c r="K716" s="2913"/>
      <c r="L716" s="2897"/>
      <c r="M716" s="2897"/>
      <c r="N716" s="2914"/>
    </row>
    <row r="717" spans="1:14" ht="12" customHeight="1" x14ac:dyDescent="0.2">
      <c r="A717" s="6109"/>
      <c r="B717" s="6111"/>
      <c r="C717" s="2909" t="s">
        <v>3347</v>
      </c>
      <c r="D717" s="2910" t="str">
        <f>D716</f>
        <v>Le Rose Du Sang</v>
      </c>
      <c r="E717" s="2915">
        <v>1</v>
      </c>
      <c r="F717" s="2915">
        <v>30</v>
      </c>
      <c r="G717" s="2912" t="s">
        <v>3348</v>
      </c>
      <c r="H717" s="2913" t="s">
        <v>3349</v>
      </c>
      <c r="I717" s="2913"/>
      <c r="J717" s="2913"/>
      <c r="K717" s="2913"/>
      <c r="L717" s="2897"/>
      <c r="M717" s="2897"/>
      <c r="N717" s="2914"/>
    </row>
    <row r="718" spans="1:14" ht="12" customHeight="1" x14ac:dyDescent="0.2">
      <c r="A718" s="6109"/>
      <c r="B718" s="6111"/>
      <c r="C718" s="2909" t="s">
        <v>3350</v>
      </c>
      <c r="D718" s="2910" t="str">
        <f>D717</f>
        <v>Le Rose Du Sang</v>
      </c>
      <c r="E718" s="2915">
        <v>2</v>
      </c>
      <c r="F718" s="2915">
        <v>40</v>
      </c>
      <c r="G718" s="2912" t="s">
        <v>3351</v>
      </c>
      <c r="H718" s="2913" t="s">
        <v>3352</v>
      </c>
      <c r="I718" s="2913"/>
      <c r="J718" s="2913"/>
      <c r="K718" s="2913" t="s">
        <v>3353</v>
      </c>
      <c r="L718" s="2897"/>
      <c r="M718" s="2897"/>
      <c r="N718" s="2914"/>
    </row>
    <row r="719" spans="1:14" ht="12" customHeight="1" x14ac:dyDescent="0.2">
      <c r="A719" s="6109"/>
      <c r="B719" s="6111"/>
      <c r="C719" s="2909" t="s">
        <v>3354</v>
      </c>
      <c r="D719" s="2910" t="str">
        <f>D718</f>
        <v>Le Rose Du Sang</v>
      </c>
      <c r="E719" s="2915">
        <v>2</v>
      </c>
      <c r="F719" s="2915">
        <v>55</v>
      </c>
      <c r="G719" s="2912" t="s">
        <v>3355</v>
      </c>
      <c r="H719" s="2913" t="s">
        <v>3356</v>
      </c>
      <c r="I719" s="2913"/>
      <c r="J719" s="2913"/>
      <c r="K719" s="2913" t="s">
        <v>3357</v>
      </c>
      <c r="L719" s="2897"/>
      <c r="M719" s="2897"/>
      <c r="N719" s="2914"/>
    </row>
    <row r="720" spans="1:14" ht="12" customHeight="1" x14ac:dyDescent="0.2">
      <c r="A720" s="6109"/>
      <c r="B720" s="6111"/>
      <c r="C720" s="2909" t="s">
        <v>3358</v>
      </c>
      <c r="D720" s="2910" t="str">
        <f>D719</f>
        <v>Le Rose Du Sang</v>
      </c>
      <c r="E720" s="2915">
        <v>3</v>
      </c>
      <c r="F720" s="2915">
        <v>90</v>
      </c>
      <c r="G720" s="2912" t="s">
        <v>3359</v>
      </c>
      <c r="H720" s="2913" t="s">
        <v>3360</v>
      </c>
      <c r="I720" s="2913"/>
      <c r="J720" s="2913"/>
      <c r="K720" s="2913" t="s">
        <v>3361</v>
      </c>
      <c r="L720" s="2897"/>
      <c r="M720" s="2897"/>
      <c r="N720" s="2914"/>
    </row>
    <row r="721" spans="1:14" ht="12" customHeight="1" x14ac:dyDescent="0.2">
      <c r="A721" s="6109"/>
      <c r="B721" s="6111"/>
      <c r="C721" s="2909" t="s">
        <v>3362</v>
      </c>
      <c r="D721" s="2910"/>
      <c r="E721" s="2915"/>
      <c r="F721" s="2915"/>
      <c r="G721" s="2912"/>
      <c r="H721" s="2913"/>
      <c r="I721" s="2913"/>
      <c r="J721" s="2913"/>
      <c r="K721" s="2913"/>
      <c r="L721" s="2897"/>
      <c r="M721" s="2897"/>
      <c r="N721" s="2914"/>
    </row>
    <row r="722" spans="1:14" ht="12" customHeight="1" x14ac:dyDescent="0.2">
      <c r="A722" s="6109"/>
      <c r="B722" s="6111"/>
      <c r="C722" s="2909" t="s">
        <v>3363</v>
      </c>
      <c r="D722" s="2910" t="str">
        <f>PROPER(MID(C721,3,100))</f>
        <v>Arashido, El Camino De Las Tormentas</v>
      </c>
      <c r="E722" s="2915">
        <v>1</v>
      </c>
      <c r="F722" s="2915">
        <v>25</v>
      </c>
      <c r="G722" s="2912" t="s">
        <v>3364</v>
      </c>
      <c r="H722" s="2913" t="s">
        <v>3365</v>
      </c>
      <c r="I722" s="2913"/>
      <c r="J722" s="2913"/>
      <c r="K722" s="2913"/>
      <c r="L722" s="2897"/>
      <c r="M722" s="2897"/>
      <c r="N722" s="2914"/>
    </row>
    <row r="723" spans="1:14" ht="12" customHeight="1" x14ac:dyDescent="0.2">
      <c r="A723" s="6109"/>
      <c r="B723" s="6111"/>
      <c r="C723" s="2909" t="s">
        <v>3367</v>
      </c>
      <c r="D723" s="2910" t="str">
        <f>D722</f>
        <v>Arashido, El Camino De Las Tormentas</v>
      </c>
      <c r="E723" s="2915">
        <v>1</v>
      </c>
      <c r="F723" s="2915">
        <v>40</v>
      </c>
      <c r="G723" s="2912" t="s">
        <v>3368</v>
      </c>
      <c r="H723" s="2913" t="s">
        <v>3369</v>
      </c>
      <c r="I723" s="2913"/>
      <c r="J723" s="2913"/>
      <c r="K723" s="2913"/>
      <c r="L723" s="2897"/>
      <c r="M723" s="2897"/>
      <c r="N723" s="2914"/>
    </row>
    <row r="724" spans="1:14" ht="12" customHeight="1" x14ac:dyDescent="0.2">
      <c r="A724" s="6109"/>
      <c r="B724" s="6111"/>
      <c r="C724" s="2909" t="s">
        <v>3370</v>
      </c>
      <c r="D724" s="2910" t="str">
        <f>D723</f>
        <v>Arashido, El Camino De Las Tormentas</v>
      </c>
      <c r="E724" s="2915">
        <v>2</v>
      </c>
      <c r="F724" s="2915">
        <v>75</v>
      </c>
      <c r="G724" s="2912" t="s">
        <v>3371</v>
      </c>
      <c r="H724" s="2913" t="s">
        <v>3372</v>
      </c>
      <c r="I724" s="2913"/>
      <c r="J724" s="2913"/>
      <c r="K724" s="2913" t="s">
        <v>3373</v>
      </c>
      <c r="L724" s="2897"/>
      <c r="M724" s="2897"/>
      <c r="N724" s="2914"/>
    </row>
    <row r="725" spans="1:14" ht="12" customHeight="1" x14ac:dyDescent="0.2">
      <c r="A725" s="6109"/>
      <c r="B725" s="6111"/>
      <c r="C725" s="2909" t="s">
        <v>3374</v>
      </c>
      <c r="D725" s="2910" t="str">
        <f>D724</f>
        <v>Arashido, El Camino De Las Tormentas</v>
      </c>
      <c r="E725" s="2915">
        <v>2</v>
      </c>
      <c r="F725" s="2915">
        <v>75</v>
      </c>
      <c r="G725" s="2912" t="s">
        <v>3375</v>
      </c>
      <c r="H725" s="2913" t="s">
        <v>3376</v>
      </c>
      <c r="I725" s="2913"/>
      <c r="J725" s="2913"/>
      <c r="K725" s="2913" t="s">
        <v>3377</v>
      </c>
      <c r="L725" s="2897"/>
      <c r="M725" s="2897"/>
      <c r="N725" s="2914"/>
    </row>
    <row r="726" spans="1:14" ht="12" customHeight="1" x14ac:dyDescent="0.2">
      <c r="A726" s="6109"/>
      <c r="B726" s="6111"/>
      <c r="C726" s="2909" t="s">
        <v>3379</v>
      </c>
      <c r="D726" s="2910" t="str">
        <f>D725</f>
        <v>Arashido, El Camino De Las Tormentas</v>
      </c>
      <c r="E726" s="2915">
        <v>3</v>
      </c>
      <c r="F726" s="2915">
        <v>95</v>
      </c>
      <c r="G726" s="2912" t="s">
        <v>3380</v>
      </c>
      <c r="H726" s="2913" t="s">
        <v>3381</v>
      </c>
      <c r="I726" s="2913"/>
      <c r="J726" s="2913"/>
      <c r="K726" s="2913" t="s">
        <v>3382</v>
      </c>
      <c r="L726" s="2897"/>
      <c r="M726" s="2897"/>
      <c r="N726" s="2914"/>
    </row>
    <row r="727" spans="1:14" ht="12" customHeight="1" x14ac:dyDescent="0.2">
      <c r="A727" s="6109"/>
      <c r="B727" s="6111"/>
      <c r="C727" s="2909" t="s">
        <v>3383</v>
      </c>
      <c r="D727" s="2910"/>
      <c r="E727" s="2915"/>
      <c r="F727" s="2915"/>
      <c r="G727" s="2912"/>
      <c r="H727" s="2913"/>
      <c r="I727" s="2913"/>
      <c r="J727" s="2913"/>
      <c r="K727" s="2913"/>
      <c r="L727" s="2897"/>
      <c r="M727" s="2897"/>
      <c r="N727" s="2914"/>
    </row>
    <row r="728" spans="1:14" ht="12" customHeight="1" x14ac:dyDescent="0.2">
      <c r="A728" s="6109"/>
      <c r="B728" s="6111"/>
      <c r="C728" s="2917" t="s">
        <v>3384</v>
      </c>
      <c r="D728" s="2910" t="str">
        <f>PROPER(MID(C727,3,100))</f>
        <v>Di Quiu</v>
      </c>
      <c r="E728" s="624">
        <v>1</v>
      </c>
      <c r="F728" s="624">
        <v>35</v>
      </c>
      <c r="G728" s="2910" t="s">
        <v>3385</v>
      </c>
      <c r="H728" s="2910" t="s">
        <v>3386</v>
      </c>
      <c r="I728" s="2910"/>
      <c r="J728" s="2910"/>
      <c r="K728" s="2913" t="s">
        <v>3387</v>
      </c>
      <c r="L728" s="2897"/>
      <c r="M728" s="2897"/>
      <c r="N728" s="2914"/>
    </row>
    <row r="729" spans="1:14" ht="12" customHeight="1" x14ac:dyDescent="0.2">
      <c r="A729" s="6109"/>
      <c r="B729" s="6111"/>
      <c r="C729" s="2917" t="s">
        <v>3389</v>
      </c>
      <c r="D729" s="2910" t="str">
        <f>D728</f>
        <v>Di Quiu</v>
      </c>
      <c r="E729" s="624">
        <v>1</v>
      </c>
      <c r="F729" s="624">
        <v>50</v>
      </c>
      <c r="G729" s="2910" t="s">
        <v>3390</v>
      </c>
      <c r="H729" s="2910" t="s">
        <v>3391</v>
      </c>
      <c r="I729" s="2910"/>
      <c r="J729" s="2910"/>
      <c r="K729" s="2913" t="s">
        <v>3392</v>
      </c>
      <c r="L729" s="2897"/>
      <c r="M729" s="2897"/>
      <c r="N729" s="2914"/>
    </row>
    <row r="730" spans="1:14" ht="12" customHeight="1" x14ac:dyDescent="0.2">
      <c r="A730" s="6109"/>
      <c r="B730" s="6111"/>
      <c r="C730" s="2917" t="s">
        <v>3394</v>
      </c>
      <c r="D730" s="2910" t="str">
        <f>D729</f>
        <v>Di Quiu</v>
      </c>
      <c r="E730" s="624">
        <v>2</v>
      </c>
      <c r="F730" s="624">
        <v>40</v>
      </c>
      <c r="G730" s="2910" t="s">
        <v>3395</v>
      </c>
      <c r="H730" s="2910" t="s">
        <v>3396</v>
      </c>
      <c r="I730" s="2910"/>
      <c r="J730" s="2910"/>
      <c r="K730" s="2913" t="s">
        <v>3285</v>
      </c>
      <c r="L730" s="2897"/>
      <c r="M730" s="2897"/>
      <c r="N730" s="2914"/>
    </row>
    <row r="731" spans="1:14" ht="12" customHeight="1" x14ac:dyDescent="0.2">
      <c r="A731" s="6109"/>
      <c r="B731" s="6111"/>
      <c r="C731" s="2917" t="s">
        <v>3398</v>
      </c>
      <c r="D731" s="2910" t="str">
        <f>D730</f>
        <v>Di Quiu</v>
      </c>
      <c r="E731" s="624">
        <v>2</v>
      </c>
      <c r="F731" s="624">
        <v>65</v>
      </c>
      <c r="G731" s="2910" t="s">
        <v>3399</v>
      </c>
      <c r="H731" s="2910" t="s">
        <v>3400</v>
      </c>
      <c r="I731" s="2910"/>
      <c r="J731" s="2910"/>
      <c r="K731" s="2913" t="s">
        <v>3401</v>
      </c>
      <c r="L731" s="2897"/>
      <c r="M731" s="2897"/>
      <c r="N731" s="2914"/>
    </row>
    <row r="732" spans="1:14" ht="12" customHeight="1" x14ac:dyDescent="0.2">
      <c r="A732" s="6109"/>
      <c r="B732" s="6111"/>
      <c r="C732" s="2917" t="s">
        <v>3403</v>
      </c>
      <c r="D732" s="2910" t="str">
        <f>D731</f>
        <v>Di Quiu</v>
      </c>
      <c r="E732" s="624">
        <v>2</v>
      </c>
      <c r="F732" s="624">
        <v>60</v>
      </c>
      <c r="G732" s="2910" t="s">
        <v>3404</v>
      </c>
      <c r="H732" s="2910" t="s">
        <v>3405</v>
      </c>
      <c r="I732" s="2910"/>
      <c r="J732" s="2910"/>
      <c r="K732" s="2913" t="s">
        <v>3406</v>
      </c>
      <c r="L732" s="2897"/>
      <c r="M732" s="2897"/>
      <c r="N732" s="2914"/>
    </row>
    <row r="733" spans="1:14" ht="12" customHeight="1" x14ac:dyDescent="0.2">
      <c r="A733" s="6109"/>
      <c r="B733" s="6111"/>
      <c r="C733" s="2917" t="s">
        <v>3407</v>
      </c>
      <c r="D733" s="2910"/>
      <c r="E733" s="624"/>
      <c r="F733" s="624">
        <v>90</v>
      </c>
      <c r="G733" s="2910" t="s">
        <v>3408</v>
      </c>
      <c r="H733" s="2910" t="s">
        <v>3409</v>
      </c>
      <c r="I733" s="2910"/>
      <c r="J733" s="2910"/>
      <c r="K733" s="2913" t="s">
        <v>3410</v>
      </c>
      <c r="L733" s="2897"/>
      <c r="M733" s="2897"/>
      <c r="N733" s="2914"/>
    </row>
    <row r="734" spans="1:14" ht="12" customHeight="1" x14ac:dyDescent="0.2">
      <c r="A734" s="6109"/>
      <c r="B734" s="6111"/>
      <c r="C734" s="2917" t="s">
        <v>3411</v>
      </c>
      <c r="D734" s="2910"/>
      <c r="E734" s="624"/>
      <c r="F734" s="624"/>
      <c r="G734" s="2910"/>
      <c r="H734" s="2910"/>
      <c r="I734" s="2910"/>
      <c r="J734" s="2910"/>
      <c r="K734" s="2913"/>
      <c r="L734" s="2897"/>
      <c r="M734" s="2897"/>
      <c r="N734" s="2914"/>
    </row>
    <row r="735" spans="1:14" ht="12" customHeight="1" x14ac:dyDescent="0.2">
      <c r="A735" s="6109"/>
      <c r="B735" s="6111"/>
      <c r="C735" s="2917" t="s">
        <v>3412</v>
      </c>
      <c r="D735" s="2910" t="str">
        <f>PROPER(MID(C734,3,100))</f>
        <v>Obscuritas</v>
      </c>
      <c r="E735" s="624">
        <v>1</v>
      </c>
      <c r="F735" s="624">
        <v>20</v>
      </c>
      <c r="G735" s="2910" t="s">
        <v>3413</v>
      </c>
      <c r="H735" s="2910" t="s">
        <v>3414</v>
      </c>
      <c r="I735" s="2910"/>
      <c r="J735" s="2910"/>
      <c r="K735" s="2913"/>
      <c r="L735" s="2897"/>
      <c r="M735" s="2897"/>
      <c r="N735" s="2914"/>
    </row>
    <row r="736" spans="1:14" ht="12" customHeight="1" x14ac:dyDescent="0.2">
      <c r="A736" s="6109"/>
      <c r="B736" s="6111"/>
      <c r="C736" s="2917" t="s">
        <v>3415</v>
      </c>
      <c r="D736" s="2910" t="str">
        <f>D735</f>
        <v>Obscuritas</v>
      </c>
      <c r="E736" s="624">
        <v>1</v>
      </c>
      <c r="F736" s="624">
        <v>20</v>
      </c>
      <c r="G736" s="2910" t="s">
        <v>3416</v>
      </c>
      <c r="H736" s="2910" t="s">
        <v>3417</v>
      </c>
      <c r="I736" s="2910"/>
      <c r="J736" s="2910"/>
      <c r="K736" s="2913"/>
      <c r="L736" s="2897"/>
      <c r="M736" s="2897"/>
      <c r="N736" s="2914"/>
    </row>
    <row r="737" spans="1:14" ht="12" customHeight="1" x14ac:dyDescent="0.2">
      <c r="A737" s="6109"/>
      <c r="B737" s="6111"/>
      <c r="C737" s="2917" t="s">
        <v>3418</v>
      </c>
      <c r="D737" s="2910" t="str">
        <f>D736</f>
        <v>Obscuritas</v>
      </c>
      <c r="E737" s="624">
        <v>1</v>
      </c>
      <c r="F737" s="624">
        <v>40</v>
      </c>
      <c r="G737" s="2910" t="s">
        <v>3419</v>
      </c>
      <c r="H737" s="2910" t="s">
        <v>3420</v>
      </c>
      <c r="I737" s="2910"/>
      <c r="J737" s="2910"/>
      <c r="K737" s="2913"/>
      <c r="L737" s="2897"/>
      <c r="M737" s="2897"/>
      <c r="N737" s="2914"/>
    </row>
    <row r="738" spans="1:14" ht="12" customHeight="1" x14ac:dyDescent="0.2">
      <c r="A738" s="6109"/>
      <c r="B738" s="6111"/>
      <c r="C738" s="2917" t="s">
        <v>3421</v>
      </c>
      <c r="D738" s="2910" t="str">
        <f>D737</f>
        <v>Obscuritas</v>
      </c>
      <c r="E738" s="624">
        <v>2</v>
      </c>
      <c r="F738" s="624">
        <v>40</v>
      </c>
      <c r="G738" s="2910" t="s">
        <v>3422</v>
      </c>
      <c r="H738" s="2910" t="s">
        <v>3423</v>
      </c>
      <c r="I738" s="2910"/>
      <c r="J738" s="2910"/>
      <c r="K738" s="2913"/>
      <c r="L738" s="2897"/>
      <c r="M738" s="2897"/>
      <c r="N738" s="2914"/>
    </row>
    <row r="739" spans="1:14" ht="12" customHeight="1" x14ac:dyDescent="0.2">
      <c r="A739" s="6109"/>
      <c r="B739" s="6111"/>
      <c r="C739" s="2917" t="s">
        <v>3424</v>
      </c>
      <c r="D739" s="2910" t="str">
        <f>D738</f>
        <v>Obscuritas</v>
      </c>
      <c r="E739" s="624">
        <v>2</v>
      </c>
      <c r="F739" s="624">
        <v>45</v>
      </c>
      <c r="G739" s="2910" t="s">
        <v>3425</v>
      </c>
      <c r="H739" s="2910" t="s">
        <v>3426</v>
      </c>
      <c r="I739" s="2910"/>
      <c r="J739" s="2910"/>
      <c r="K739" s="2913" t="s">
        <v>3427</v>
      </c>
      <c r="L739" s="2897"/>
      <c r="M739" s="2897"/>
      <c r="N739" s="2914"/>
    </row>
    <row r="740" spans="1:14" ht="12" customHeight="1" x14ac:dyDescent="0.2">
      <c r="A740" s="6109"/>
      <c r="B740" s="6111"/>
      <c r="C740" s="2917" t="s">
        <v>3428</v>
      </c>
      <c r="D740" s="2910"/>
      <c r="E740" s="6228"/>
      <c r="F740" s="6228"/>
      <c r="G740" s="2918"/>
      <c r="H740" s="2918"/>
      <c r="I740" s="2918"/>
      <c r="J740" s="2918"/>
      <c r="K740" s="2918"/>
      <c r="L740" s="2897"/>
      <c r="M740" s="2897"/>
      <c r="N740" s="2914"/>
    </row>
    <row r="741" spans="1:14" ht="12" customHeight="1" x14ac:dyDescent="0.2">
      <c r="A741" s="6109"/>
      <c r="B741" s="6111"/>
      <c r="C741" s="2917" t="s">
        <v>3429</v>
      </c>
      <c r="D741" s="2910" t="str">
        <f>PROPER(MID(C740,3,100))</f>
        <v>Cosmos</v>
      </c>
      <c r="E741" s="624">
        <v>1</v>
      </c>
      <c r="F741" s="624">
        <v>35</v>
      </c>
      <c r="G741" s="2913" t="s">
        <v>3430</v>
      </c>
      <c r="H741" s="2910" t="s">
        <v>3431</v>
      </c>
      <c r="I741" s="2910"/>
      <c r="J741" s="2910"/>
      <c r="K741" s="2913" t="s">
        <v>3432</v>
      </c>
      <c r="L741" s="2897"/>
      <c r="M741" s="2897"/>
      <c r="N741" s="2914"/>
    </row>
    <row r="742" spans="1:14" ht="12" customHeight="1" x14ac:dyDescent="0.2">
      <c r="A742" s="6109"/>
      <c r="B742" s="6111"/>
      <c r="C742" s="2917" t="s">
        <v>3433</v>
      </c>
      <c r="D742" s="2910" t="str">
        <f>D741</f>
        <v>Cosmos</v>
      </c>
      <c r="E742" s="624">
        <v>1</v>
      </c>
      <c r="F742" s="624">
        <v>45</v>
      </c>
      <c r="G742" s="2913" t="s">
        <v>3434</v>
      </c>
      <c r="H742" s="2910" t="s">
        <v>3435</v>
      </c>
      <c r="I742" s="2910"/>
      <c r="J742" s="2910"/>
      <c r="K742" s="2913"/>
      <c r="L742" s="2897"/>
      <c r="M742" s="2897"/>
      <c r="N742" s="2914"/>
    </row>
    <row r="743" spans="1:14" ht="12" customHeight="1" x14ac:dyDescent="0.2">
      <c r="A743" s="6109"/>
      <c r="B743" s="6111"/>
      <c r="C743" s="2917" t="s">
        <v>3436</v>
      </c>
      <c r="D743" s="2910" t="str">
        <f>D742</f>
        <v>Cosmos</v>
      </c>
      <c r="E743" s="624">
        <v>2</v>
      </c>
      <c r="F743" s="624">
        <v>75</v>
      </c>
      <c r="G743" s="2913" t="s">
        <v>3437</v>
      </c>
      <c r="H743" s="2910" t="s">
        <v>3438</v>
      </c>
      <c r="I743" s="2910"/>
      <c r="J743" s="2910"/>
      <c r="K743" s="2913"/>
      <c r="L743" s="2897"/>
      <c r="M743" s="2897"/>
      <c r="N743" s="2914"/>
    </row>
    <row r="744" spans="1:14" ht="12" customHeight="1" x14ac:dyDescent="0.2">
      <c r="A744" s="6109"/>
      <c r="B744" s="6111"/>
      <c r="C744" s="2917" t="s">
        <v>3439</v>
      </c>
      <c r="D744" s="2910" t="str">
        <f>D743</f>
        <v>Cosmos</v>
      </c>
      <c r="E744" s="624">
        <v>2</v>
      </c>
      <c r="F744" s="624">
        <v>70</v>
      </c>
      <c r="G744" s="2913" t="s">
        <v>3440</v>
      </c>
      <c r="H744" s="2910" t="s">
        <v>3441</v>
      </c>
      <c r="I744" s="2910"/>
      <c r="J744" s="2910"/>
      <c r="K744" s="2913" t="s">
        <v>3442</v>
      </c>
      <c r="L744" s="2897"/>
      <c r="M744" s="2897"/>
      <c r="N744" s="2914"/>
    </row>
    <row r="745" spans="1:14" ht="12" customHeight="1" x14ac:dyDescent="0.2">
      <c r="A745" s="6109"/>
      <c r="B745" s="6111"/>
      <c r="C745" s="2917" t="s">
        <v>3443</v>
      </c>
      <c r="D745" s="2910" t="str">
        <f>D744</f>
        <v>Cosmos</v>
      </c>
      <c r="E745" s="624">
        <v>3</v>
      </c>
      <c r="F745" s="624">
        <v>105</v>
      </c>
      <c r="G745" s="2913" t="s">
        <v>3444</v>
      </c>
      <c r="H745" s="2910" t="s">
        <v>3445</v>
      </c>
      <c r="I745" s="2910"/>
      <c r="J745" s="2910"/>
      <c r="K745" s="2913" t="s">
        <v>3446</v>
      </c>
      <c r="L745" s="2897"/>
      <c r="M745" s="2897"/>
      <c r="N745" s="2914"/>
    </row>
    <row r="746" spans="1:14" ht="12" customHeight="1" x14ac:dyDescent="0.2">
      <c r="A746" s="6109"/>
      <c r="B746" s="6111"/>
      <c r="C746" s="2917" t="s">
        <v>3447</v>
      </c>
      <c r="D746" s="2910"/>
      <c r="E746" s="6228"/>
      <c r="F746" s="624"/>
      <c r="G746" s="2913"/>
      <c r="H746" s="2910"/>
      <c r="I746" s="2910"/>
      <c r="J746" s="2910"/>
      <c r="K746" s="2913"/>
      <c r="L746" s="2897"/>
      <c r="M746" s="2897"/>
      <c r="N746" s="2914"/>
    </row>
    <row r="747" spans="1:14" ht="12" customHeight="1" x14ac:dyDescent="0.2">
      <c r="A747" s="6109"/>
      <c r="B747" s="6111"/>
      <c r="C747" s="2917" t="s">
        <v>3448</v>
      </c>
      <c r="D747" s="2910" t="str">
        <f>PROPER(MID(C746,3,100))</f>
        <v>Kagami</v>
      </c>
      <c r="E747" s="624">
        <v>1</v>
      </c>
      <c r="F747" s="624">
        <v>30</v>
      </c>
      <c r="G747" s="2913" t="s">
        <v>3449</v>
      </c>
      <c r="H747" s="2910" t="s">
        <v>3450</v>
      </c>
      <c r="I747" s="2910"/>
      <c r="J747" s="2910"/>
      <c r="K747" s="2913"/>
      <c r="L747" s="2897"/>
      <c r="M747" s="2897"/>
      <c r="N747" s="2914"/>
    </row>
    <row r="748" spans="1:14" ht="12" customHeight="1" x14ac:dyDescent="0.2">
      <c r="A748" s="6109"/>
      <c r="B748" s="6111"/>
      <c r="C748" s="2917" t="s">
        <v>3451</v>
      </c>
      <c r="D748" s="2910" t="str">
        <f>D747</f>
        <v>Kagami</v>
      </c>
      <c r="E748" s="624">
        <v>1</v>
      </c>
      <c r="F748" s="624">
        <v>30</v>
      </c>
      <c r="G748" s="2913" t="s">
        <v>3452</v>
      </c>
      <c r="H748" s="2910" t="s">
        <v>3453</v>
      </c>
      <c r="I748" s="2910"/>
      <c r="J748" s="2910"/>
      <c r="K748" s="2913"/>
      <c r="L748" s="2897"/>
      <c r="M748" s="2897"/>
      <c r="N748" s="2914"/>
    </row>
    <row r="749" spans="1:14" ht="12" customHeight="1" x14ac:dyDescent="0.2">
      <c r="A749" s="6109"/>
      <c r="B749" s="6111"/>
      <c r="C749" s="2917" t="s">
        <v>3454</v>
      </c>
      <c r="D749" s="2910" t="str">
        <f>D748</f>
        <v>Kagami</v>
      </c>
      <c r="E749" s="624">
        <v>2</v>
      </c>
      <c r="F749" s="624">
        <v>70</v>
      </c>
      <c r="G749" s="2913" t="s">
        <v>3455</v>
      </c>
      <c r="H749" s="2910" t="s">
        <v>3456</v>
      </c>
      <c r="I749" s="2910"/>
      <c r="J749" s="2910"/>
      <c r="K749" s="2913"/>
      <c r="L749" s="2897"/>
      <c r="M749" s="2897"/>
      <c r="N749" s="2914"/>
    </row>
    <row r="750" spans="1:14" ht="12" customHeight="1" x14ac:dyDescent="0.2">
      <c r="A750" s="6109"/>
      <c r="B750" s="6111"/>
      <c r="C750" s="2917" t="s">
        <v>3457</v>
      </c>
      <c r="D750" s="2910" t="str">
        <f>D749</f>
        <v>Kagami</v>
      </c>
      <c r="E750" s="624">
        <v>2</v>
      </c>
      <c r="F750" s="624">
        <v>60</v>
      </c>
      <c r="G750" s="2913" t="s">
        <v>3458</v>
      </c>
      <c r="H750" s="2910" t="s">
        <v>3459</v>
      </c>
      <c r="I750" s="2910"/>
      <c r="J750" s="2910"/>
      <c r="K750" s="2913" t="s">
        <v>3460</v>
      </c>
      <c r="L750" s="2897"/>
      <c r="M750" s="2897"/>
      <c r="N750" s="2914"/>
    </row>
    <row r="751" spans="1:14" ht="12" customHeight="1" x14ac:dyDescent="0.2">
      <c r="A751" s="6109"/>
      <c r="B751" s="6111"/>
      <c r="C751" s="2917" t="s">
        <v>3461</v>
      </c>
      <c r="D751" s="2910" t="str">
        <f>D750</f>
        <v>Kagami</v>
      </c>
      <c r="E751" s="624">
        <v>3</v>
      </c>
      <c r="F751" s="624">
        <v>115</v>
      </c>
      <c r="G751" s="2913" t="s">
        <v>3462</v>
      </c>
      <c r="H751" s="2910" t="s">
        <v>3463</v>
      </c>
      <c r="I751" s="2910"/>
      <c r="J751" s="2910"/>
      <c r="K751" s="2913"/>
      <c r="L751" s="2897"/>
      <c r="M751" s="2897"/>
      <c r="N751" s="2914"/>
    </row>
    <row r="752" spans="1:14" ht="12" customHeight="1" x14ac:dyDescent="0.2">
      <c r="A752" s="6109"/>
      <c r="B752" s="6111"/>
      <c r="C752" s="2917" t="s">
        <v>3464</v>
      </c>
      <c r="D752" s="2910"/>
      <c r="E752" s="6228"/>
      <c r="F752" s="624"/>
      <c r="G752" s="2913"/>
      <c r="H752" s="2910"/>
      <c r="I752" s="2910"/>
      <c r="J752" s="2910"/>
      <c r="K752" s="2913"/>
      <c r="L752" s="2897"/>
      <c r="M752" s="2897"/>
      <c r="N752" s="2914"/>
    </row>
    <row r="753" spans="1:18" ht="12" customHeight="1" x14ac:dyDescent="0.2">
      <c r="A753" s="6109"/>
      <c r="B753" s="6111"/>
      <c r="C753" s="2917" t="s">
        <v>3465</v>
      </c>
      <c r="D753" s="2910" t="str">
        <f>PROPER(MID(C752,3,100))</f>
        <v>Magus Abstergo</v>
      </c>
      <c r="E753" s="624">
        <v>1</v>
      </c>
      <c r="F753" s="624">
        <v>30</v>
      </c>
      <c r="G753" s="2913" t="s">
        <v>3466</v>
      </c>
      <c r="H753" s="2910" t="s">
        <v>3467</v>
      </c>
      <c r="I753" s="2910"/>
      <c r="J753" s="2910"/>
      <c r="K753" s="2913"/>
      <c r="L753" s="2897"/>
      <c r="M753" s="2897"/>
      <c r="N753" s="2914"/>
    </row>
    <row r="754" spans="1:18" ht="12" customHeight="1" x14ac:dyDescent="0.2">
      <c r="A754" s="6109"/>
      <c r="B754" s="6111"/>
      <c r="C754" s="2917" t="s">
        <v>3468</v>
      </c>
      <c r="D754" s="2910" t="str">
        <f>D753</f>
        <v>Magus Abstergo</v>
      </c>
      <c r="E754" s="624">
        <v>1</v>
      </c>
      <c r="F754" s="624">
        <v>25</v>
      </c>
      <c r="G754" s="2913" t="s">
        <v>3469</v>
      </c>
      <c r="H754" s="2910" t="s">
        <v>3470</v>
      </c>
      <c r="I754" s="2910"/>
      <c r="J754" s="2910"/>
      <c r="K754" s="2913" t="s">
        <v>3471</v>
      </c>
      <c r="L754" s="2897"/>
      <c r="M754" s="2897"/>
      <c r="N754" s="2914"/>
    </row>
    <row r="755" spans="1:18" ht="12" customHeight="1" x14ac:dyDescent="0.2">
      <c r="A755" s="6109"/>
      <c r="B755" s="6111"/>
      <c r="C755" s="2917" t="s">
        <v>3472</v>
      </c>
      <c r="D755" s="2910" t="str">
        <f>D754</f>
        <v>Magus Abstergo</v>
      </c>
      <c r="E755" s="624">
        <v>2</v>
      </c>
      <c r="F755" s="624">
        <v>70</v>
      </c>
      <c r="G755" s="2913" t="s">
        <v>3473</v>
      </c>
      <c r="H755" s="2910" t="s">
        <v>3474</v>
      </c>
      <c r="I755" s="2910"/>
      <c r="J755" s="2910"/>
      <c r="K755" s="2913" t="s">
        <v>3475</v>
      </c>
      <c r="L755" s="2897"/>
      <c r="M755" s="2897"/>
      <c r="N755" s="2914"/>
    </row>
    <row r="756" spans="1:18" ht="12" customHeight="1" x14ac:dyDescent="0.2">
      <c r="A756" s="6109"/>
      <c r="B756" s="6111"/>
      <c r="C756" s="2917" t="s">
        <v>3476</v>
      </c>
      <c r="D756" s="2910" t="str">
        <f>D755</f>
        <v>Magus Abstergo</v>
      </c>
      <c r="E756" s="624">
        <v>2</v>
      </c>
      <c r="F756" s="624">
        <v>65</v>
      </c>
      <c r="G756" s="2913" t="s">
        <v>3477</v>
      </c>
      <c r="H756" s="2910" t="s">
        <v>3478</v>
      </c>
      <c r="I756" s="2910"/>
      <c r="J756" s="2910"/>
      <c r="K756" s="2913" t="s">
        <v>3475</v>
      </c>
      <c r="L756" s="2897"/>
      <c r="M756" s="2897"/>
      <c r="N756" s="2914"/>
    </row>
    <row r="757" spans="1:18" ht="12" customHeight="1" x14ac:dyDescent="0.2">
      <c r="A757" s="6109"/>
      <c r="B757" s="6111"/>
      <c r="C757" s="2917" t="s">
        <v>3479</v>
      </c>
      <c r="D757" s="2910" t="str">
        <f>D756</f>
        <v>Magus Abstergo</v>
      </c>
      <c r="E757" s="624">
        <v>2</v>
      </c>
      <c r="F757" s="624">
        <v>100</v>
      </c>
      <c r="G757" s="2913" t="s">
        <v>3480</v>
      </c>
      <c r="H757" s="2910" t="s">
        <v>3481</v>
      </c>
      <c r="I757" s="2910"/>
      <c r="J757" s="2910"/>
      <c r="K757" s="2913"/>
      <c r="L757" s="2897"/>
      <c r="M757" s="2897"/>
      <c r="N757" s="2914"/>
    </row>
    <row r="758" spans="1:18" ht="12" customHeight="1" x14ac:dyDescent="0.2">
      <c r="A758" s="6109"/>
      <c r="B758" s="6111"/>
      <c r="C758" s="2917" t="s">
        <v>3482</v>
      </c>
      <c r="D758" s="2910"/>
      <c r="E758" s="6228"/>
      <c r="F758" s="624"/>
      <c r="G758" s="2913"/>
      <c r="H758" s="2910"/>
      <c r="I758" s="2910"/>
      <c r="J758" s="2910"/>
      <c r="K758" s="2913"/>
      <c r="L758" s="2897"/>
      <c r="M758" s="2897"/>
      <c r="N758" s="2914"/>
    </row>
    <row r="759" spans="1:18" ht="12" customHeight="1" x14ac:dyDescent="0.2">
      <c r="A759" s="6109"/>
      <c r="B759" s="6111"/>
      <c r="C759" s="2917" t="s">
        <v>3483</v>
      </c>
      <c r="D759" s="2910" t="str">
        <f>PROPER(MID(C758,3,100))</f>
        <v>Gunhell</v>
      </c>
      <c r="E759" s="624">
        <v>1</v>
      </c>
      <c r="F759" s="624">
        <v>35</v>
      </c>
      <c r="G759" s="2913" t="s">
        <v>3484</v>
      </c>
      <c r="H759" s="2910" t="s">
        <v>3485</v>
      </c>
      <c r="I759" s="2910"/>
      <c r="J759" s="2910"/>
      <c r="K759" s="2913"/>
      <c r="L759" s="2897"/>
      <c r="M759" s="2897"/>
      <c r="N759" s="2914"/>
    </row>
    <row r="760" spans="1:18" ht="12" customHeight="1" x14ac:dyDescent="0.2">
      <c r="A760" s="6109"/>
      <c r="B760" s="6111"/>
      <c r="C760" s="2917" t="s">
        <v>3486</v>
      </c>
      <c r="D760" s="2910" t="str">
        <f>D759</f>
        <v>Gunhell</v>
      </c>
      <c r="E760" s="624">
        <v>1</v>
      </c>
      <c r="F760" s="624">
        <v>45</v>
      </c>
      <c r="G760" s="2913" t="s">
        <v>3487</v>
      </c>
      <c r="H760" s="2910" t="s">
        <v>3488</v>
      </c>
      <c r="I760" s="2910"/>
      <c r="J760" s="2910"/>
      <c r="K760" s="2913" t="s">
        <v>3489</v>
      </c>
      <c r="L760" s="2897"/>
      <c r="M760" s="2897"/>
      <c r="N760" s="2914"/>
    </row>
    <row r="761" spans="1:18" ht="12" customHeight="1" x14ac:dyDescent="0.2">
      <c r="A761" s="6109"/>
      <c r="B761" s="6111"/>
      <c r="C761" s="2917" t="s">
        <v>3490</v>
      </c>
      <c r="D761" s="2910" t="str">
        <f>D760</f>
        <v>Gunhell</v>
      </c>
      <c r="E761" s="624">
        <v>1</v>
      </c>
      <c r="F761" s="624">
        <v>25</v>
      </c>
      <c r="G761" s="2913" t="s">
        <v>3491</v>
      </c>
      <c r="H761" s="2910" t="s">
        <v>3492</v>
      </c>
      <c r="I761" s="2910"/>
      <c r="J761" s="2910"/>
      <c r="K761" s="2913" t="s">
        <v>3489</v>
      </c>
      <c r="L761" s="2897"/>
      <c r="M761" s="2897"/>
      <c r="N761" s="2914"/>
    </row>
    <row r="762" spans="1:18" ht="12" customHeight="1" x14ac:dyDescent="0.2">
      <c r="A762" s="6109"/>
      <c r="B762" s="6111"/>
      <c r="C762" s="2917" t="s">
        <v>3493</v>
      </c>
      <c r="D762" s="2910" t="str">
        <f>D761</f>
        <v>Gunhell</v>
      </c>
      <c r="E762" s="624">
        <v>1</v>
      </c>
      <c r="F762" s="624">
        <v>30</v>
      </c>
      <c r="G762" s="2913" t="s">
        <v>3491</v>
      </c>
      <c r="H762" s="2910" t="s">
        <v>3494</v>
      </c>
      <c r="I762" s="2910"/>
      <c r="J762" s="2910"/>
      <c r="K762" s="2913" t="s">
        <v>3495</v>
      </c>
      <c r="L762" s="2897"/>
      <c r="M762" s="2897"/>
      <c r="N762" s="2914"/>
    </row>
    <row r="763" spans="1:18" ht="12" customHeight="1" x14ac:dyDescent="0.2">
      <c r="A763" s="6109"/>
      <c r="B763" s="6111"/>
      <c r="C763" s="2917" t="s">
        <v>3496</v>
      </c>
      <c r="D763" s="2910" t="str">
        <f>D762</f>
        <v>Gunhell</v>
      </c>
      <c r="E763" s="624">
        <v>2</v>
      </c>
      <c r="F763" s="624">
        <v>85</v>
      </c>
      <c r="G763" s="2913" t="s">
        <v>3497</v>
      </c>
      <c r="H763" s="2910" t="s">
        <v>3498</v>
      </c>
      <c r="I763" s="2910"/>
      <c r="J763" s="2910"/>
      <c r="K763" s="2913" t="s">
        <v>3489</v>
      </c>
      <c r="L763" s="2897"/>
      <c r="M763" s="2897"/>
      <c r="N763" s="2914"/>
    </row>
    <row r="764" spans="1:18" ht="12" customHeight="1" x14ac:dyDescent="0.2">
      <c r="A764" s="6109"/>
      <c r="B764" s="6111"/>
      <c r="C764" s="2917" t="s">
        <v>3499</v>
      </c>
      <c r="D764" s="2910" t="str">
        <f t="shared" ref="D764:D765" si="2">D763</f>
        <v>Gunhell</v>
      </c>
      <c r="E764" s="624">
        <v>2</v>
      </c>
      <c r="F764" s="624">
        <v>65</v>
      </c>
      <c r="G764" s="2913" t="s">
        <v>3500</v>
      </c>
      <c r="H764" s="2910" t="s">
        <v>3501</v>
      </c>
      <c r="I764" s="2910"/>
      <c r="J764" s="2910"/>
      <c r="K764" s="2913" t="s">
        <v>3502</v>
      </c>
      <c r="L764" s="2897"/>
      <c r="M764" s="2897"/>
      <c r="N764" s="2914"/>
    </row>
    <row r="765" spans="1:18" ht="12" customHeight="1" x14ac:dyDescent="0.2">
      <c r="A765" s="6109"/>
      <c r="B765" s="6111"/>
      <c r="C765" s="2917" t="s">
        <v>3503</v>
      </c>
      <c r="D765" s="2910" t="str">
        <f t="shared" si="2"/>
        <v>Gunhell</v>
      </c>
      <c r="E765" s="624">
        <v>3</v>
      </c>
      <c r="F765" s="624">
        <v>90</v>
      </c>
      <c r="G765" s="2913" t="s">
        <v>3504</v>
      </c>
      <c r="H765" s="2910" t="s">
        <v>3505</v>
      </c>
      <c r="I765" s="2910"/>
      <c r="J765" s="2910"/>
      <c r="K765" s="2913" t="s">
        <v>3506</v>
      </c>
      <c r="L765" s="2897"/>
      <c r="M765" s="2897"/>
      <c r="N765" s="2914"/>
      <c r="R765" s="2896"/>
    </row>
    <row r="766" spans="1:18" ht="12" customHeight="1" x14ac:dyDescent="0.2">
      <c r="A766" s="6109"/>
      <c r="B766" s="6111"/>
      <c r="C766" s="2917" t="s">
        <v>3507</v>
      </c>
      <c r="D766" s="2910"/>
      <c r="E766" s="6228"/>
      <c r="F766" s="624"/>
      <c r="G766" s="2913"/>
      <c r="H766" s="2910"/>
      <c r="I766" s="2910"/>
      <c r="J766" s="2910"/>
      <c r="K766" s="2913"/>
      <c r="L766" s="2897"/>
      <c r="M766" s="2897"/>
      <c r="N766" s="2914"/>
    </row>
    <row r="767" spans="1:18" ht="12" customHeight="1" x14ac:dyDescent="0.2">
      <c r="A767" s="6109"/>
      <c r="B767" s="6111"/>
      <c r="C767" s="2917" t="s">
        <v>3508</v>
      </c>
      <c r="D767" s="2910" t="str">
        <f>PROPER(MID(C766,3,100))</f>
        <v>Sattyagraha</v>
      </c>
      <c r="E767" s="624">
        <v>1</v>
      </c>
      <c r="F767" s="624">
        <v>20</v>
      </c>
      <c r="G767" s="2913" t="s">
        <v>3509</v>
      </c>
      <c r="H767" s="2910" t="s">
        <v>3510</v>
      </c>
      <c r="I767" s="2910"/>
      <c r="J767" s="2910"/>
      <c r="K767" s="2913"/>
      <c r="L767" s="2897"/>
      <c r="M767" s="2897"/>
      <c r="N767" s="2914"/>
    </row>
    <row r="768" spans="1:18" ht="12" customHeight="1" x14ac:dyDescent="0.2">
      <c r="A768" s="6109"/>
      <c r="B768" s="6111"/>
      <c r="C768" s="2917" t="s">
        <v>3511</v>
      </c>
      <c r="D768" s="2910" t="str">
        <f>D767</f>
        <v>Sattyagraha</v>
      </c>
      <c r="E768" s="624">
        <v>1</v>
      </c>
      <c r="F768" s="624">
        <v>35</v>
      </c>
      <c r="G768" s="2913" t="s">
        <v>3512</v>
      </c>
      <c r="H768" s="2910" t="s">
        <v>3513</v>
      </c>
      <c r="I768" s="2910"/>
      <c r="J768" s="2910"/>
      <c r="K768" s="2913"/>
      <c r="L768" s="2897"/>
      <c r="M768" s="2897"/>
      <c r="N768" s="2914"/>
    </row>
    <row r="769" spans="1:14" ht="12" customHeight="1" x14ac:dyDescent="0.2">
      <c r="A769" s="6109"/>
      <c r="B769" s="6111"/>
      <c r="C769" s="2917" t="s">
        <v>3514</v>
      </c>
      <c r="D769" s="2910" t="str">
        <f>D768</f>
        <v>Sattyagraha</v>
      </c>
      <c r="E769" s="624">
        <v>1</v>
      </c>
      <c r="F769" s="624">
        <v>45</v>
      </c>
      <c r="G769" s="2913" t="s">
        <v>3509</v>
      </c>
      <c r="H769" s="2910" t="s">
        <v>3515</v>
      </c>
      <c r="I769" s="2910"/>
      <c r="J769" s="2910"/>
      <c r="K769" s="2913"/>
      <c r="L769" s="2897"/>
      <c r="M769" s="2897"/>
      <c r="N769" s="2914"/>
    </row>
    <row r="770" spans="1:14" ht="12" customHeight="1" x14ac:dyDescent="0.2">
      <c r="A770" s="6109"/>
      <c r="B770" s="6111"/>
      <c r="C770" s="2917" t="s">
        <v>3516</v>
      </c>
      <c r="D770" s="2910" t="str">
        <f>D769</f>
        <v>Sattyagraha</v>
      </c>
      <c r="E770" s="624">
        <v>2</v>
      </c>
      <c r="F770" s="624">
        <v>55</v>
      </c>
      <c r="G770" s="2913" t="s">
        <v>3517</v>
      </c>
      <c r="H770" s="2910" t="s">
        <v>3518</v>
      </c>
      <c r="I770" s="2910"/>
      <c r="J770" s="2910"/>
      <c r="K770" s="2913" t="s">
        <v>3460</v>
      </c>
      <c r="L770" s="2897"/>
      <c r="M770" s="2897"/>
      <c r="N770" s="2914"/>
    </row>
    <row r="771" spans="1:14" ht="12" customHeight="1" x14ac:dyDescent="0.2">
      <c r="A771" s="6109"/>
      <c r="B771" s="6111"/>
      <c r="C771" s="2917" t="s">
        <v>3519</v>
      </c>
      <c r="D771" s="2910" t="str">
        <f>D770</f>
        <v>Sattyagraha</v>
      </c>
      <c r="E771" s="624">
        <v>2</v>
      </c>
      <c r="F771" s="624">
        <v>90</v>
      </c>
      <c r="G771" s="2913" t="s">
        <v>3520</v>
      </c>
      <c r="H771" s="2910" t="s">
        <v>3521</v>
      </c>
      <c r="I771" s="2910"/>
      <c r="J771" s="2910"/>
      <c r="K771" s="2913"/>
      <c r="L771" s="2897"/>
      <c r="M771" s="2897"/>
      <c r="N771" s="2914"/>
    </row>
    <row r="772" spans="1:14" ht="12" customHeight="1" x14ac:dyDescent="0.2">
      <c r="A772" s="6109"/>
      <c r="B772" s="6111"/>
      <c r="C772" s="2917" t="s">
        <v>3522</v>
      </c>
      <c r="D772" s="2910" t="str">
        <f t="shared" ref="D772" si="3">D771</f>
        <v>Sattyagraha</v>
      </c>
      <c r="E772" s="624">
        <v>3</v>
      </c>
      <c r="F772" s="624">
        <v>95</v>
      </c>
      <c r="G772" s="2913" t="s">
        <v>3523</v>
      </c>
      <c r="H772" s="2910" t="s">
        <v>3524</v>
      </c>
      <c r="I772" s="2910"/>
      <c r="J772" s="2910"/>
      <c r="K772" s="2913"/>
      <c r="L772" s="2897"/>
      <c r="M772" s="2897"/>
      <c r="N772" s="2914"/>
    </row>
    <row r="773" spans="1:14" ht="12" customHeight="1" x14ac:dyDescent="0.2">
      <c r="A773" s="6109"/>
      <c r="B773" s="6111"/>
      <c r="C773" s="2917" t="s">
        <v>3525</v>
      </c>
      <c r="D773" s="2910"/>
      <c r="E773" s="6228"/>
      <c r="F773" s="624"/>
      <c r="G773" s="2913"/>
      <c r="H773" s="2910"/>
      <c r="I773" s="2910"/>
      <c r="J773" s="2910"/>
      <c r="K773" s="2913"/>
      <c r="L773" s="2897"/>
      <c r="M773" s="2897"/>
      <c r="N773" s="2914"/>
    </row>
    <row r="774" spans="1:14" ht="12" customHeight="1" x14ac:dyDescent="0.2">
      <c r="A774" s="6109"/>
      <c r="B774" s="6111"/>
      <c r="C774" s="2917" t="s">
        <v>3526</v>
      </c>
      <c r="D774" s="2910" t="str">
        <f>PROPER(MID(C773,3,100))</f>
        <v>A’Arab Zaraq</v>
      </c>
      <c r="E774" s="624">
        <v>1</v>
      </c>
      <c r="F774" s="624">
        <v>30</v>
      </c>
      <c r="G774" s="2913" t="s">
        <v>3527</v>
      </c>
      <c r="H774" s="2910" t="s">
        <v>3528</v>
      </c>
      <c r="I774" s="2910"/>
      <c r="J774" s="2910"/>
      <c r="K774" s="2913" t="s">
        <v>3529</v>
      </c>
      <c r="L774" s="2897"/>
      <c r="M774" s="2897"/>
      <c r="N774" s="2914"/>
    </row>
    <row r="775" spans="1:14" ht="12" customHeight="1" x14ac:dyDescent="0.2">
      <c r="A775" s="6109"/>
      <c r="B775" s="6111"/>
      <c r="C775" s="2917" t="s">
        <v>3530</v>
      </c>
      <c r="D775" s="2910" t="str">
        <f>D774</f>
        <v>A’Arab Zaraq</v>
      </c>
      <c r="E775" s="624">
        <v>1</v>
      </c>
      <c r="F775" s="624">
        <v>25</v>
      </c>
      <c r="G775" s="2913" t="s">
        <v>3531</v>
      </c>
      <c r="H775" s="2910" t="s">
        <v>3532</v>
      </c>
      <c r="I775" s="2910"/>
      <c r="J775" s="2910"/>
      <c r="K775" s="2913"/>
      <c r="L775" s="2897"/>
      <c r="M775" s="2897"/>
      <c r="N775" s="2914"/>
    </row>
    <row r="776" spans="1:14" ht="12" customHeight="1" x14ac:dyDescent="0.2">
      <c r="A776" s="6109"/>
      <c r="B776" s="6111"/>
      <c r="C776" s="2917" t="s">
        <v>3533</v>
      </c>
      <c r="D776" s="2910" t="str">
        <f>D775</f>
        <v>A’Arab Zaraq</v>
      </c>
      <c r="E776" s="624">
        <v>1</v>
      </c>
      <c r="F776" s="624">
        <v>35</v>
      </c>
      <c r="G776" s="2913" t="s">
        <v>3534</v>
      </c>
      <c r="H776" s="2910" t="s">
        <v>3535</v>
      </c>
      <c r="I776" s="2910"/>
      <c r="J776" s="2910"/>
      <c r="K776" s="2913" t="s">
        <v>3536</v>
      </c>
      <c r="L776" s="2897"/>
      <c r="M776" s="2897"/>
      <c r="N776" s="2914"/>
    </row>
    <row r="777" spans="1:14" ht="12" customHeight="1" x14ac:dyDescent="0.2">
      <c r="A777" s="6109"/>
      <c r="B777" s="6111"/>
      <c r="C777" s="2917" t="s">
        <v>3537</v>
      </c>
      <c r="D777" s="2910" t="str">
        <f>D776</f>
        <v>A’Arab Zaraq</v>
      </c>
      <c r="E777" s="624">
        <v>2</v>
      </c>
      <c r="F777" s="624">
        <v>45</v>
      </c>
      <c r="G777" s="2913" t="s">
        <v>3538</v>
      </c>
      <c r="H777" s="2910" t="s">
        <v>3539</v>
      </c>
      <c r="I777" s="2910"/>
      <c r="J777" s="2910"/>
      <c r="K777" s="2913" t="s">
        <v>3540</v>
      </c>
      <c r="L777" s="2897"/>
      <c r="M777" s="2897"/>
      <c r="N777" s="2914"/>
    </row>
    <row r="778" spans="1:14" ht="12" customHeight="1" x14ac:dyDescent="0.2">
      <c r="A778" s="6109"/>
      <c r="B778" s="6111"/>
      <c r="C778" s="2917" t="s">
        <v>3541</v>
      </c>
      <c r="D778" s="2910" t="str">
        <f>D777</f>
        <v>A’Arab Zaraq</v>
      </c>
      <c r="E778" s="624">
        <v>2</v>
      </c>
      <c r="F778" s="624">
        <v>75</v>
      </c>
      <c r="G778" s="2913" t="s">
        <v>3542</v>
      </c>
      <c r="H778" s="2910" t="s">
        <v>3543</v>
      </c>
      <c r="I778" s="2910"/>
      <c r="J778" s="2910"/>
      <c r="K778" s="2913"/>
      <c r="L778" s="2897"/>
      <c r="M778" s="2897"/>
      <c r="N778" s="2914"/>
    </row>
    <row r="779" spans="1:14" ht="12" customHeight="1" x14ac:dyDescent="0.2">
      <c r="A779" s="6109"/>
      <c r="B779" s="6111"/>
      <c r="C779" s="2917" t="s">
        <v>3544</v>
      </c>
      <c r="D779" s="2910" t="str">
        <f t="shared" ref="D779" si="4">D778</f>
        <v>A’Arab Zaraq</v>
      </c>
      <c r="E779" s="624">
        <v>3</v>
      </c>
      <c r="F779" s="624">
        <v>95</v>
      </c>
      <c r="G779" s="2913" t="s">
        <v>3545</v>
      </c>
      <c r="H779" s="2910" t="s">
        <v>3546</v>
      </c>
      <c r="I779" s="2910"/>
      <c r="J779" s="2910"/>
      <c r="K779" s="2913" t="s">
        <v>3357</v>
      </c>
      <c r="L779" s="2897"/>
      <c r="M779" s="2897"/>
      <c r="N779" s="2914"/>
    </row>
    <row r="780" spans="1:14" ht="12" customHeight="1" x14ac:dyDescent="0.2">
      <c r="A780" s="6109"/>
      <c r="B780" s="6111"/>
      <c r="C780" s="2917" t="s">
        <v>3547</v>
      </c>
      <c r="D780" s="2910"/>
      <c r="E780" s="6228"/>
      <c r="F780" s="624"/>
      <c r="G780" s="2913"/>
      <c r="H780" s="2910"/>
      <c r="I780" s="2910"/>
      <c r="J780" s="2910"/>
      <c r="K780" s="2913"/>
      <c r="L780" s="2897"/>
      <c r="M780" s="2897"/>
      <c r="N780" s="2914"/>
    </row>
    <row r="781" spans="1:14" ht="12" customHeight="1" x14ac:dyDescent="0.2">
      <c r="A781" s="6109"/>
      <c r="B781" s="6111"/>
      <c r="C781" s="2917" t="s">
        <v>3548</v>
      </c>
      <c r="D781" s="2910" t="str">
        <f>PROPER(MID(C780,3,100))</f>
        <v>Wushu</v>
      </c>
      <c r="E781" s="624">
        <v>1</v>
      </c>
      <c r="F781" s="624">
        <v>20</v>
      </c>
      <c r="G781" s="2913" t="s">
        <v>3549</v>
      </c>
      <c r="H781" s="2910" t="s">
        <v>3550</v>
      </c>
      <c r="I781" s="2910"/>
      <c r="J781" s="2910"/>
      <c r="K781" s="2913"/>
      <c r="L781" s="2897"/>
      <c r="M781" s="2897"/>
      <c r="N781" s="2914"/>
    </row>
    <row r="782" spans="1:14" ht="12" customHeight="1" x14ac:dyDescent="0.2">
      <c r="A782" s="6109"/>
      <c r="B782" s="6111"/>
      <c r="C782" s="2917" t="s">
        <v>3551</v>
      </c>
      <c r="D782" s="2910" t="str">
        <f>D781</f>
        <v>Wushu</v>
      </c>
      <c r="E782" s="624">
        <v>1</v>
      </c>
      <c r="F782" s="624">
        <v>20</v>
      </c>
      <c r="G782" s="2913" t="s">
        <v>3552</v>
      </c>
      <c r="H782" s="2910" t="s">
        <v>3553</v>
      </c>
      <c r="I782" s="2910"/>
      <c r="J782" s="2910"/>
      <c r="K782" s="2913"/>
      <c r="L782" s="2897"/>
      <c r="M782" s="2897"/>
      <c r="N782" s="2914"/>
    </row>
    <row r="783" spans="1:14" ht="12" customHeight="1" x14ac:dyDescent="0.2">
      <c r="A783" s="6109"/>
      <c r="B783" s="6111"/>
      <c r="C783" s="2917" t="s">
        <v>3554</v>
      </c>
      <c r="D783" s="2910" t="str">
        <f>D782</f>
        <v>Wushu</v>
      </c>
      <c r="E783" s="624">
        <v>1</v>
      </c>
      <c r="F783" s="624">
        <v>25</v>
      </c>
      <c r="G783" s="2913" t="s">
        <v>3555</v>
      </c>
      <c r="H783" s="2910" t="s">
        <v>3556</v>
      </c>
      <c r="I783" s="2910"/>
      <c r="J783" s="2910"/>
      <c r="K783" s="2913"/>
      <c r="L783" s="2897"/>
      <c r="M783" s="2897"/>
      <c r="N783" s="2914"/>
    </row>
    <row r="784" spans="1:14" ht="12" customHeight="1" x14ac:dyDescent="0.2">
      <c r="A784" s="6109"/>
      <c r="B784" s="6111"/>
      <c r="C784" s="2917" t="s">
        <v>3557</v>
      </c>
      <c r="D784" s="2910" t="str">
        <f>D783</f>
        <v>Wushu</v>
      </c>
      <c r="E784" s="624">
        <v>1</v>
      </c>
      <c r="F784" s="624">
        <v>30</v>
      </c>
      <c r="G784" s="2913" t="s">
        <v>3558</v>
      </c>
      <c r="H784" s="2910" t="s">
        <v>3559</v>
      </c>
      <c r="I784" s="2910"/>
      <c r="J784" s="2910"/>
      <c r="K784" s="2913" t="s">
        <v>3357</v>
      </c>
      <c r="L784" s="2897"/>
      <c r="M784" s="2897"/>
      <c r="N784" s="2914"/>
    </row>
    <row r="785" spans="1:14" ht="12" customHeight="1" x14ac:dyDescent="0.2">
      <c r="A785" s="6109"/>
      <c r="B785" s="6111"/>
      <c r="C785" s="2917" t="s">
        <v>3560</v>
      </c>
      <c r="D785" s="2910" t="str">
        <f>D784</f>
        <v>Wushu</v>
      </c>
      <c r="E785" s="624">
        <v>1</v>
      </c>
      <c r="F785" s="624">
        <v>30</v>
      </c>
      <c r="G785" s="2913" t="s">
        <v>3552</v>
      </c>
      <c r="H785" s="2910" t="s">
        <v>3561</v>
      </c>
      <c r="I785" s="2910"/>
      <c r="J785" s="2910"/>
      <c r="K785" s="2913" t="s">
        <v>3460</v>
      </c>
      <c r="L785" s="2897"/>
      <c r="M785" s="2897"/>
      <c r="N785" s="2914"/>
    </row>
    <row r="786" spans="1:14" ht="12" customHeight="1" x14ac:dyDescent="0.2">
      <c r="A786" s="6109"/>
      <c r="B786" s="6111"/>
      <c r="C786" s="2917" t="s">
        <v>3562</v>
      </c>
      <c r="D786" s="2910"/>
      <c r="E786" s="624">
        <v>1</v>
      </c>
      <c r="F786" s="624">
        <v>30</v>
      </c>
      <c r="G786" s="2913" t="s">
        <v>3563</v>
      </c>
      <c r="H786" s="2910" t="s">
        <v>3564</v>
      </c>
      <c r="I786" s="2910"/>
      <c r="J786" s="2910"/>
      <c r="K786" s="2913"/>
      <c r="L786" s="2897"/>
      <c r="M786" s="2897"/>
      <c r="N786" s="2914"/>
    </row>
    <row r="787" spans="1:14" ht="12" customHeight="1" x14ac:dyDescent="0.2">
      <c r="A787" s="6109"/>
      <c r="B787" s="6111"/>
      <c r="C787" s="2917" t="s">
        <v>3565</v>
      </c>
      <c r="D787" s="2910"/>
      <c r="E787" s="624">
        <v>2</v>
      </c>
      <c r="F787" s="624">
        <v>50</v>
      </c>
      <c r="G787" s="2913" t="s">
        <v>3566</v>
      </c>
      <c r="H787" s="2910" t="s">
        <v>3567</v>
      </c>
      <c r="I787" s="2910"/>
      <c r="J787" s="2910"/>
      <c r="K787" s="2913"/>
      <c r="L787" s="2897"/>
      <c r="M787" s="2897"/>
      <c r="N787" s="2914"/>
    </row>
    <row r="788" spans="1:14" ht="12" customHeight="1" x14ac:dyDescent="0.2">
      <c r="A788" s="6109"/>
      <c r="B788" s="6111"/>
      <c r="C788" s="2917" t="s">
        <v>3568</v>
      </c>
      <c r="D788" s="2910"/>
      <c r="E788" s="624">
        <v>2</v>
      </c>
      <c r="F788" s="624">
        <v>70</v>
      </c>
      <c r="G788" s="2913" t="s">
        <v>3569</v>
      </c>
      <c r="H788" s="2910" t="s">
        <v>3570</v>
      </c>
      <c r="I788" s="2910"/>
      <c r="J788" s="2910"/>
      <c r="K788" s="2913"/>
      <c r="L788" s="2897"/>
      <c r="M788" s="2897"/>
      <c r="N788" s="2914"/>
    </row>
    <row r="789" spans="1:14" ht="12" customHeight="1" x14ac:dyDescent="0.2">
      <c r="A789" s="6109"/>
      <c r="B789" s="6111"/>
      <c r="C789" s="2917" t="s">
        <v>3571</v>
      </c>
      <c r="D789" s="2910"/>
      <c r="E789" s="624">
        <v>2</v>
      </c>
      <c r="F789" s="624">
        <v>85</v>
      </c>
      <c r="G789" s="2913" t="s">
        <v>3572</v>
      </c>
      <c r="H789" s="2910" t="s">
        <v>3573</v>
      </c>
      <c r="I789" s="2910"/>
      <c r="J789" s="2910"/>
      <c r="K789" s="2913"/>
      <c r="L789" s="2897"/>
      <c r="M789" s="2897"/>
      <c r="N789" s="2914"/>
    </row>
    <row r="790" spans="1:14" ht="12" customHeight="1" x14ac:dyDescent="0.2">
      <c r="A790" s="6109"/>
      <c r="B790" s="6111"/>
      <c r="C790" s="2917" t="s">
        <v>3574</v>
      </c>
      <c r="D790" s="2910"/>
      <c r="E790" s="6228"/>
      <c r="F790" s="624"/>
      <c r="G790" s="2913"/>
      <c r="H790" s="2910"/>
      <c r="I790" s="2910"/>
      <c r="J790" s="2910"/>
      <c r="K790" s="2913"/>
      <c r="L790" s="2897"/>
      <c r="M790" s="2897"/>
      <c r="N790" s="2914"/>
    </row>
    <row r="791" spans="1:14" ht="12" customHeight="1" x14ac:dyDescent="0.2">
      <c r="A791" s="6109"/>
      <c r="B791" s="6111"/>
      <c r="C791" s="2917" t="s">
        <v>3575</v>
      </c>
      <c r="D791" s="2910" t="str">
        <f>PROPER(MID(C790,3,100))</f>
        <v>La Vía De Meizo</v>
      </c>
      <c r="E791" s="624">
        <v>1</v>
      </c>
      <c r="F791" s="624">
        <v>30</v>
      </c>
      <c r="G791" s="2913" t="s">
        <v>3576</v>
      </c>
      <c r="H791" s="2910" t="s">
        <v>3577</v>
      </c>
      <c r="I791" s="2910"/>
      <c r="J791" s="2910"/>
      <c r="K791" s="2913" t="s">
        <v>3578</v>
      </c>
      <c r="L791" s="2897"/>
      <c r="M791" s="2897"/>
      <c r="N791" s="2914"/>
    </row>
    <row r="792" spans="1:14" ht="12" customHeight="1" x14ac:dyDescent="0.2">
      <c r="A792" s="6109"/>
      <c r="B792" s="6111"/>
      <c r="C792" s="2917" t="s">
        <v>3579</v>
      </c>
      <c r="D792" s="2910" t="str">
        <f>D791</f>
        <v>La Vía De Meizo</v>
      </c>
      <c r="E792" s="624">
        <v>1</v>
      </c>
      <c r="F792" s="624">
        <v>20</v>
      </c>
      <c r="G792" s="2913" t="s">
        <v>3580</v>
      </c>
      <c r="H792" s="2910" t="s">
        <v>3581</v>
      </c>
      <c r="I792" s="2910"/>
      <c r="J792" s="2910"/>
      <c r="K792" s="2913"/>
      <c r="L792" s="2897"/>
      <c r="M792" s="2897"/>
      <c r="N792" s="2914"/>
    </row>
    <row r="793" spans="1:14" ht="12" customHeight="1" x14ac:dyDescent="0.2">
      <c r="A793" s="6109"/>
      <c r="B793" s="6111"/>
      <c r="C793" s="2917" t="s">
        <v>3582</v>
      </c>
      <c r="D793" s="2910" t="str">
        <f>D792</f>
        <v>La Vía De Meizo</v>
      </c>
      <c r="E793" s="624">
        <v>1</v>
      </c>
      <c r="F793" s="624">
        <v>20</v>
      </c>
      <c r="G793" s="2913" t="s">
        <v>3583</v>
      </c>
      <c r="H793" s="2910" t="s">
        <v>3584</v>
      </c>
      <c r="I793" s="2910"/>
      <c r="J793" s="2910"/>
      <c r="K793" s="2913"/>
      <c r="L793" s="2897"/>
      <c r="M793" s="2897"/>
      <c r="N793" s="2914"/>
    </row>
    <row r="794" spans="1:14" ht="12" customHeight="1" x14ac:dyDescent="0.2">
      <c r="A794" s="6109"/>
      <c r="B794" s="6111"/>
      <c r="C794" s="2917" t="s">
        <v>3585</v>
      </c>
      <c r="D794" s="2910" t="str">
        <f>D793</f>
        <v>La Vía De Meizo</v>
      </c>
      <c r="E794" s="624">
        <v>2</v>
      </c>
      <c r="F794" s="6228">
        <v>50</v>
      </c>
      <c r="G794" s="2918" t="s">
        <v>3520</v>
      </c>
      <c r="H794" s="2918" t="s">
        <v>3586</v>
      </c>
      <c r="I794" s="2918"/>
      <c r="J794" s="2918"/>
      <c r="K794" s="2918"/>
      <c r="L794" s="2897"/>
      <c r="M794" s="2897"/>
      <c r="N794" s="2914"/>
    </row>
    <row r="795" spans="1:14" ht="12" customHeight="1" x14ac:dyDescent="0.2">
      <c r="A795" s="6109"/>
      <c r="B795" s="6111"/>
      <c r="C795" s="2917" t="s">
        <v>3587</v>
      </c>
      <c r="D795" s="2910" t="str">
        <f>D794</f>
        <v>La Vía De Meizo</v>
      </c>
      <c r="E795" s="624">
        <v>2</v>
      </c>
      <c r="F795" s="6228">
        <v>70</v>
      </c>
      <c r="G795" s="2918" t="s">
        <v>3588</v>
      </c>
      <c r="H795" s="2918" t="s">
        <v>3589</v>
      </c>
      <c r="I795" s="2918"/>
      <c r="J795" s="2918"/>
      <c r="K795" s="2918" t="s">
        <v>3590</v>
      </c>
      <c r="L795" s="2897"/>
      <c r="M795" s="2897"/>
      <c r="N795" s="2914"/>
    </row>
    <row r="796" spans="1:14" ht="12" customHeight="1" x14ac:dyDescent="0.2">
      <c r="A796" s="6109"/>
      <c r="B796" s="6111"/>
      <c r="C796" s="2917" t="s">
        <v>3591</v>
      </c>
      <c r="D796" s="2910"/>
      <c r="E796" s="624">
        <v>3</v>
      </c>
      <c r="F796" s="624">
        <v>75</v>
      </c>
      <c r="G796" s="2913" t="s">
        <v>3592</v>
      </c>
      <c r="H796" s="2910" t="s">
        <v>3593</v>
      </c>
      <c r="I796" s="2910"/>
      <c r="J796" s="2910"/>
      <c r="K796" s="2913" t="s">
        <v>3594</v>
      </c>
      <c r="L796" s="2897"/>
      <c r="M796" s="2897"/>
      <c r="N796" s="2914"/>
    </row>
    <row r="797" spans="1:14" ht="12" customHeight="1" x14ac:dyDescent="0.2">
      <c r="A797" s="6109"/>
      <c r="B797" s="6111"/>
      <c r="C797" s="2917" t="s">
        <v>3595</v>
      </c>
      <c r="D797" s="2910"/>
      <c r="E797" s="6228"/>
      <c r="F797" s="624"/>
      <c r="G797" s="2913"/>
      <c r="H797" s="2910"/>
      <c r="I797" s="2910"/>
      <c r="J797" s="2910"/>
      <c r="K797" s="2913"/>
      <c r="L797" s="2897"/>
      <c r="M797" s="2897"/>
      <c r="N797" s="2914"/>
    </row>
    <row r="798" spans="1:14" ht="12" customHeight="1" x14ac:dyDescent="0.2">
      <c r="A798" s="6109"/>
      <c r="B798" s="6111"/>
      <c r="C798" s="2917" t="s">
        <v>3596</v>
      </c>
      <c r="D798" s="2910" t="str">
        <f>PROPER(MID(C797,3,100))</f>
        <v>Maestro De Catástrofes</v>
      </c>
      <c r="E798" s="624">
        <v>1</v>
      </c>
      <c r="F798" s="624">
        <v>25</v>
      </c>
      <c r="G798" s="2913" t="s">
        <v>3597</v>
      </c>
      <c r="H798" s="2910" t="s">
        <v>3598</v>
      </c>
      <c r="I798" s="2910"/>
      <c r="J798" s="2910"/>
      <c r="K798" s="2913" t="s">
        <v>3599</v>
      </c>
      <c r="L798" s="2897"/>
      <c r="M798" s="2897"/>
      <c r="N798" s="2914"/>
    </row>
    <row r="799" spans="1:14" ht="12" customHeight="1" x14ac:dyDescent="0.2">
      <c r="A799" s="6109"/>
      <c r="B799" s="6111"/>
      <c r="C799" s="2917" t="s">
        <v>3600</v>
      </c>
      <c r="D799" s="2910" t="str">
        <f>D798</f>
        <v>Maestro De Catástrofes</v>
      </c>
      <c r="E799" s="624">
        <v>1</v>
      </c>
      <c r="F799" s="624">
        <v>45</v>
      </c>
      <c r="G799" s="2913" t="s">
        <v>3601</v>
      </c>
      <c r="H799" s="2910" t="s">
        <v>3602</v>
      </c>
      <c r="I799" s="2910"/>
      <c r="J799" s="2910"/>
      <c r="K799" s="2913" t="s">
        <v>3603</v>
      </c>
      <c r="L799" s="2897"/>
      <c r="M799" s="2897"/>
      <c r="N799" s="2914"/>
    </row>
    <row r="800" spans="1:14" ht="12" customHeight="1" x14ac:dyDescent="0.2">
      <c r="A800" s="6109"/>
      <c r="B800" s="6111"/>
      <c r="C800" s="2917" t="s">
        <v>3604</v>
      </c>
      <c r="D800" s="2910" t="str">
        <f>D799</f>
        <v>Maestro De Catástrofes</v>
      </c>
      <c r="E800" s="624">
        <v>2</v>
      </c>
      <c r="F800" s="624">
        <v>65</v>
      </c>
      <c r="G800" s="2913" t="s">
        <v>3605</v>
      </c>
      <c r="H800" s="2910" t="s">
        <v>3606</v>
      </c>
      <c r="I800" s="2910"/>
      <c r="J800" s="2910"/>
      <c r="K800" s="2913" t="s">
        <v>3607</v>
      </c>
      <c r="L800" s="2897"/>
      <c r="M800" s="2897"/>
      <c r="N800" s="2914"/>
    </row>
    <row r="801" spans="1:14" ht="12" customHeight="1" x14ac:dyDescent="0.2">
      <c r="A801" s="6109"/>
      <c r="B801" s="6111"/>
      <c r="C801" s="2917" t="s">
        <v>3608</v>
      </c>
      <c r="D801" s="2910" t="str">
        <f>D800</f>
        <v>Maestro De Catástrofes</v>
      </c>
      <c r="E801" s="624">
        <v>2</v>
      </c>
      <c r="F801" s="624">
        <v>75</v>
      </c>
      <c r="G801" s="2913" t="s">
        <v>3609</v>
      </c>
      <c r="H801" s="2910" t="s">
        <v>3610</v>
      </c>
      <c r="I801" s="2910"/>
      <c r="J801" s="2910"/>
      <c r="K801" s="2913" t="s">
        <v>3611</v>
      </c>
      <c r="L801" s="2897"/>
      <c r="M801" s="2897"/>
      <c r="N801" s="2914"/>
    </row>
    <row r="802" spans="1:14" ht="12" customHeight="1" x14ac:dyDescent="0.2">
      <c r="A802" s="6109"/>
      <c r="B802" s="6111"/>
      <c r="C802" s="2917" t="s">
        <v>3612</v>
      </c>
      <c r="D802" s="2910" t="str">
        <f>D801</f>
        <v>Maestro De Catástrofes</v>
      </c>
      <c r="E802" s="624">
        <v>3</v>
      </c>
      <c r="F802" s="624">
        <v>110</v>
      </c>
      <c r="G802" s="2913" t="s">
        <v>3613</v>
      </c>
      <c r="H802" s="2913" t="s">
        <v>3614</v>
      </c>
      <c r="I802" s="2913"/>
      <c r="J802" s="2913"/>
      <c r="K802" s="2913" t="s">
        <v>3615</v>
      </c>
      <c r="L802" s="2897"/>
      <c r="M802" s="2897"/>
      <c r="N802" s="2914"/>
    </row>
    <row r="803" spans="1:14" ht="12" customHeight="1" x14ac:dyDescent="0.2">
      <c r="A803" s="6109"/>
      <c r="B803" s="6111"/>
      <c r="C803" s="2917" t="s">
        <v>3616</v>
      </c>
      <c r="D803" s="2910" t="str">
        <f t="shared" ref="D803" si="5">D802</f>
        <v>Maestro De Catástrofes</v>
      </c>
      <c r="E803" s="624">
        <v>3</v>
      </c>
      <c r="F803" s="624">
        <v>110</v>
      </c>
      <c r="G803" s="2913" t="s">
        <v>3617</v>
      </c>
      <c r="H803" s="2910" t="s">
        <v>3618</v>
      </c>
      <c r="I803" s="2910"/>
      <c r="J803" s="2910"/>
      <c r="K803" s="2913" t="s">
        <v>3619</v>
      </c>
      <c r="L803" s="2897"/>
      <c r="M803" s="2897"/>
      <c r="N803" s="2914"/>
    </row>
    <row r="804" spans="1:14" ht="12" customHeight="1" x14ac:dyDescent="0.2">
      <c r="A804" s="6109"/>
      <c r="B804" s="6111"/>
      <c r="C804" s="2917" t="s">
        <v>3620</v>
      </c>
      <c r="D804" s="2910"/>
      <c r="E804" s="6228"/>
      <c r="F804" s="624"/>
      <c r="G804" s="2913"/>
      <c r="H804" s="2910"/>
      <c r="I804" s="2910"/>
      <c r="J804" s="2910"/>
      <c r="K804" s="2913"/>
      <c r="L804" s="2897"/>
      <c r="M804" s="2897"/>
      <c r="N804" s="2914"/>
    </row>
    <row r="805" spans="1:14" ht="12" customHeight="1" x14ac:dyDescent="0.2">
      <c r="A805" s="6109"/>
      <c r="B805" s="6111"/>
      <c r="C805" s="2917" t="s">
        <v>3621</v>
      </c>
      <c r="D805" s="2910" t="str">
        <f>PROPER(MID(C804,3,100))</f>
        <v>Thanathos</v>
      </c>
      <c r="E805" s="624">
        <v>1</v>
      </c>
      <c r="F805" s="624">
        <v>20</v>
      </c>
      <c r="G805" s="2913" t="s">
        <v>3622</v>
      </c>
      <c r="H805" s="2910" t="s">
        <v>3623</v>
      </c>
      <c r="I805" s="2910"/>
      <c r="J805" s="2910"/>
      <c r="K805" s="2913" t="s">
        <v>3607</v>
      </c>
      <c r="L805" s="2897"/>
      <c r="M805" s="2897"/>
      <c r="N805" s="2914"/>
    </row>
    <row r="806" spans="1:14" ht="12" customHeight="1" x14ac:dyDescent="0.2">
      <c r="A806" s="6109"/>
      <c r="B806" s="6111"/>
      <c r="C806" s="2917" t="s">
        <v>3624</v>
      </c>
      <c r="D806" s="2910" t="str">
        <f t="shared" ref="D806:D810" si="6">D805</f>
        <v>Thanathos</v>
      </c>
      <c r="E806" s="624">
        <v>1</v>
      </c>
      <c r="F806" s="624">
        <v>25</v>
      </c>
      <c r="G806" s="2913" t="s">
        <v>3625</v>
      </c>
      <c r="H806" s="2910" t="s">
        <v>3626</v>
      </c>
      <c r="I806" s="2910"/>
      <c r="J806" s="2910"/>
      <c r="K806" s="2913" t="s">
        <v>3627</v>
      </c>
      <c r="L806" s="2897"/>
      <c r="M806" s="2897"/>
      <c r="N806" s="2914"/>
    </row>
    <row r="807" spans="1:14" ht="12" customHeight="1" x14ac:dyDescent="0.2">
      <c r="A807" s="6109"/>
      <c r="B807" s="6111"/>
      <c r="C807" s="2917" t="s">
        <v>3628</v>
      </c>
      <c r="D807" s="2910" t="str">
        <f t="shared" si="6"/>
        <v>Thanathos</v>
      </c>
      <c r="E807" s="624">
        <v>2</v>
      </c>
      <c r="F807" s="624">
        <v>65</v>
      </c>
      <c r="G807" s="2913" t="s">
        <v>3629</v>
      </c>
      <c r="H807" s="2910" t="s">
        <v>3630</v>
      </c>
      <c r="I807" s="2910"/>
      <c r="J807" s="2910"/>
      <c r="K807" s="2913" t="s">
        <v>3631</v>
      </c>
      <c r="L807" s="2897"/>
      <c r="M807" s="2897"/>
      <c r="N807" s="2914"/>
    </row>
    <row r="808" spans="1:14" ht="12" customHeight="1" x14ac:dyDescent="0.2">
      <c r="A808" s="6109"/>
      <c r="B808" s="6111"/>
      <c r="C808" s="2917" t="s">
        <v>3632</v>
      </c>
      <c r="D808" s="2910" t="str">
        <f t="shared" si="6"/>
        <v>Thanathos</v>
      </c>
      <c r="E808" s="624">
        <v>2</v>
      </c>
      <c r="F808" s="624">
        <v>50</v>
      </c>
      <c r="G808" s="2913" t="s">
        <v>3633</v>
      </c>
      <c r="H808" s="2910" t="s">
        <v>3634</v>
      </c>
      <c r="I808" s="2910"/>
      <c r="J808" s="2910"/>
      <c r="K808" s="2913" t="s">
        <v>3631</v>
      </c>
      <c r="L808" s="2897"/>
      <c r="M808" s="2897"/>
      <c r="N808" s="2914"/>
    </row>
    <row r="809" spans="1:14" ht="12" customHeight="1" x14ac:dyDescent="0.2">
      <c r="A809" s="6109"/>
      <c r="B809" s="6111"/>
      <c r="C809" s="2917" t="s">
        <v>3635</v>
      </c>
      <c r="D809" s="2910" t="str">
        <f t="shared" si="6"/>
        <v>Thanathos</v>
      </c>
      <c r="E809" s="624">
        <v>2</v>
      </c>
      <c r="F809" s="624">
        <v>60</v>
      </c>
      <c r="G809" s="2913" t="s">
        <v>3633</v>
      </c>
      <c r="H809" s="2910" t="s">
        <v>3636</v>
      </c>
      <c r="I809" s="2910"/>
      <c r="J809" s="2910"/>
      <c r="K809" s="2913" t="s">
        <v>3631</v>
      </c>
      <c r="L809" s="2897"/>
      <c r="M809" s="2897"/>
      <c r="N809" s="2914"/>
    </row>
    <row r="810" spans="1:14" ht="12" customHeight="1" x14ac:dyDescent="0.2">
      <c r="A810" s="6109"/>
      <c r="B810" s="6111"/>
      <c r="C810" s="2917" t="s">
        <v>3637</v>
      </c>
      <c r="D810" s="2910" t="str">
        <f t="shared" si="6"/>
        <v>Thanathos</v>
      </c>
      <c r="E810" s="624">
        <v>3</v>
      </c>
      <c r="F810" s="624">
        <v>90</v>
      </c>
      <c r="G810" s="2913" t="s">
        <v>3638</v>
      </c>
      <c r="H810" s="2910" t="s">
        <v>3639</v>
      </c>
      <c r="I810" s="2910"/>
      <c r="J810" s="2910"/>
      <c r="K810" s="2913" t="s">
        <v>3640</v>
      </c>
      <c r="L810" s="2897"/>
      <c r="M810" s="2897"/>
      <c r="N810" s="2914"/>
    </row>
    <row r="811" spans="1:14" ht="12" customHeight="1" x14ac:dyDescent="0.2">
      <c r="A811" s="6109"/>
      <c r="B811" s="6111"/>
      <c r="C811" s="2917" t="s">
        <v>3641</v>
      </c>
      <c r="D811" s="2910"/>
      <c r="E811" s="6228"/>
      <c r="F811" s="624"/>
      <c r="G811" s="2913"/>
      <c r="H811" s="2910"/>
      <c r="I811" s="2910"/>
      <c r="J811" s="2910"/>
      <c r="K811" s="2913"/>
      <c r="L811" s="2897"/>
      <c r="M811" s="2897"/>
      <c r="N811" s="2914"/>
    </row>
    <row r="812" spans="1:14" ht="12" customHeight="1" x14ac:dyDescent="0.2">
      <c r="A812" s="6109"/>
      <c r="B812" s="6111"/>
      <c r="C812" s="2917" t="s">
        <v>3642</v>
      </c>
      <c r="D812" s="2910" t="str">
        <f>PROPER(MID(C811,3,100))</f>
        <v>Legado De Sólomon</v>
      </c>
      <c r="E812" s="624">
        <v>1</v>
      </c>
      <c r="F812" s="624">
        <v>50</v>
      </c>
      <c r="G812" s="2913" t="s">
        <v>3643</v>
      </c>
      <c r="H812" s="2910" t="s">
        <v>3644</v>
      </c>
      <c r="I812" s="2910"/>
      <c r="J812" s="2910"/>
      <c r="K812" s="2913" t="s">
        <v>3645</v>
      </c>
      <c r="L812" s="2897"/>
      <c r="M812" s="2897"/>
      <c r="N812" s="2914"/>
    </row>
    <row r="813" spans="1:14" ht="12" customHeight="1" x14ac:dyDescent="0.2">
      <c r="A813" s="6109"/>
      <c r="B813" s="6111"/>
      <c r="C813" s="2917" t="s">
        <v>3646</v>
      </c>
      <c r="D813" s="2910" t="str">
        <f>D812</f>
        <v>Legado De Sólomon</v>
      </c>
      <c r="E813" s="624">
        <v>1</v>
      </c>
      <c r="F813" s="624">
        <v>25</v>
      </c>
      <c r="G813" s="2913" t="s">
        <v>3583</v>
      </c>
      <c r="H813" s="2910" t="s">
        <v>3647</v>
      </c>
      <c r="I813" s="2910"/>
      <c r="J813" s="2910"/>
      <c r="K813" s="2913" t="s">
        <v>3645</v>
      </c>
      <c r="L813" s="2897"/>
      <c r="M813" s="2897"/>
      <c r="N813" s="2914"/>
    </row>
    <row r="814" spans="1:14" ht="12" customHeight="1" x14ac:dyDescent="0.2">
      <c r="A814" s="6109"/>
      <c r="B814" s="6111"/>
      <c r="C814" s="2917" t="s">
        <v>3648</v>
      </c>
      <c r="D814" s="2910" t="str">
        <f>D813</f>
        <v>Legado De Sólomon</v>
      </c>
      <c r="E814" s="624">
        <v>1</v>
      </c>
      <c r="F814" s="624">
        <v>35</v>
      </c>
      <c r="G814" s="2913" t="s">
        <v>3588</v>
      </c>
      <c r="H814" s="2910" t="s">
        <v>3649</v>
      </c>
      <c r="I814" s="2910"/>
      <c r="J814" s="2910"/>
      <c r="K814" s="2913" t="s">
        <v>3645</v>
      </c>
      <c r="L814" s="2897"/>
      <c r="M814" s="2897"/>
      <c r="N814" s="2914"/>
    </row>
    <row r="815" spans="1:14" ht="12" customHeight="1" x14ac:dyDescent="0.2">
      <c r="A815" s="6109"/>
      <c r="B815" s="6111"/>
      <c r="C815" s="2917" t="s">
        <v>3650</v>
      </c>
      <c r="D815" s="2910" t="str">
        <f>D814</f>
        <v>Legado De Sólomon</v>
      </c>
      <c r="E815" s="624">
        <v>2</v>
      </c>
      <c r="F815" s="624">
        <v>65</v>
      </c>
      <c r="G815" s="2913" t="s">
        <v>3651</v>
      </c>
      <c r="H815" s="2910" t="s">
        <v>3652</v>
      </c>
      <c r="I815" s="2910"/>
      <c r="J815" s="2910"/>
      <c r="K815" s="2913" t="s">
        <v>3645</v>
      </c>
      <c r="L815" s="2897"/>
      <c r="M815" s="2897"/>
      <c r="N815" s="2914"/>
    </row>
    <row r="816" spans="1:14" ht="12" customHeight="1" x14ac:dyDescent="0.2">
      <c r="A816" s="6109"/>
      <c r="B816" s="6111"/>
      <c r="C816" s="2917" t="s">
        <v>3653</v>
      </c>
      <c r="D816" s="2910" t="str">
        <f>D815</f>
        <v>Legado De Sólomon</v>
      </c>
      <c r="E816" s="624">
        <v>2</v>
      </c>
      <c r="F816" s="624">
        <v>60</v>
      </c>
      <c r="G816" s="2913" t="s">
        <v>3654</v>
      </c>
      <c r="H816" s="2910" t="s">
        <v>3655</v>
      </c>
      <c r="I816" s="2910"/>
      <c r="J816" s="2910"/>
      <c r="K816" s="2913" t="s">
        <v>3645</v>
      </c>
      <c r="L816" s="2897"/>
      <c r="M816" s="2897"/>
      <c r="N816" s="2914"/>
    </row>
    <row r="817" spans="1:14" ht="12" customHeight="1" x14ac:dyDescent="0.2">
      <c r="A817" s="6109"/>
      <c r="B817" s="6111"/>
      <c r="C817" s="2917" t="s">
        <v>3656</v>
      </c>
      <c r="D817" s="2910" t="str">
        <f t="shared" ref="D817:D820" si="7">D816</f>
        <v>Legado De Sólomon</v>
      </c>
      <c r="E817" s="624">
        <v>2</v>
      </c>
      <c r="F817" s="624">
        <v>100</v>
      </c>
      <c r="G817" s="2913" t="s">
        <v>3657</v>
      </c>
      <c r="H817" s="2910" t="s">
        <v>3658</v>
      </c>
      <c r="I817" s="2910"/>
      <c r="J817" s="2910"/>
      <c r="K817" s="2913" t="s">
        <v>3645</v>
      </c>
      <c r="L817" s="2897"/>
      <c r="M817" s="2897"/>
      <c r="N817" s="2914"/>
    </row>
    <row r="818" spans="1:14" ht="12" customHeight="1" x14ac:dyDescent="0.2">
      <c r="A818" s="6109"/>
      <c r="B818" s="6111"/>
      <c r="C818" s="2917" t="s">
        <v>3659</v>
      </c>
      <c r="D818" s="2910" t="str">
        <f t="shared" si="7"/>
        <v>Legado De Sólomon</v>
      </c>
      <c r="E818" s="624">
        <v>2</v>
      </c>
      <c r="F818" s="624">
        <v>65</v>
      </c>
      <c r="G818" s="2913" t="s">
        <v>3583</v>
      </c>
      <c r="H818" s="2910" t="s">
        <v>3660</v>
      </c>
      <c r="I818" s="2910"/>
      <c r="J818" s="2910"/>
      <c r="K818" s="2913" t="s">
        <v>3661</v>
      </c>
      <c r="L818" s="2897"/>
      <c r="M818" s="2897"/>
      <c r="N818" s="2914"/>
    </row>
    <row r="819" spans="1:14" ht="12" customHeight="1" x14ac:dyDescent="0.2">
      <c r="A819" s="6109"/>
      <c r="B819" s="6111"/>
      <c r="C819" s="2917" t="s">
        <v>3662</v>
      </c>
      <c r="D819" s="2910" t="str">
        <f t="shared" si="7"/>
        <v>Legado De Sólomon</v>
      </c>
      <c r="E819" s="624">
        <v>3</v>
      </c>
      <c r="F819" s="624">
        <v>95</v>
      </c>
      <c r="G819" s="2913" t="s">
        <v>3663</v>
      </c>
      <c r="H819" s="2910" t="s">
        <v>3664</v>
      </c>
      <c r="I819" s="2910"/>
      <c r="J819" s="2910"/>
      <c r="K819" s="2913" t="s">
        <v>3645</v>
      </c>
      <c r="L819" s="2897"/>
      <c r="M819" s="2897"/>
      <c r="N819" s="2914"/>
    </row>
    <row r="820" spans="1:14" ht="12" customHeight="1" x14ac:dyDescent="0.2">
      <c r="A820" s="6109"/>
      <c r="B820" s="6111"/>
      <c r="C820" s="2917" t="s">
        <v>3665</v>
      </c>
      <c r="D820" s="2910" t="str">
        <f t="shared" si="7"/>
        <v>Legado De Sólomon</v>
      </c>
      <c r="E820" s="624">
        <v>3</v>
      </c>
      <c r="F820" s="624">
        <v>80</v>
      </c>
      <c r="G820" s="2913" t="s">
        <v>3666</v>
      </c>
      <c r="H820" s="2910" t="s">
        <v>3667</v>
      </c>
      <c r="I820" s="2910"/>
      <c r="J820" s="2910"/>
      <c r="K820" s="2913" t="s">
        <v>3668</v>
      </c>
      <c r="L820" s="2897"/>
      <c r="M820" s="2897"/>
      <c r="N820" s="2914"/>
    </row>
    <row r="821" spans="1:14" ht="12" customHeight="1" x14ac:dyDescent="0.2">
      <c r="A821" s="6109"/>
      <c r="B821" s="6111"/>
      <c r="C821" s="2917" t="s">
        <v>3669</v>
      </c>
      <c r="D821" s="2910"/>
      <c r="E821" s="6228"/>
      <c r="F821" s="624"/>
      <c r="G821" s="2913"/>
      <c r="H821" s="2910"/>
      <c r="I821" s="2910"/>
      <c r="J821" s="2910"/>
      <c r="K821" s="2913"/>
      <c r="L821" s="2897"/>
      <c r="M821" s="2897"/>
      <c r="N821" s="2914"/>
    </row>
    <row r="822" spans="1:14" ht="12" customHeight="1" x14ac:dyDescent="0.2">
      <c r="A822" s="6109"/>
      <c r="B822" s="6111"/>
      <c r="C822" s="2917" t="s">
        <v>3670</v>
      </c>
      <c r="D822" s="2910" t="str">
        <f>PROPER(MID(C821,3,100))</f>
        <v>Frostkolier</v>
      </c>
      <c r="E822" s="624">
        <v>1</v>
      </c>
      <c r="F822" s="624">
        <v>35</v>
      </c>
      <c r="G822" s="2913" t="s">
        <v>3671</v>
      </c>
      <c r="H822" s="2910" t="s">
        <v>3672</v>
      </c>
      <c r="I822" s="2910"/>
      <c r="J822" s="2910"/>
      <c r="K822" s="2913"/>
      <c r="L822" s="2897"/>
      <c r="M822" s="2897"/>
      <c r="N822" s="2914"/>
    </row>
    <row r="823" spans="1:14" ht="12" customHeight="1" x14ac:dyDescent="0.2">
      <c r="A823" s="6109"/>
      <c r="B823" s="6111"/>
      <c r="C823" s="2917" t="s">
        <v>3673</v>
      </c>
      <c r="D823" s="2910" t="str">
        <f>D822</f>
        <v>Frostkolier</v>
      </c>
      <c r="E823" s="624">
        <v>1</v>
      </c>
      <c r="F823" s="624">
        <v>25</v>
      </c>
      <c r="G823" s="2913" t="s">
        <v>3674</v>
      </c>
      <c r="H823" s="2910" t="s">
        <v>3675</v>
      </c>
      <c r="I823" s="2910"/>
      <c r="J823" s="2910"/>
      <c r="K823" s="2913"/>
      <c r="L823" s="2897"/>
      <c r="M823" s="2897"/>
      <c r="N823" s="2914"/>
    </row>
    <row r="824" spans="1:14" ht="12" customHeight="1" x14ac:dyDescent="0.2">
      <c r="A824" s="6109"/>
      <c r="B824" s="6111"/>
      <c r="C824" s="2917" t="s">
        <v>3676</v>
      </c>
      <c r="D824" s="2910" t="str">
        <f>D823</f>
        <v>Frostkolier</v>
      </c>
      <c r="E824" s="624">
        <v>2</v>
      </c>
      <c r="F824" s="624">
        <v>45</v>
      </c>
      <c r="G824" s="2913" t="s">
        <v>3677</v>
      </c>
      <c r="H824" s="2910" t="s">
        <v>3678</v>
      </c>
      <c r="I824" s="2910"/>
      <c r="J824" s="2910"/>
      <c r="K824" s="2913"/>
      <c r="L824" s="2897"/>
      <c r="M824" s="2897"/>
      <c r="N824" s="2914"/>
    </row>
    <row r="825" spans="1:14" ht="12" customHeight="1" x14ac:dyDescent="0.2">
      <c r="A825" s="6109"/>
      <c r="B825" s="6111"/>
      <c r="C825" s="2917" t="s">
        <v>3679</v>
      </c>
      <c r="D825" s="2910" t="str">
        <f>D824</f>
        <v>Frostkolier</v>
      </c>
      <c r="E825" s="624">
        <v>2</v>
      </c>
      <c r="F825" s="624">
        <v>45</v>
      </c>
      <c r="G825" s="2913" t="s">
        <v>3680</v>
      </c>
      <c r="H825" s="2910" t="s">
        <v>3681</v>
      </c>
      <c r="I825" s="2910"/>
      <c r="J825" s="2910"/>
      <c r="K825" s="2913"/>
      <c r="L825" s="2897"/>
      <c r="M825" s="2897"/>
      <c r="N825" s="2914"/>
    </row>
    <row r="826" spans="1:14" ht="12" customHeight="1" x14ac:dyDescent="0.2">
      <c r="A826" s="6109"/>
      <c r="B826" s="6111"/>
      <c r="C826" s="2917" t="s">
        <v>3682</v>
      </c>
      <c r="D826" s="2910" t="str">
        <f>D825</f>
        <v>Frostkolier</v>
      </c>
      <c r="E826" s="624">
        <v>3</v>
      </c>
      <c r="F826" s="624">
        <v>75</v>
      </c>
      <c r="G826" s="2913" t="s">
        <v>3683</v>
      </c>
      <c r="H826" s="2910" t="s">
        <v>3684</v>
      </c>
      <c r="I826" s="2910"/>
      <c r="J826" s="2910"/>
      <c r="K826" s="2913"/>
      <c r="L826" s="2897"/>
      <c r="M826" s="2897"/>
      <c r="N826" s="2914"/>
    </row>
    <row r="827" spans="1:14" ht="12" customHeight="1" x14ac:dyDescent="0.2">
      <c r="A827" s="6109"/>
      <c r="B827" s="6111"/>
      <c r="C827" s="2917" t="s">
        <v>3685</v>
      </c>
      <c r="D827" s="2910"/>
      <c r="E827" s="6228"/>
      <c r="F827" s="624"/>
      <c r="G827" s="2913"/>
      <c r="H827" s="2910"/>
      <c r="I827" s="2910"/>
      <c r="J827" s="2910"/>
      <c r="K827" s="2913"/>
      <c r="L827" s="2897"/>
      <c r="M827" s="2897"/>
      <c r="N827" s="2914"/>
    </row>
    <row r="828" spans="1:14" ht="12" customHeight="1" x14ac:dyDescent="0.2">
      <c r="A828" s="6109"/>
      <c r="B828" s="6111"/>
      <c r="C828" s="2917" t="s">
        <v>3687</v>
      </c>
      <c r="D828" s="2910" t="str">
        <f>PROPER(MID(C827,3,100))</f>
        <v>Anima, La Canción De Los Ángeles Caídos</v>
      </c>
      <c r="E828" s="624">
        <v>1</v>
      </c>
      <c r="F828" s="624">
        <v>50</v>
      </c>
      <c r="G828" s="2913" t="s">
        <v>3688</v>
      </c>
      <c r="H828" s="2910" t="s">
        <v>3689</v>
      </c>
      <c r="I828" s="2910"/>
      <c r="J828" s="2910"/>
      <c r="K828" s="2913"/>
      <c r="L828" s="2897"/>
      <c r="M828" s="2897"/>
      <c r="N828" s="2914"/>
    </row>
    <row r="829" spans="1:14" ht="12" customHeight="1" x14ac:dyDescent="0.2">
      <c r="A829" s="6109"/>
      <c r="B829" s="6111"/>
      <c r="C829" s="2917" t="s">
        <v>3691</v>
      </c>
      <c r="D829" s="2910" t="str">
        <f>D828</f>
        <v>Anima, La Canción De Los Ángeles Caídos</v>
      </c>
      <c r="E829" s="624">
        <v>1</v>
      </c>
      <c r="F829" s="624">
        <v>40</v>
      </c>
      <c r="G829" s="2913" t="s">
        <v>3692</v>
      </c>
      <c r="H829" s="2910" t="s">
        <v>3693</v>
      </c>
      <c r="I829" s="2910"/>
      <c r="J829" s="2910"/>
      <c r="K829" s="2913"/>
      <c r="L829" s="2897"/>
      <c r="M829" s="2897"/>
      <c r="N829" s="2914"/>
    </row>
    <row r="830" spans="1:14" ht="12" customHeight="1" x14ac:dyDescent="0.2">
      <c r="A830" s="6109"/>
      <c r="B830" s="6111"/>
      <c r="C830" s="2917" t="s">
        <v>3695</v>
      </c>
      <c r="D830" s="2910" t="str">
        <f>D829</f>
        <v>Anima, La Canción De Los Ángeles Caídos</v>
      </c>
      <c r="E830" s="624">
        <v>2</v>
      </c>
      <c r="F830" s="624">
        <v>100</v>
      </c>
      <c r="G830" s="2913" t="s">
        <v>3696</v>
      </c>
      <c r="H830" s="2910" t="s">
        <v>3697</v>
      </c>
      <c r="I830" s="2910"/>
      <c r="J830" s="2910"/>
      <c r="K830" s="2913" t="s">
        <v>3698</v>
      </c>
      <c r="L830" s="2897"/>
      <c r="M830" s="2897"/>
      <c r="N830" s="2914"/>
    </row>
    <row r="831" spans="1:14" ht="12" customHeight="1" x14ac:dyDescent="0.2">
      <c r="A831" s="6109"/>
      <c r="B831" s="6111"/>
      <c r="C831" s="2917" t="s">
        <v>3700</v>
      </c>
      <c r="D831" s="2910" t="str">
        <f>D830</f>
        <v>Anima, La Canción De Los Ángeles Caídos</v>
      </c>
      <c r="E831" s="624">
        <v>2</v>
      </c>
      <c r="F831" s="624">
        <v>100</v>
      </c>
      <c r="G831" s="2913" t="s">
        <v>3701</v>
      </c>
      <c r="H831" s="2910" t="s">
        <v>3702</v>
      </c>
      <c r="I831" s="2910"/>
      <c r="J831" s="2910"/>
      <c r="K831" s="2913"/>
      <c r="L831" s="2897"/>
      <c r="M831" s="2897"/>
      <c r="N831" s="2914"/>
    </row>
    <row r="832" spans="1:14" ht="12" customHeight="1" thickBot="1" x14ac:dyDescent="0.25">
      <c r="A832" s="6109"/>
      <c r="B832" s="6111"/>
      <c r="C832" s="2919" t="s">
        <v>3703</v>
      </c>
      <c r="D832" s="2920" t="str">
        <f>D831</f>
        <v>Anima, La Canción De Los Ángeles Caídos</v>
      </c>
      <c r="E832" s="680">
        <v>3</v>
      </c>
      <c r="F832" s="680">
        <v>200</v>
      </c>
      <c r="G832" s="2921" t="s">
        <v>3704</v>
      </c>
      <c r="H832" s="2920" t="s">
        <v>3705</v>
      </c>
      <c r="I832" s="2920"/>
      <c r="J832" s="2920"/>
      <c r="K832" s="2921" t="s">
        <v>3706</v>
      </c>
      <c r="L832" s="2922"/>
      <c r="M832" s="2922" t="s">
        <v>10166</v>
      </c>
      <c r="N832" s="2923"/>
    </row>
  </sheetData>
  <sheetProtection selectLockedCells="1"/>
  <mergeCells count="15">
    <mergeCell ref="C6:L7"/>
    <mergeCell ref="P647:P648"/>
    <mergeCell ref="A641:A832"/>
    <mergeCell ref="B641:L643"/>
    <mergeCell ref="B645:B832"/>
    <mergeCell ref="A2:A640"/>
    <mergeCell ref="B2:AA4"/>
    <mergeCell ref="B6:B81"/>
    <mergeCell ref="N6:N639"/>
    <mergeCell ref="O6:X7"/>
    <mergeCell ref="B83:B108"/>
    <mergeCell ref="C83:E84"/>
    <mergeCell ref="B110:B200"/>
    <mergeCell ref="C110:F111"/>
    <mergeCell ref="C645:N646"/>
  </mergeCells>
  <conditionalFormatting sqref="BI12:BI13">
    <cfRule type="cellIs" dxfId="396" priority="1" stopIfTrue="1" operator="greaterThan">
      <formula>#REF!</formula>
    </cfRule>
  </conditionalFormatting>
  <conditionalFormatting sqref="BI23:BI24">
    <cfRule type="cellIs" dxfId="395" priority="2" stopIfTrue="1" operator="greaterThan">
      <formula>#REF!</formula>
    </cfRule>
  </conditionalFormatting>
  <conditionalFormatting sqref="BI34:BI35">
    <cfRule type="cellIs" dxfId="394" priority="3" stopIfTrue="1" operator="greaterThan">
      <formula>#REF!</formula>
    </cfRule>
  </conditionalFormatting>
  <conditionalFormatting sqref="BI45:BI46">
    <cfRule type="cellIs" dxfId="393" priority="4" stopIfTrue="1" operator="greaterThan">
      <formula>#REF!</formula>
    </cfRule>
  </conditionalFormatting>
  <conditionalFormatting sqref="BI56:BI57">
    <cfRule type="cellIs" dxfId="392"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K29" sqref="AK29"/>
    </sheetView>
  </sheetViews>
  <sheetFormatPr baseColWidth="10"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52"/>
      <c r="D3" s="5053"/>
      <c r="E3" s="5053"/>
      <c r="F3" s="5053"/>
      <c r="G3" s="5053"/>
      <c r="H3" s="5053"/>
      <c r="I3" s="528"/>
      <c r="J3" s="528"/>
      <c r="K3" s="528"/>
      <c r="L3" s="528"/>
      <c r="M3" s="528"/>
      <c r="N3" s="528"/>
      <c r="O3" s="528"/>
      <c r="P3" s="528"/>
      <c r="Q3" s="529"/>
      <c r="R3" s="530"/>
      <c r="S3" s="524"/>
      <c r="T3" s="524"/>
      <c r="U3" s="369"/>
      <c r="V3" s="5052"/>
      <c r="W3" s="5053"/>
      <c r="X3" s="5053"/>
      <c r="Y3" s="5053"/>
      <c r="Z3" s="5053"/>
      <c r="AA3" s="5053"/>
      <c r="AB3" s="1051"/>
      <c r="AC3" s="1051"/>
      <c r="AD3" s="1051"/>
      <c r="AE3" s="1051"/>
      <c r="AF3" s="1051"/>
      <c r="AG3" s="1051"/>
      <c r="AH3" s="1051"/>
      <c r="AI3" s="1051"/>
      <c r="AJ3" s="529"/>
      <c r="AK3" s="530"/>
      <c r="AL3" s="524"/>
      <c r="AM3" s="524"/>
      <c r="AN3" s="369"/>
      <c r="AO3" s="5052"/>
      <c r="AP3" s="5053"/>
      <c r="AQ3" s="5053"/>
      <c r="AR3" s="5053"/>
      <c r="AS3" s="5053"/>
      <c r="AT3" s="5053"/>
      <c r="AU3" s="528"/>
      <c r="AV3" s="528"/>
      <c r="AW3" s="528"/>
      <c r="AX3" s="528"/>
      <c r="AY3" s="528"/>
      <c r="AZ3" s="528"/>
      <c r="BA3" s="528"/>
      <c r="BB3" s="528"/>
      <c r="BC3" s="529"/>
      <c r="BD3" s="530"/>
      <c r="BE3" s="524"/>
    </row>
    <row r="4" spans="1:57" ht="12" customHeight="1" x14ac:dyDescent="0.2">
      <c r="A4" s="524"/>
      <c r="B4" s="369"/>
      <c r="C4" s="5054"/>
      <c r="D4" s="5055"/>
      <c r="E4" s="5055"/>
      <c r="F4" s="5055"/>
      <c r="G4" s="5055"/>
      <c r="H4" s="5055"/>
      <c r="I4" s="531"/>
      <c r="J4" s="5058" t="s">
        <v>1595</v>
      </c>
      <c r="K4" s="5059"/>
      <c r="L4" s="3233" t="str">
        <f>IF(OR(General!$F$22="",General!$F$22=0),"",General!$F$22)</f>
        <v/>
      </c>
      <c r="M4" s="3233"/>
      <c r="N4" s="3233"/>
      <c r="O4" s="3233"/>
      <c r="P4" s="3233"/>
      <c r="Q4" s="478"/>
      <c r="R4" s="530"/>
      <c r="S4" s="524"/>
      <c r="T4" s="524"/>
      <c r="U4" s="369"/>
      <c r="V4" s="5054"/>
      <c r="W4" s="5055"/>
      <c r="X4" s="5055"/>
      <c r="Y4" s="5055"/>
      <c r="Z4" s="5055"/>
      <c r="AA4" s="5055"/>
      <c r="AB4" s="1052"/>
      <c r="AC4" s="5050" t="s">
        <v>6886</v>
      </c>
      <c r="AD4" s="5051"/>
      <c r="AE4" s="5051"/>
      <c r="AF4" s="5051"/>
      <c r="AG4" s="5051"/>
      <c r="AH4" s="5051"/>
      <c r="AI4" s="5051"/>
      <c r="AJ4" s="478"/>
      <c r="AK4" s="530"/>
      <c r="AL4" s="524"/>
      <c r="AM4" s="524"/>
      <c r="AN4" s="369"/>
      <c r="AO4" s="5054"/>
      <c r="AP4" s="5055"/>
      <c r="AQ4" s="5055"/>
      <c r="AR4" s="5055"/>
      <c r="AS4" s="5055"/>
      <c r="AT4" s="5055"/>
      <c r="AU4" s="531"/>
      <c r="AV4" s="5050" t="s">
        <v>6886</v>
      </c>
      <c r="AW4" s="5051"/>
      <c r="AX4" s="5051"/>
      <c r="AY4" s="5051"/>
      <c r="AZ4" s="5051"/>
      <c r="BA4" s="5051"/>
      <c r="BB4" s="5051"/>
      <c r="BC4" s="478"/>
      <c r="BD4" s="530"/>
      <c r="BE4" s="524"/>
    </row>
    <row r="5" spans="1:57" ht="12" customHeight="1" x14ac:dyDescent="0.2">
      <c r="A5" s="524"/>
      <c r="B5" s="369"/>
      <c r="C5" s="5054"/>
      <c r="D5" s="5055"/>
      <c r="E5" s="5055"/>
      <c r="F5" s="5055"/>
      <c r="G5" s="5055"/>
      <c r="H5" s="5055"/>
      <c r="I5" s="531"/>
      <c r="J5" s="5046" t="s">
        <v>1596</v>
      </c>
      <c r="K5" s="5047"/>
      <c r="L5" s="5048" t="str">
        <f>Principal!$L$5</f>
        <v/>
      </c>
      <c r="M5" s="5049"/>
      <c r="N5" s="5049"/>
      <c r="O5" s="532" t="s">
        <v>1597</v>
      </c>
      <c r="P5" s="533" t="str">
        <f>Principal!$P$5</f>
        <v>0 + 1</v>
      </c>
      <c r="Q5" s="534"/>
      <c r="R5" s="530"/>
      <c r="S5" s="524"/>
      <c r="T5" s="524"/>
      <c r="U5" s="369"/>
      <c r="V5" s="5054"/>
      <c r="W5" s="5055"/>
      <c r="X5" s="5055"/>
      <c r="Y5" s="5055"/>
      <c r="Z5" s="5055"/>
      <c r="AA5" s="5055"/>
      <c r="AB5" s="1052"/>
      <c r="AC5" s="5051"/>
      <c r="AD5" s="5051"/>
      <c r="AE5" s="5051"/>
      <c r="AF5" s="5051"/>
      <c r="AG5" s="5051"/>
      <c r="AH5" s="5051"/>
      <c r="AI5" s="5051"/>
      <c r="AJ5" s="534"/>
      <c r="AK5" s="530"/>
      <c r="AL5" s="524"/>
      <c r="AM5" s="524"/>
      <c r="AN5" s="369"/>
      <c r="AO5" s="5054"/>
      <c r="AP5" s="5055"/>
      <c r="AQ5" s="5055"/>
      <c r="AR5" s="5055"/>
      <c r="AS5" s="5055"/>
      <c r="AT5" s="5055"/>
      <c r="AU5" s="531"/>
      <c r="AV5" s="5051"/>
      <c r="AW5" s="5051"/>
      <c r="AX5" s="5051"/>
      <c r="AY5" s="5051"/>
      <c r="AZ5" s="5051"/>
      <c r="BA5" s="5051"/>
      <c r="BB5" s="5051"/>
      <c r="BC5" s="534"/>
      <c r="BD5" s="530"/>
      <c r="BE5" s="524"/>
    </row>
    <row r="6" spans="1:57" ht="12" customHeight="1" x14ac:dyDescent="0.2">
      <c r="A6" s="524"/>
      <c r="B6" s="369"/>
      <c r="C6" s="5054"/>
      <c r="D6" s="5055"/>
      <c r="E6" s="5055"/>
      <c r="F6" s="5055"/>
      <c r="G6" s="5055"/>
      <c r="H6" s="5055"/>
      <c r="I6" s="531"/>
      <c r="J6" s="5050" t="s">
        <v>6887</v>
      </c>
      <c r="K6" s="5051"/>
      <c r="L6" s="5051"/>
      <c r="M6" s="5051"/>
      <c r="N6" s="5051"/>
      <c r="O6" s="5051"/>
      <c r="P6" s="5051"/>
      <c r="Q6" s="534"/>
      <c r="R6" s="530"/>
      <c r="S6" s="524"/>
      <c r="T6" s="524"/>
      <c r="U6" s="369"/>
      <c r="V6" s="5054"/>
      <c r="W6" s="5055"/>
      <c r="X6" s="5055"/>
      <c r="Y6" s="5055"/>
      <c r="Z6" s="5055"/>
      <c r="AA6" s="5055"/>
      <c r="AB6" s="1052"/>
      <c r="AC6" s="6163"/>
      <c r="AD6" s="6164"/>
      <c r="AE6" s="6164"/>
      <c r="AF6" s="6164"/>
      <c r="AG6" s="6164"/>
      <c r="AH6" s="6164"/>
      <c r="AI6" s="6164"/>
      <c r="AJ6" s="534"/>
      <c r="AK6" s="530"/>
      <c r="AL6" s="524"/>
      <c r="AM6" s="524"/>
      <c r="AN6" s="369"/>
      <c r="AO6" s="5054"/>
      <c r="AP6" s="5055"/>
      <c r="AQ6" s="5055"/>
      <c r="AR6" s="5055"/>
      <c r="AS6" s="5055"/>
      <c r="AT6" s="5055"/>
      <c r="AU6" s="531"/>
      <c r="AV6" s="6163"/>
      <c r="AW6" s="6164"/>
      <c r="AX6" s="6164"/>
      <c r="AY6" s="6164"/>
      <c r="AZ6" s="6164"/>
      <c r="BA6" s="6164"/>
      <c r="BB6" s="6164"/>
      <c r="BC6" s="534"/>
      <c r="BD6" s="530"/>
      <c r="BE6" s="524"/>
    </row>
    <row r="7" spans="1:57" ht="12" customHeight="1" x14ac:dyDescent="0.2">
      <c r="A7" s="524"/>
      <c r="B7" s="369"/>
      <c r="C7" s="5054"/>
      <c r="D7" s="5055"/>
      <c r="E7" s="5055"/>
      <c r="F7" s="5055"/>
      <c r="G7" s="5055"/>
      <c r="H7" s="5055"/>
      <c r="I7" s="531"/>
      <c r="J7" s="5051"/>
      <c r="K7" s="5051"/>
      <c r="L7" s="5051"/>
      <c r="M7" s="5051"/>
      <c r="N7" s="5051"/>
      <c r="O7" s="5051"/>
      <c r="P7" s="5051"/>
      <c r="Q7" s="534"/>
      <c r="R7" s="530"/>
      <c r="S7" s="524"/>
      <c r="T7" s="524"/>
      <c r="U7" s="369"/>
      <c r="V7" s="5054"/>
      <c r="W7" s="5055"/>
      <c r="X7" s="5055"/>
      <c r="Y7" s="5055"/>
      <c r="Z7" s="5055"/>
      <c r="AA7" s="5055"/>
      <c r="AB7" s="1052"/>
      <c r="AC7" s="6164"/>
      <c r="AD7" s="6164"/>
      <c r="AE7" s="6164"/>
      <c r="AF7" s="6164"/>
      <c r="AG7" s="6164"/>
      <c r="AH7" s="6164"/>
      <c r="AI7" s="6164"/>
      <c r="AJ7" s="534"/>
      <c r="AK7" s="530"/>
      <c r="AL7" s="524"/>
      <c r="AM7" s="524"/>
      <c r="AN7" s="369"/>
      <c r="AO7" s="5054"/>
      <c r="AP7" s="5055"/>
      <c r="AQ7" s="5055"/>
      <c r="AR7" s="5055"/>
      <c r="AS7" s="5055"/>
      <c r="AT7" s="5055"/>
      <c r="AU7" s="531"/>
      <c r="AV7" s="6164"/>
      <c r="AW7" s="6164"/>
      <c r="AX7" s="6164"/>
      <c r="AY7" s="6164"/>
      <c r="AZ7" s="6164"/>
      <c r="BA7" s="6164"/>
      <c r="BB7" s="6164"/>
      <c r="BC7" s="534"/>
      <c r="BD7" s="530"/>
      <c r="BE7" s="524"/>
    </row>
    <row r="8" spans="1:57" ht="12" customHeight="1" thickBot="1" x14ac:dyDescent="0.25">
      <c r="A8" s="524"/>
      <c r="B8" s="369"/>
      <c r="C8" s="5056"/>
      <c r="D8" s="5057"/>
      <c r="E8" s="5057"/>
      <c r="F8" s="5057"/>
      <c r="G8" s="5057"/>
      <c r="H8" s="5057"/>
      <c r="I8" s="535"/>
      <c r="J8" s="535"/>
      <c r="K8" s="535"/>
      <c r="L8" s="535"/>
      <c r="M8" s="535"/>
      <c r="N8" s="535"/>
      <c r="O8" s="535"/>
      <c r="P8" s="535"/>
      <c r="Q8" s="536"/>
      <c r="R8" s="530"/>
      <c r="S8" s="524"/>
      <c r="T8" s="524"/>
      <c r="U8" s="369"/>
      <c r="V8" s="5056"/>
      <c r="W8" s="5057"/>
      <c r="X8" s="5057"/>
      <c r="Y8" s="5057"/>
      <c r="Z8" s="5057"/>
      <c r="AA8" s="5057"/>
      <c r="AB8" s="1053"/>
      <c r="AC8" s="1053"/>
      <c r="AD8" s="1053"/>
      <c r="AE8" s="1053"/>
      <c r="AF8" s="1053"/>
      <c r="AG8" s="1053"/>
      <c r="AH8" s="1053"/>
      <c r="AI8" s="1053"/>
      <c r="AJ8" s="536"/>
      <c r="AK8" s="530"/>
      <c r="AL8" s="524"/>
      <c r="AM8" s="524"/>
      <c r="AN8" s="369"/>
      <c r="AO8" s="5056"/>
      <c r="AP8" s="5057"/>
      <c r="AQ8" s="5057"/>
      <c r="AR8" s="5057"/>
      <c r="AS8" s="5057"/>
      <c r="AT8" s="5057"/>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58"/>
      <c r="D10" s="6159"/>
      <c r="E10" s="6159"/>
      <c r="F10" s="6159"/>
      <c r="G10" s="6159"/>
      <c r="H10" s="537" t="s">
        <v>1597</v>
      </c>
      <c r="I10" s="538" t="str">
        <f>IF(C10=0,"",VLOOKUP(C10,'Tablas Magia'!$D$6:$Z$680,3,FALSE))</f>
        <v/>
      </c>
      <c r="J10" s="6160" t="s">
        <v>6888</v>
      </c>
      <c r="K10" s="6160"/>
      <c r="L10" s="6160"/>
      <c r="M10" s="6161" t="str">
        <f>IF(C10=0,"",VLOOKUP(C10,'Tablas Magia'!$D$6:$Z$680,2,FALSE))</f>
        <v/>
      </c>
      <c r="N10" s="6161"/>
      <c r="O10" s="6161"/>
      <c r="P10" s="6161"/>
      <c r="Q10" s="6162"/>
      <c r="R10" s="530"/>
      <c r="S10" s="524"/>
      <c r="T10" s="524"/>
      <c r="U10" s="369"/>
      <c r="V10" s="6158"/>
      <c r="W10" s="6159"/>
      <c r="X10" s="6159"/>
      <c r="Y10" s="6159"/>
      <c r="Z10" s="6159"/>
      <c r="AA10" s="537" t="s">
        <v>1597</v>
      </c>
      <c r="AB10" s="538" t="str">
        <f>IF(V10=0,"",VLOOKUP(V10,'Tablas Magia'!$D$6:$Z$680,3,FALSE))</f>
        <v/>
      </c>
      <c r="AC10" s="6160" t="s">
        <v>6888</v>
      </c>
      <c r="AD10" s="6160"/>
      <c r="AE10" s="6160"/>
      <c r="AF10" s="6161" t="str">
        <f>IF(V10=0,"",VLOOKUP(V10,'Tablas Magia'!$D$6:$Z$680,2,FALSE))</f>
        <v/>
      </c>
      <c r="AG10" s="6161"/>
      <c r="AH10" s="6161"/>
      <c r="AI10" s="6161"/>
      <c r="AJ10" s="6162"/>
      <c r="AK10" s="530"/>
      <c r="AL10" s="524"/>
      <c r="AM10" s="524"/>
      <c r="AN10" s="369"/>
      <c r="AO10" s="6158"/>
      <c r="AP10" s="6159"/>
      <c r="AQ10" s="6159"/>
      <c r="AR10" s="6159"/>
      <c r="AS10" s="6159"/>
      <c r="AT10" s="537" t="s">
        <v>1597</v>
      </c>
      <c r="AU10" s="538" t="str">
        <f>IF(AO10=0,"",VLOOKUP(AO10,'Tablas Magia'!$D$6:$Z$680,3,FALSE))</f>
        <v/>
      </c>
      <c r="AV10" s="6160" t="s">
        <v>6888</v>
      </c>
      <c r="AW10" s="6160"/>
      <c r="AX10" s="6160"/>
      <c r="AY10" s="6161" t="str">
        <f>IF(AO10=0,"",VLOOKUP(AO10,'Tablas Magia'!$D$6:$Z$680,2,FALSE))</f>
        <v/>
      </c>
      <c r="AZ10" s="6161"/>
      <c r="BA10" s="6161"/>
      <c r="BB10" s="6161"/>
      <c r="BC10" s="6162"/>
      <c r="BD10" s="530"/>
      <c r="BE10" s="524"/>
    </row>
    <row r="11" spans="1:57" ht="12" customHeight="1" x14ac:dyDescent="0.2">
      <c r="A11" s="524"/>
      <c r="B11" s="369"/>
      <c r="C11" s="6156" t="s">
        <v>6889</v>
      </c>
      <c r="D11" s="6157"/>
      <c r="E11" s="539" t="s">
        <v>6890</v>
      </c>
      <c r="F11" s="539" t="s">
        <v>1783</v>
      </c>
      <c r="G11" s="539" t="s">
        <v>3227</v>
      </c>
      <c r="H11" s="540" t="s">
        <v>2121</v>
      </c>
      <c r="I11" s="6130" t="str">
        <f>IF(C10=0,"",VLOOKUP(C10,'Tablas Magia'!$D$6:$Z$680,5,FALSE))</f>
        <v/>
      </c>
      <c r="J11" s="6130"/>
      <c r="K11" s="6129" t="s">
        <v>6891</v>
      </c>
      <c r="L11" s="6129"/>
      <c r="M11" s="6130" t="str">
        <f>IF(C10=0,"",VLOOKUP(C10,'Tablas Magia'!$D$6:$Z$680,6,FALSE))</f>
        <v/>
      </c>
      <c r="N11" s="6130"/>
      <c r="O11" s="6131" t="s">
        <v>6892</v>
      </c>
      <c r="P11" s="6131"/>
      <c r="Q11" s="541" t="str">
        <f>IF(C10=0,"",VLOOKUP(C10,'Tablas Magia'!$D$6:$Z$680,4,FALSE))</f>
        <v/>
      </c>
      <c r="R11" s="530"/>
      <c r="S11" s="524"/>
      <c r="T11" s="524"/>
      <c r="U11" s="369"/>
      <c r="V11" s="6156" t="s">
        <v>6889</v>
      </c>
      <c r="W11" s="6157"/>
      <c r="X11" s="539" t="s">
        <v>6890</v>
      </c>
      <c r="Y11" s="539" t="s">
        <v>1783</v>
      </c>
      <c r="Z11" s="539" t="s">
        <v>3227</v>
      </c>
      <c r="AA11" s="540" t="s">
        <v>2121</v>
      </c>
      <c r="AB11" s="6130" t="str">
        <f>IF(V10=0,"",VLOOKUP(V10,'Tablas Magia'!$D$6:$Z$680,5,FALSE))</f>
        <v/>
      </c>
      <c r="AC11" s="6130"/>
      <c r="AD11" s="6129" t="s">
        <v>6891</v>
      </c>
      <c r="AE11" s="6129"/>
      <c r="AF11" s="6130" t="str">
        <f>IF(V10=0,"",VLOOKUP(V10,'Tablas Magia'!$D$6:$Z$680,6,FALSE))</f>
        <v/>
      </c>
      <c r="AG11" s="6130"/>
      <c r="AH11" s="6131" t="s">
        <v>6892</v>
      </c>
      <c r="AI11" s="6131"/>
      <c r="AJ11" s="541" t="str">
        <f>IF(V10=0,"",VLOOKUP(V10,'Tablas Magia'!$D$6:$Z$680,4,FALSE))</f>
        <v/>
      </c>
      <c r="AK11" s="530"/>
      <c r="AL11" s="524"/>
      <c r="AM11" s="524"/>
      <c r="AN11" s="369"/>
      <c r="AO11" s="6156" t="s">
        <v>6889</v>
      </c>
      <c r="AP11" s="6157"/>
      <c r="AQ11" s="539" t="s">
        <v>6890</v>
      </c>
      <c r="AR11" s="539" t="s">
        <v>1783</v>
      </c>
      <c r="AS11" s="539" t="s">
        <v>3227</v>
      </c>
      <c r="AT11" s="540" t="s">
        <v>2121</v>
      </c>
      <c r="AU11" s="6130" t="str">
        <f>IF(AO10=0,"",VLOOKUP(AO10,'Tablas Magia'!$D$6:$Z$680,5,FALSE))</f>
        <v/>
      </c>
      <c r="AV11" s="6130"/>
      <c r="AW11" s="6129" t="s">
        <v>6891</v>
      </c>
      <c r="AX11" s="6129"/>
      <c r="AY11" s="6130" t="str">
        <f>IF(AO10=0,"",VLOOKUP(AO10,'Tablas Magia'!$D$6:$Z$680,6,FALSE))</f>
        <v/>
      </c>
      <c r="AZ11" s="6130"/>
      <c r="BA11" s="6131" t="s">
        <v>6892</v>
      </c>
      <c r="BB11" s="6131"/>
      <c r="BC11" s="541" t="str">
        <f>IF(AO10=0,"",VLOOKUP(AO10,'Tablas Magia'!$D$6:$Z$680,4,FALSE))</f>
        <v/>
      </c>
      <c r="BD11" s="530"/>
      <c r="BE11" s="524"/>
    </row>
    <row r="12" spans="1:57" ht="12" customHeight="1" x14ac:dyDescent="0.2">
      <c r="A12" s="524"/>
      <c r="B12" s="369"/>
      <c r="C12" s="6132" t="s">
        <v>1638</v>
      </c>
      <c r="D12" s="6133"/>
      <c r="E12" s="542" t="str">
        <f>IF(C10=0,"",VLOOKUP(C10,'Tablas Magia'!$D$6:$Z$680,7,FALSE))</f>
        <v/>
      </c>
      <c r="F12" s="542" t="str">
        <f>IF(C10=0,"",VLOOKUP(C10,'Tablas Magia'!$D$6:$Z$680,11,FALSE))</f>
        <v/>
      </c>
      <c r="G12" s="543" t="str">
        <f>IF(C10=0,"",VLOOKUP(C10,'Tablas Magia'!$D$6:$Z$680,15,FALSE))</f>
        <v/>
      </c>
      <c r="H12" s="6134" t="str">
        <f>IF(C10=0,"",VLOOKUP(C10,'Tablas Magia'!$D$6:$Z$680,19,FALSE))</f>
        <v/>
      </c>
      <c r="I12" s="6135"/>
      <c r="J12" s="6135"/>
      <c r="K12" s="6135"/>
      <c r="L12" s="6135"/>
      <c r="M12" s="6135"/>
      <c r="N12" s="6135"/>
      <c r="O12" s="6135"/>
      <c r="P12" s="6135"/>
      <c r="Q12" s="6136"/>
      <c r="R12" s="530"/>
      <c r="S12" s="524"/>
      <c r="T12" s="524"/>
      <c r="U12" s="369"/>
      <c r="V12" s="6132" t="s">
        <v>1638</v>
      </c>
      <c r="W12" s="6133"/>
      <c r="X12" s="542" t="str">
        <f>IF(V10=0,"",VLOOKUP(V10,'Tablas Magia'!$D$6:$Z$680,7,FALSE))</f>
        <v/>
      </c>
      <c r="Y12" s="542" t="str">
        <f>IF(V10=0,"",VLOOKUP(V10,'Tablas Magia'!$D$6:$Z$680,11,FALSE))</f>
        <v/>
      </c>
      <c r="Z12" s="543" t="str">
        <f>IF(V10=0,"",VLOOKUP(V10,'Tablas Magia'!$D$6:$Z$680,15,FALSE))</f>
        <v/>
      </c>
      <c r="AA12" s="6134" t="str">
        <f>IF(V10=0,"",VLOOKUP(V10,'Tablas Magia'!$D$6:$Z$680,19,FALSE))</f>
        <v/>
      </c>
      <c r="AB12" s="6135"/>
      <c r="AC12" s="6135"/>
      <c r="AD12" s="6135"/>
      <c r="AE12" s="6135"/>
      <c r="AF12" s="6135"/>
      <c r="AG12" s="6135"/>
      <c r="AH12" s="6135"/>
      <c r="AI12" s="6135"/>
      <c r="AJ12" s="6136"/>
      <c r="AK12" s="530"/>
      <c r="AL12" s="524"/>
      <c r="AM12" s="524"/>
      <c r="AN12" s="369"/>
      <c r="AO12" s="6132" t="s">
        <v>1638</v>
      </c>
      <c r="AP12" s="6133"/>
      <c r="AQ12" s="542" t="str">
        <f>IF(AO10=0,"",VLOOKUP(AO10,'Tablas Magia'!$D$6:$Z$680,7,FALSE))</f>
        <v/>
      </c>
      <c r="AR12" s="542" t="str">
        <f>IF(AO10=0,"",VLOOKUP(AO10,'Tablas Magia'!$D$6:$Z$680,11,FALSE))</f>
        <v/>
      </c>
      <c r="AS12" s="543" t="str">
        <f>IF(AO10=0,"",VLOOKUP(AO10,'Tablas Magia'!$D$6:$Z$680,15,FALSE))</f>
        <v/>
      </c>
      <c r="AT12" s="6134" t="str">
        <f>IF(AO10=0,"",VLOOKUP(AO10,'Tablas Magia'!$D$6:$Z$680,19,FALSE))</f>
        <v/>
      </c>
      <c r="AU12" s="6135"/>
      <c r="AV12" s="6135"/>
      <c r="AW12" s="6135"/>
      <c r="AX12" s="6135"/>
      <c r="AY12" s="6135"/>
      <c r="AZ12" s="6135"/>
      <c r="BA12" s="6135"/>
      <c r="BB12" s="6135"/>
      <c r="BC12" s="6136"/>
      <c r="BD12" s="530"/>
      <c r="BE12" s="524"/>
    </row>
    <row r="13" spans="1:57" ht="12" customHeight="1" x14ac:dyDescent="0.2">
      <c r="A13" s="524"/>
      <c r="B13" s="369"/>
      <c r="C13" s="6137" t="s">
        <v>3777</v>
      </c>
      <c r="D13" s="6138"/>
      <c r="E13" s="544" t="str">
        <f>IF(C10=0,"",VLOOKUP(C10,'Tablas Magia'!$D$6:$Z$680,8,FALSE))</f>
        <v/>
      </c>
      <c r="F13" s="544" t="str">
        <f>IF(C10=0,"",VLOOKUP(C10,'Tablas Magia'!$D$6:$Z$680,12,FALSE))</f>
        <v/>
      </c>
      <c r="G13" s="545" t="str">
        <f>IF(C10=0,"",VLOOKUP(C10,'Tablas Magia'!$D$6:$Z$680,16,FALSE))</f>
        <v/>
      </c>
      <c r="H13" s="6139" t="str">
        <f>IF(C10=0,"",VLOOKUP(C10,'Tablas Magia'!$D$6:$Z$680,20,FALSE))</f>
        <v/>
      </c>
      <c r="I13" s="6140"/>
      <c r="J13" s="6140"/>
      <c r="K13" s="6140"/>
      <c r="L13" s="6140"/>
      <c r="M13" s="6140"/>
      <c r="N13" s="6140"/>
      <c r="O13" s="6140"/>
      <c r="P13" s="6140"/>
      <c r="Q13" s="6141"/>
      <c r="R13" s="530"/>
      <c r="S13" s="524"/>
      <c r="T13" s="524"/>
      <c r="U13" s="369"/>
      <c r="V13" s="6137" t="s">
        <v>3777</v>
      </c>
      <c r="W13" s="6138"/>
      <c r="X13" s="544" t="str">
        <f>IF(V10=0,"",VLOOKUP(V10,'Tablas Magia'!$D$6:$Z$680,8,FALSE))</f>
        <v/>
      </c>
      <c r="Y13" s="544" t="str">
        <f>IF(V10=0,"",VLOOKUP(V10,'Tablas Magia'!$D$6:$Z$680,12,FALSE))</f>
        <v/>
      </c>
      <c r="Z13" s="545" t="str">
        <f>IF(V10=0,"",VLOOKUP(V10,'Tablas Magia'!$D$6:$Z$680,16,FALSE))</f>
        <v/>
      </c>
      <c r="AA13" s="6139" t="str">
        <f>IF(V10=0,"",VLOOKUP(V10,'Tablas Magia'!$D$6:$Z$680,20,FALSE))</f>
        <v/>
      </c>
      <c r="AB13" s="6140"/>
      <c r="AC13" s="6140"/>
      <c r="AD13" s="6140"/>
      <c r="AE13" s="6140"/>
      <c r="AF13" s="6140"/>
      <c r="AG13" s="6140"/>
      <c r="AH13" s="6140"/>
      <c r="AI13" s="6140"/>
      <c r="AJ13" s="6141"/>
      <c r="AK13" s="530"/>
      <c r="AL13" s="524"/>
      <c r="AM13" s="524"/>
      <c r="AN13" s="369"/>
      <c r="AO13" s="6137" t="s">
        <v>3777</v>
      </c>
      <c r="AP13" s="6138"/>
      <c r="AQ13" s="544" t="str">
        <f>IF(AO10=0,"",VLOOKUP(AO10,'Tablas Magia'!$D$6:$Z$680,8,FALSE))</f>
        <v/>
      </c>
      <c r="AR13" s="544" t="str">
        <f>IF(AO10=0,"",VLOOKUP(AO10,'Tablas Magia'!$D$6:$Z$680,12,FALSE))</f>
        <v/>
      </c>
      <c r="AS13" s="545" t="str">
        <f>IF(AO10=0,"",VLOOKUP(AO10,'Tablas Magia'!$D$6:$Z$680,16,FALSE))</f>
        <v/>
      </c>
      <c r="AT13" s="6139" t="str">
        <f>IF(AO10=0,"",VLOOKUP(AO10,'Tablas Magia'!$D$6:$Z$680,20,FALSE))</f>
        <v/>
      </c>
      <c r="AU13" s="6140"/>
      <c r="AV13" s="6140"/>
      <c r="AW13" s="6140"/>
      <c r="AX13" s="6140"/>
      <c r="AY13" s="6140"/>
      <c r="AZ13" s="6140"/>
      <c r="BA13" s="6140"/>
      <c r="BB13" s="6140"/>
      <c r="BC13" s="6141"/>
      <c r="BD13" s="530"/>
      <c r="BE13" s="524"/>
    </row>
    <row r="14" spans="1:57" ht="12" customHeight="1" x14ac:dyDescent="0.2">
      <c r="A14" s="524"/>
      <c r="B14" s="369"/>
      <c r="C14" s="6132" t="s">
        <v>3778</v>
      </c>
      <c r="D14" s="6133"/>
      <c r="E14" s="542" t="str">
        <f>IF(C10=0,"",VLOOKUP(C10,'Tablas Magia'!$D$6:$Z$680,9,FALSE))</f>
        <v/>
      </c>
      <c r="F14" s="542" t="str">
        <f>IF(C10=0,"",VLOOKUP(C10,'Tablas Magia'!$D$6:$Z$680,13,FALSE))</f>
        <v/>
      </c>
      <c r="G14" s="543" t="str">
        <f>IF(C10=0,"",VLOOKUP(C10,'Tablas Magia'!$D$6:$Z$680,17,FALSE))</f>
        <v/>
      </c>
      <c r="H14" s="6134" t="str">
        <f>IF(C10=0,"",VLOOKUP(C10,'Tablas Magia'!$D$6:$Z$680,21,FALSE))</f>
        <v/>
      </c>
      <c r="I14" s="6135"/>
      <c r="J14" s="6135"/>
      <c r="K14" s="6135"/>
      <c r="L14" s="6135"/>
      <c r="M14" s="6135"/>
      <c r="N14" s="6135"/>
      <c r="O14" s="6135"/>
      <c r="P14" s="6135"/>
      <c r="Q14" s="6136"/>
      <c r="R14" s="530"/>
      <c r="S14" s="524"/>
      <c r="T14" s="524"/>
      <c r="U14" s="369"/>
      <c r="V14" s="6132" t="s">
        <v>3778</v>
      </c>
      <c r="W14" s="6133"/>
      <c r="X14" s="542" t="str">
        <f>IF(V10=0,"",VLOOKUP(V10,'Tablas Magia'!$D$6:$Z$680,9,FALSE))</f>
        <v/>
      </c>
      <c r="Y14" s="542" t="str">
        <f>IF(V10=0,"",VLOOKUP(V10,'Tablas Magia'!$D$6:$Z$680,13,FALSE))</f>
        <v/>
      </c>
      <c r="Z14" s="543" t="str">
        <f>IF(V10=0,"",VLOOKUP(V10,'Tablas Magia'!$D$6:$Z$680,17,FALSE))</f>
        <v/>
      </c>
      <c r="AA14" s="6134" t="str">
        <f>IF(V10=0,"",VLOOKUP(V10,'Tablas Magia'!$D$6:$Z$680,21,FALSE))</f>
        <v/>
      </c>
      <c r="AB14" s="6135"/>
      <c r="AC14" s="6135"/>
      <c r="AD14" s="6135"/>
      <c r="AE14" s="6135"/>
      <c r="AF14" s="6135"/>
      <c r="AG14" s="6135"/>
      <c r="AH14" s="6135"/>
      <c r="AI14" s="6135"/>
      <c r="AJ14" s="6136"/>
      <c r="AK14" s="530"/>
      <c r="AL14" s="524"/>
      <c r="AM14" s="524"/>
      <c r="AN14" s="369"/>
      <c r="AO14" s="6132" t="s">
        <v>3778</v>
      </c>
      <c r="AP14" s="6133"/>
      <c r="AQ14" s="542" t="str">
        <f>IF(AO10=0,"",VLOOKUP(AO10,'Tablas Magia'!$D$6:$Z$680,9,FALSE))</f>
        <v/>
      </c>
      <c r="AR14" s="542" t="str">
        <f>IF(AO10=0,"",VLOOKUP(AO10,'Tablas Magia'!$D$6:$Z$680,13,FALSE))</f>
        <v/>
      </c>
      <c r="AS14" s="543" t="str">
        <f>IF(AO10=0,"",VLOOKUP(AO10,'Tablas Magia'!$D$6:$Z$680,17,FALSE))</f>
        <v/>
      </c>
      <c r="AT14" s="6134" t="str">
        <f>IF(AO10=0,"",VLOOKUP(AO10,'Tablas Magia'!$D$6:$Z$680,21,FALSE))</f>
        <v/>
      </c>
      <c r="AU14" s="6135"/>
      <c r="AV14" s="6135"/>
      <c r="AW14" s="6135"/>
      <c r="AX14" s="6135"/>
      <c r="AY14" s="6135"/>
      <c r="AZ14" s="6135"/>
      <c r="BA14" s="6135"/>
      <c r="BB14" s="6135"/>
      <c r="BC14" s="6136"/>
      <c r="BD14" s="530"/>
      <c r="BE14" s="524"/>
    </row>
    <row r="15" spans="1:57" ht="12" customHeight="1" thickBot="1" x14ac:dyDescent="0.25">
      <c r="A15" s="524"/>
      <c r="B15" s="369"/>
      <c r="C15" s="6142" t="s">
        <v>3779</v>
      </c>
      <c r="D15" s="6143"/>
      <c r="E15" s="546" t="str">
        <f>IF(C10=0,"",VLOOKUP(C10,'Tablas Magia'!$D$6:$Z$680,10,FALSE))</f>
        <v/>
      </c>
      <c r="F15" s="546" t="str">
        <f>IF(C10=0,"",VLOOKUP(C10,'Tablas Magia'!$D$6:$Z$680,14,FALSE))</f>
        <v/>
      </c>
      <c r="G15" s="547" t="str">
        <f>IF(C10=0,"",VLOOKUP(C10,'Tablas Magia'!$D$6:$Z$680,18,FALSE))</f>
        <v/>
      </c>
      <c r="H15" s="6144" t="str">
        <f>IF(C10=0,"",VLOOKUP(C10,'Tablas Magia'!$D$6:$Z$680,22,FALSE))</f>
        <v/>
      </c>
      <c r="I15" s="6145"/>
      <c r="J15" s="6145"/>
      <c r="K15" s="6145"/>
      <c r="L15" s="6145"/>
      <c r="M15" s="6145"/>
      <c r="N15" s="6145"/>
      <c r="O15" s="6145"/>
      <c r="P15" s="6145"/>
      <c r="Q15" s="6146"/>
      <c r="R15" s="530"/>
      <c r="S15" s="524"/>
      <c r="T15" s="524"/>
      <c r="U15" s="369"/>
      <c r="V15" s="6142" t="s">
        <v>3779</v>
      </c>
      <c r="W15" s="6143"/>
      <c r="X15" s="546" t="str">
        <f>IF(V10=0,"",VLOOKUP(V10,'Tablas Magia'!$D$6:$Z$680,10,FALSE))</f>
        <v/>
      </c>
      <c r="Y15" s="546" t="str">
        <f>IF(V10=0,"",VLOOKUP(V10,'Tablas Magia'!$D$6:$Z$680,14,FALSE))</f>
        <v/>
      </c>
      <c r="Z15" s="547" t="str">
        <f>IF(V10=0,"",VLOOKUP(V10,'Tablas Magia'!$D$6:$Z$680,18,FALSE))</f>
        <v/>
      </c>
      <c r="AA15" s="6144" t="str">
        <f>IF(V10=0,"",VLOOKUP(V10,'Tablas Magia'!$D$6:$Z$680,22,FALSE))</f>
        <v/>
      </c>
      <c r="AB15" s="6145"/>
      <c r="AC15" s="6145"/>
      <c r="AD15" s="6145"/>
      <c r="AE15" s="6145"/>
      <c r="AF15" s="6145"/>
      <c r="AG15" s="6145"/>
      <c r="AH15" s="6145"/>
      <c r="AI15" s="6145"/>
      <c r="AJ15" s="6146"/>
      <c r="AK15" s="530"/>
      <c r="AL15" s="524"/>
      <c r="AM15" s="524"/>
      <c r="AN15" s="369"/>
      <c r="AO15" s="6142" t="s">
        <v>3779</v>
      </c>
      <c r="AP15" s="6143"/>
      <c r="AQ15" s="546" t="str">
        <f>IF(AO10=0,"",VLOOKUP(AO10,'Tablas Magia'!$D$6:$Z$680,10,FALSE))</f>
        <v/>
      </c>
      <c r="AR15" s="546" t="str">
        <f>IF(AO10=0,"",VLOOKUP(AO10,'Tablas Magia'!$D$6:$Z$680,14,FALSE))</f>
        <v/>
      </c>
      <c r="AS15" s="547" t="str">
        <f>IF(AO10=0,"",VLOOKUP(AO10,'Tablas Magia'!$D$6:$Z$680,18,FALSE))</f>
        <v/>
      </c>
      <c r="AT15" s="6144" t="str">
        <f>IF(AO10=0,"",VLOOKUP(AO10,'Tablas Magia'!$D$6:$Z$680,22,FALSE))</f>
        <v/>
      </c>
      <c r="AU15" s="6145"/>
      <c r="AV15" s="6145"/>
      <c r="AW15" s="6145"/>
      <c r="AX15" s="6145"/>
      <c r="AY15" s="6145"/>
      <c r="AZ15" s="6145"/>
      <c r="BA15" s="6145"/>
      <c r="BB15" s="6145"/>
      <c r="BC15" s="6146"/>
      <c r="BD15" s="530"/>
      <c r="BE15" s="524"/>
    </row>
    <row r="16" spans="1:57" ht="12" customHeight="1" x14ac:dyDescent="0.2">
      <c r="A16" s="524"/>
      <c r="B16" s="369"/>
      <c r="C16" s="6147" t="str">
        <f>IF(C10=0,"",VLOOKUP(C10,'Tablas Magia'!$D$6:$Z$680,23,FALSE))</f>
        <v/>
      </c>
      <c r="D16" s="6148"/>
      <c r="E16" s="6148"/>
      <c r="F16" s="6148"/>
      <c r="G16" s="6148"/>
      <c r="H16" s="6148"/>
      <c r="I16" s="6148"/>
      <c r="J16" s="6148"/>
      <c r="K16" s="6148"/>
      <c r="L16" s="6148"/>
      <c r="M16" s="6148"/>
      <c r="N16" s="6148"/>
      <c r="O16" s="6148"/>
      <c r="P16" s="6148"/>
      <c r="Q16" s="6149"/>
      <c r="R16" s="530"/>
      <c r="S16" s="524"/>
      <c r="T16" s="524"/>
      <c r="U16" s="369"/>
      <c r="V16" s="6147" t="str">
        <f>IF(V10=0,"",VLOOKUP(V10,'Tablas Magia'!$D$6:$Z$680,23,FALSE))</f>
        <v/>
      </c>
      <c r="W16" s="6148"/>
      <c r="X16" s="6148"/>
      <c r="Y16" s="6148"/>
      <c r="Z16" s="6148"/>
      <c r="AA16" s="6148"/>
      <c r="AB16" s="6148"/>
      <c r="AC16" s="6148"/>
      <c r="AD16" s="6148"/>
      <c r="AE16" s="6148"/>
      <c r="AF16" s="6148"/>
      <c r="AG16" s="6148"/>
      <c r="AH16" s="6148"/>
      <c r="AI16" s="6148"/>
      <c r="AJ16" s="6149"/>
      <c r="AK16" s="530"/>
      <c r="AL16" s="524"/>
      <c r="AM16" s="524"/>
      <c r="AN16" s="369"/>
      <c r="AO16" s="6147" t="str">
        <f>IF(AO10=0,"",VLOOKUP(AO10,'Tablas Magia'!$D$6:$Z$680,23,FALSE))</f>
        <v/>
      </c>
      <c r="AP16" s="6148"/>
      <c r="AQ16" s="6148"/>
      <c r="AR16" s="6148"/>
      <c r="AS16" s="6148"/>
      <c r="AT16" s="6148"/>
      <c r="AU16" s="6148"/>
      <c r="AV16" s="6148"/>
      <c r="AW16" s="6148"/>
      <c r="AX16" s="6148"/>
      <c r="AY16" s="6148"/>
      <c r="AZ16" s="6148"/>
      <c r="BA16" s="6148"/>
      <c r="BB16" s="6148"/>
      <c r="BC16" s="6149"/>
      <c r="BD16" s="530"/>
      <c r="BE16" s="524"/>
    </row>
    <row r="17" spans="1:57" ht="12" customHeight="1" x14ac:dyDescent="0.2">
      <c r="A17" s="524"/>
      <c r="B17" s="369"/>
      <c r="C17" s="6150"/>
      <c r="D17" s="6151"/>
      <c r="E17" s="6151"/>
      <c r="F17" s="6151"/>
      <c r="G17" s="6151"/>
      <c r="H17" s="6151"/>
      <c r="I17" s="6151"/>
      <c r="J17" s="6151"/>
      <c r="K17" s="6151"/>
      <c r="L17" s="6151"/>
      <c r="M17" s="6151"/>
      <c r="N17" s="6151"/>
      <c r="O17" s="6151"/>
      <c r="P17" s="6151"/>
      <c r="Q17" s="6152"/>
      <c r="R17" s="530"/>
      <c r="S17" s="524"/>
      <c r="T17" s="524"/>
      <c r="U17" s="369"/>
      <c r="V17" s="6150"/>
      <c r="W17" s="6151"/>
      <c r="X17" s="6151"/>
      <c r="Y17" s="6151"/>
      <c r="Z17" s="6151"/>
      <c r="AA17" s="6151"/>
      <c r="AB17" s="6151"/>
      <c r="AC17" s="6151"/>
      <c r="AD17" s="6151"/>
      <c r="AE17" s="6151"/>
      <c r="AF17" s="6151"/>
      <c r="AG17" s="6151"/>
      <c r="AH17" s="6151"/>
      <c r="AI17" s="6151"/>
      <c r="AJ17" s="6152"/>
      <c r="AK17" s="530"/>
      <c r="AL17" s="524"/>
      <c r="AM17" s="524"/>
      <c r="AN17" s="369"/>
      <c r="AO17" s="6150"/>
      <c r="AP17" s="6151"/>
      <c r="AQ17" s="6151"/>
      <c r="AR17" s="6151"/>
      <c r="AS17" s="6151"/>
      <c r="AT17" s="6151"/>
      <c r="AU17" s="6151"/>
      <c r="AV17" s="6151"/>
      <c r="AW17" s="6151"/>
      <c r="AX17" s="6151"/>
      <c r="AY17" s="6151"/>
      <c r="AZ17" s="6151"/>
      <c r="BA17" s="6151"/>
      <c r="BB17" s="6151"/>
      <c r="BC17" s="6152"/>
      <c r="BD17" s="530"/>
      <c r="BE17" s="524"/>
    </row>
    <row r="18" spans="1:57" ht="12" customHeight="1" x14ac:dyDescent="0.2">
      <c r="A18" s="524"/>
      <c r="B18" s="369"/>
      <c r="C18" s="6150"/>
      <c r="D18" s="6151"/>
      <c r="E18" s="6151"/>
      <c r="F18" s="6151"/>
      <c r="G18" s="6151"/>
      <c r="H18" s="6151"/>
      <c r="I18" s="6151"/>
      <c r="J18" s="6151"/>
      <c r="K18" s="6151"/>
      <c r="L18" s="6151"/>
      <c r="M18" s="6151"/>
      <c r="N18" s="6151"/>
      <c r="O18" s="6151"/>
      <c r="P18" s="6151"/>
      <c r="Q18" s="6152"/>
      <c r="R18" s="530"/>
      <c r="S18" s="524"/>
      <c r="T18" s="524"/>
      <c r="U18" s="369"/>
      <c r="V18" s="6150"/>
      <c r="W18" s="6151"/>
      <c r="X18" s="6151"/>
      <c r="Y18" s="6151"/>
      <c r="Z18" s="6151"/>
      <c r="AA18" s="6151"/>
      <c r="AB18" s="6151"/>
      <c r="AC18" s="6151"/>
      <c r="AD18" s="6151"/>
      <c r="AE18" s="6151"/>
      <c r="AF18" s="6151"/>
      <c r="AG18" s="6151"/>
      <c r="AH18" s="6151"/>
      <c r="AI18" s="6151"/>
      <c r="AJ18" s="6152"/>
      <c r="AK18" s="530"/>
      <c r="AL18" s="524"/>
      <c r="AM18" s="524"/>
      <c r="AN18" s="369"/>
      <c r="AO18" s="6150"/>
      <c r="AP18" s="6151"/>
      <c r="AQ18" s="6151"/>
      <c r="AR18" s="6151"/>
      <c r="AS18" s="6151"/>
      <c r="AT18" s="6151"/>
      <c r="AU18" s="6151"/>
      <c r="AV18" s="6151"/>
      <c r="AW18" s="6151"/>
      <c r="AX18" s="6151"/>
      <c r="AY18" s="6151"/>
      <c r="AZ18" s="6151"/>
      <c r="BA18" s="6151"/>
      <c r="BB18" s="6151"/>
      <c r="BC18" s="6152"/>
      <c r="BD18" s="530"/>
      <c r="BE18" s="524"/>
    </row>
    <row r="19" spans="1:57" ht="12" customHeight="1" thickBot="1" x14ac:dyDescent="0.25">
      <c r="A19" s="524"/>
      <c r="B19" s="369"/>
      <c r="C19" s="6153"/>
      <c r="D19" s="6154"/>
      <c r="E19" s="6154"/>
      <c r="F19" s="6154"/>
      <c r="G19" s="6154"/>
      <c r="H19" s="6154"/>
      <c r="I19" s="6154"/>
      <c r="J19" s="6154"/>
      <c r="K19" s="6154"/>
      <c r="L19" s="6154"/>
      <c r="M19" s="6154"/>
      <c r="N19" s="6154"/>
      <c r="O19" s="6154"/>
      <c r="P19" s="6154"/>
      <c r="Q19" s="6155"/>
      <c r="R19" s="530"/>
      <c r="S19" s="524"/>
      <c r="T19" s="524"/>
      <c r="U19" s="369"/>
      <c r="V19" s="6153"/>
      <c r="W19" s="6154"/>
      <c r="X19" s="6154"/>
      <c r="Y19" s="6154"/>
      <c r="Z19" s="6154"/>
      <c r="AA19" s="6154"/>
      <c r="AB19" s="6154"/>
      <c r="AC19" s="6154"/>
      <c r="AD19" s="6154"/>
      <c r="AE19" s="6154"/>
      <c r="AF19" s="6154"/>
      <c r="AG19" s="6154"/>
      <c r="AH19" s="6154"/>
      <c r="AI19" s="6154"/>
      <c r="AJ19" s="6155"/>
      <c r="AK19" s="530"/>
      <c r="AL19" s="524"/>
      <c r="AM19" s="524"/>
      <c r="AN19" s="369"/>
      <c r="AO19" s="6153"/>
      <c r="AP19" s="6154"/>
      <c r="AQ19" s="6154"/>
      <c r="AR19" s="6154"/>
      <c r="AS19" s="6154"/>
      <c r="AT19" s="6154"/>
      <c r="AU19" s="6154"/>
      <c r="AV19" s="6154"/>
      <c r="AW19" s="6154"/>
      <c r="AX19" s="6154"/>
      <c r="AY19" s="6154"/>
      <c r="AZ19" s="6154"/>
      <c r="BA19" s="6154"/>
      <c r="BB19" s="6154"/>
      <c r="BC19" s="6155"/>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58"/>
      <c r="D21" s="6159"/>
      <c r="E21" s="6159"/>
      <c r="F21" s="6159"/>
      <c r="G21" s="6159"/>
      <c r="H21" s="537" t="s">
        <v>1597</v>
      </c>
      <c r="I21" s="538" t="str">
        <f>IF(C21=0,"",VLOOKUP(C21,'Tablas Magia'!$D$6:$Z$680,3,FALSE))</f>
        <v/>
      </c>
      <c r="J21" s="6160" t="s">
        <v>6888</v>
      </c>
      <c r="K21" s="6160"/>
      <c r="L21" s="6160"/>
      <c r="M21" s="6161" t="str">
        <f>IF(C21=0,"",VLOOKUP(C21,'Tablas Magia'!$D$6:$Z$680,2,FALSE))</f>
        <v/>
      </c>
      <c r="N21" s="6161"/>
      <c r="O21" s="6161"/>
      <c r="P21" s="6161"/>
      <c r="Q21" s="6162"/>
      <c r="R21" s="530"/>
      <c r="S21" s="524"/>
      <c r="T21" s="524"/>
      <c r="U21" s="369"/>
      <c r="V21" s="6158"/>
      <c r="W21" s="6159"/>
      <c r="X21" s="6159"/>
      <c r="Y21" s="6159"/>
      <c r="Z21" s="6159"/>
      <c r="AA21" s="537" t="s">
        <v>1597</v>
      </c>
      <c r="AB21" s="538" t="str">
        <f>IF(V21=0,"",VLOOKUP(V21,'Tablas Magia'!$D$6:$Z$680,3,FALSE))</f>
        <v/>
      </c>
      <c r="AC21" s="6160" t="s">
        <v>6888</v>
      </c>
      <c r="AD21" s="6160"/>
      <c r="AE21" s="6160"/>
      <c r="AF21" s="6161" t="str">
        <f>IF(V21=0,"",VLOOKUP(V21,'Tablas Magia'!$D$6:$Z$680,2,FALSE))</f>
        <v/>
      </c>
      <c r="AG21" s="6161"/>
      <c r="AH21" s="6161"/>
      <c r="AI21" s="6161"/>
      <c r="AJ21" s="6162"/>
      <c r="AK21" s="530"/>
      <c r="AL21" s="524"/>
      <c r="AM21" s="524"/>
      <c r="AN21" s="369"/>
      <c r="AO21" s="6158"/>
      <c r="AP21" s="6159"/>
      <c r="AQ21" s="6159"/>
      <c r="AR21" s="6159"/>
      <c r="AS21" s="6159"/>
      <c r="AT21" s="537" t="s">
        <v>1597</v>
      </c>
      <c r="AU21" s="538" t="str">
        <f>IF(AO21=0,"",VLOOKUP(AO21,'Tablas Magia'!$D$6:$Z$680,3,FALSE))</f>
        <v/>
      </c>
      <c r="AV21" s="6160" t="s">
        <v>6888</v>
      </c>
      <c r="AW21" s="6160"/>
      <c r="AX21" s="6160"/>
      <c r="AY21" s="6161" t="str">
        <f>IF(AO21=0,"",VLOOKUP(AO21,'Tablas Magia'!$D$6:$Z$680,2,FALSE))</f>
        <v/>
      </c>
      <c r="AZ21" s="6161"/>
      <c r="BA21" s="6161"/>
      <c r="BB21" s="6161"/>
      <c r="BC21" s="6162"/>
      <c r="BD21" s="530"/>
      <c r="BE21" s="524"/>
    </row>
    <row r="22" spans="1:57" ht="12" customHeight="1" x14ac:dyDescent="0.2">
      <c r="A22" s="524"/>
      <c r="B22" s="369"/>
      <c r="C22" s="6156" t="s">
        <v>6889</v>
      </c>
      <c r="D22" s="6157"/>
      <c r="E22" s="539" t="s">
        <v>6890</v>
      </c>
      <c r="F22" s="539" t="s">
        <v>1783</v>
      </c>
      <c r="G22" s="539" t="s">
        <v>3227</v>
      </c>
      <c r="H22" s="540" t="s">
        <v>2121</v>
      </c>
      <c r="I22" s="6130" t="str">
        <f>IF(C21=0,"",VLOOKUP(C21,'Tablas Magia'!$D$6:$Z$680,5,FALSE))</f>
        <v/>
      </c>
      <c r="J22" s="6130"/>
      <c r="K22" s="6129" t="s">
        <v>6891</v>
      </c>
      <c r="L22" s="6129"/>
      <c r="M22" s="6130" t="str">
        <f>IF(C21=0,"",VLOOKUP(C21,'Tablas Magia'!$D$6:$Z$680,6,FALSE))</f>
        <v/>
      </c>
      <c r="N22" s="6130"/>
      <c r="O22" s="6131" t="s">
        <v>6892</v>
      </c>
      <c r="P22" s="6131"/>
      <c r="Q22" s="541" t="str">
        <f>IF(C21=0,"",VLOOKUP(C21,'Tablas Magia'!$D$6:$Z$680,4,FALSE))</f>
        <v/>
      </c>
      <c r="R22" s="530"/>
      <c r="S22" s="524"/>
      <c r="T22" s="524"/>
      <c r="U22" s="369"/>
      <c r="V22" s="6156" t="s">
        <v>6889</v>
      </c>
      <c r="W22" s="6157"/>
      <c r="X22" s="539" t="s">
        <v>6890</v>
      </c>
      <c r="Y22" s="539" t="s">
        <v>1783</v>
      </c>
      <c r="Z22" s="539" t="s">
        <v>3227</v>
      </c>
      <c r="AA22" s="540" t="s">
        <v>2121</v>
      </c>
      <c r="AB22" s="6130" t="str">
        <f>IF(V21=0,"",VLOOKUP(V21,'Tablas Magia'!$D$6:$Z$680,5,FALSE))</f>
        <v/>
      </c>
      <c r="AC22" s="6130"/>
      <c r="AD22" s="6129" t="s">
        <v>6891</v>
      </c>
      <c r="AE22" s="6129"/>
      <c r="AF22" s="6130" t="str">
        <f>IF(V21=0,"",VLOOKUP(V21,'Tablas Magia'!$D$6:$Z$680,6,FALSE))</f>
        <v/>
      </c>
      <c r="AG22" s="6130"/>
      <c r="AH22" s="6131" t="s">
        <v>6892</v>
      </c>
      <c r="AI22" s="6131"/>
      <c r="AJ22" s="541" t="str">
        <f>IF(V21=0,"",VLOOKUP(V21,'Tablas Magia'!$D$6:$Z$680,4,FALSE))</f>
        <v/>
      </c>
      <c r="AK22" s="530"/>
      <c r="AL22" s="524"/>
      <c r="AM22" s="524"/>
      <c r="AN22" s="369"/>
      <c r="AO22" s="6156" t="s">
        <v>6889</v>
      </c>
      <c r="AP22" s="6157"/>
      <c r="AQ22" s="539" t="s">
        <v>6890</v>
      </c>
      <c r="AR22" s="539" t="s">
        <v>1783</v>
      </c>
      <c r="AS22" s="539" t="s">
        <v>3227</v>
      </c>
      <c r="AT22" s="540" t="s">
        <v>2121</v>
      </c>
      <c r="AU22" s="6130" t="str">
        <f>IF(AO21=0,"",VLOOKUP(AO21,'Tablas Magia'!$D$6:$Z$680,5,FALSE))</f>
        <v/>
      </c>
      <c r="AV22" s="6130"/>
      <c r="AW22" s="6129" t="s">
        <v>6891</v>
      </c>
      <c r="AX22" s="6129"/>
      <c r="AY22" s="6130" t="str">
        <f>IF(AO21=0,"",VLOOKUP(AO21,'Tablas Magia'!$D$6:$Z$680,6,FALSE))</f>
        <v/>
      </c>
      <c r="AZ22" s="6130"/>
      <c r="BA22" s="6131" t="s">
        <v>6892</v>
      </c>
      <c r="BB22" s="6131"/>
      <c r="BC22" s="541" t="str">
        <f>IF(AO21=0,"",VLOOKUP(AO21,'Tablas Magia'!$D$6:$Z$680,4,FALSE))</f>
        <v/>
      </c>
      <c r="BD22" s="530"/>
      <c r="BE22" s="524"/>
    </row>
    <row r="23" spans="1:57" ht="12" customHeight="1" x14ac:dyDescent="0.2">
      <c r="A23" s="524"/>
      <c r="B23" s="369"/>
      <c r="C23" s="6132" t="s">
        <v>1638</v>
      </c>
      <c r="D23" s="6133"/>
      <c r="E23" s="542" t="str">
        <f>IF(C21=0,"",VLOOKUP(C21,'Tablas Magia'!$D$6:$Z$680,7,FALSE))</f>
        <v/>
      </c>
      <c r="F23" s="542" t="str">
        <f>IF(C21=0,"",VLOOKUP(C21,'Tablas Magia'!$D$6:$Z$680,11,FALSE))</f>
        <v/>
      </c>
      <c r="G23" s="543" t="str">
        <f>IF(C21=0,"",VLOOKUP(C21,'Tablas Magia'!$D$6:$Z$680,15,FALSE))</f>
        <v/>
      </c>
      <c r="H23" s="6134" t="str">
        <f>IF(C21=0,"",VLOOKUP(C21,'Tablas Magia'!$D$6:$Z$680,19,FALSE))</f>
        <v/>
      </c>
      <c r="I23" s="6135"/>
      <c r="J23" s="6135"/>
      <c r="K23" s="6135"/>
      <c r="L23" s="6135"/>
      <c r="M23" s="6135"/>
      <c r="N23" s="6135"/>
      <c r="O23" s="6135"/>
      <c r="P23" s="6135"/>
      <c r="Q23" s="6136"/>
      <c r="R23" s="530"/>
      <c r="S23" s="524"/>
      <c r="T23" s="524"/>
      <c r="U23" s="369"/>
      <c r="V23" s="6132" t="s">
        <v>1638</v>
      </c>
      <c r="W23" s="6133"/>
      <c r="X23" s="542" t="str">
        <f>IF(V21=0,"",VLOOKUP(V21,'Tablas Magia'!$D$6:$Z$680,7,FALSE))</f>
        <v/>
      </c>
      <c r="Y23" s="542" t="str">
        <f>IF(V21=0,"",VLOOKUP(V21,'Tablas Magia'!$D$6:$Z$680,11,FALSE))</f>
        <v/>
      </c>
      <c r="Z23" s="543" t="str">
        <f>IF(V21=0,"",VLOOKUP(V21,'Tablas Magia'!$D$6:$Z$680,15,FALSE))</f>
        <v/>
      </c>
      <c r="AA23" s="6134" t="str">
        <f>IF(V21=0,"",VLOOKUP(V21,'Tablas Magia'!$D$6:$Z$680,19,FALSE))</f>
        <v/>
      </c>
      <c r="AB23" s="6135"/>
      <c r="AC23" s="6135"/>
      <c r="AD23" s="6135"/>
      <c r="AE23" s="6135"/>
      <c r="AF23" s="6135"/>
      <c r="AG23" s="6135"/>
      <c r="AH23" s="6135"/>
      <c r="AI23" s="6135"/>
      <c r="AJ23" s="6136"/>
      <c r="AK23" s="530"/>
      <c r="AL23" s="524"/>
      <c r="AM23" s="524"/>
      <c r="AN23" s="369"/>
      <c r="AO23" s="6132" t="s">
        <v>1638</v>
      </c>
      <c r="AP23" s="6133"/>
      <c r="AQ23" s="542" t="str">
        <f>IF(AO21=0,"",VLOOKUP(AO21,'Tablas Magia'!$D$6:$Z$680,7,FALSE))</f>
        <v/>
      </c>
      <c r="AR23" s="542" t="str">
        <f>IF(AO21=0,"",VLOOKUP(AO21,'Tablas Magia'!$D$6:$Z$680,11,FALSE))</f>
        <v/>
      </c>
      <c r="AS23" s="543" t="str">
        <f>IF(AO21=0,"",VLOOKUP(AO21,'Tablas Magia'!$D$6:$Z$680,15,FALSE))</f>
        <v/>
      </c>
      <c r="AT23" s="6134" t="str">
        <f>IF(AO21=0,"",VLOOKUP(AO21,'Tablas Magia'!$D$6:$Z$680,19,FALSE))</f>
        <v/>
      </c>
      <c r="AU23" s="6135"/>
      <c r="AV23" s="6135"/>
      <c r="AW23" s="6135"/>
      <c r="AX23" s="6135"/>
      <c r="AY23" s="6135"/>
      <c r="AZ23" s="6135"/>
      <c r="BA23" s="6135"/>
      <c r="BB23" s="6135"/>
      <c r="BC23" s="6136"/>
      <c r="BD23" s="530"/>
      <c r="BE23" s="524"/>
    </row>
    <row r="24" spans="1:57" ht="12" customHeight="1" x14ac:dyDescent="0.2">
      <c r="A24" s="524"/>
      <c r="B24" s="369"/>
      <c r="C24" s="6137" t="s">
        <v>3777</v>
      </c>
      <c r="D24" s="6138"/>
      <c r="E24" s="544" t="str">
        <f>IF(C21=0,"",VLOOKUP(C21,'Tablas Magia'!$D$6:$Z$680,8,FALSE))</f>
        <v/>
      </c>
      <c r="F24" s="544" t="str">
        <f>IF(C21=0,"",VLOOKUP(C21,'Tablas Magia'!$D$6:$Z$680,12,FALSE))</f>
        <v/>
      </c>
      <c r="G24" s="545" t="str">
        <f>IF(C21=0,"",VLOOKUP(C21,'Tablas Magia'!$D$6:$Z$680,16,FALSE))</f>
        <v/>
      </c>
      <c r="H24" s="6139" t="str">
        <f>IF(C21=0,"",VLOOKUP(C21,'Tablas Magia'!$D$6:$Z$680,20,FALSE))</f>
        <v/>
      </c>
      <c r="I24" s="6140"/>
      <c r="J24" s="6140"/>
      <c r="K24" s="6140"/>
      <c r="L24" s="6140"/>
      <c r="M24" s="6140"/>
      <c r="N24" s="6140"/>
      <c r="O24" s="6140"/>
      <c r="P24" s="6140"/>
      <c r="Q24" s="6141"/>
      <c r="R24" s="530"/>
      <c r="S24" s="524"/>
      <c r="T24" s="524"/>
      <c r="U24" s="369"/>
      <c r="V24" s="6137" t="s">
        <v>3777</v>
      </c>
      <c r="W24" s="6138"/>
      <c r="X24" s="544" t="str">
        <f>IF(V21=0,"",VLOOKUP(V21,'Tablas Magia'!$D$6:$Z$680,8,FALSE))</f>
        <v/>
      </c>
      <c r="Y24" s="544" t="str">
        <f>IF(V21=0,"",VLOOKUP(V21,'Tablas Magia'!$D$6:$Z$680,12,FALSE))</f>
        <v/>
      </c>
      <c r="Z24" s="545" t="str">
        <f>IF(V21=0,"",VLOOKUP(V21,'Tablas Magia'!$D$6:$Z$680,16,FALSE))</f>
        <v/>
      </c>
      <c r="AA24" s="6139" t="str">
        <f>IF(V21=0,"",VLOOKUP(V21,'Tablas Magia'!$D$6:$Z$680,20,FALSE))</f>
        <v/>
      </c>
      <c r="AB24" s="6140"/>
      <c r="AC24" s="6140"/>
      <c r="AD24" s="6140"/>
      <c r="AE24" s="6140"/>
      <c r="AF24" s="6140"/>
      <c r="AG24" s="6140"/>
      <c r="AH24" s="6140"/>
      <c r="AI24" s="6140"/>
      <c r="AJ24" s="6141"/>
      <c r="AK24" s="530"/>
      <c r="AL24" s="524"/>
      <c r="AM24" s="524"/>
      <c r="AN24" s="369"/>
      <c r="AO24" s="6137" t="s">
        <v>3777</v>
      </c>
      <c r="AP24" s="6138"/>
      <c r="AQ24" s="544" t="str">
        <f>IF(AO21=0,"",VLOOKUP(AO21,'Tablas Magia'!$D$6:$Z$680,8,FALSE))</f>
        <v/>
      </c>
      <c r="AR24" s="544" t="str">
        <f>IF(AO21=0,"",VLOOKUP(AO21,'Tablas Magia'!$D$6:$Z$680,12,FALSE))</f>
        <v/>
      </c>
      <c r="AS24" s="545" t="str">
        <f>IF(AO21=0,"",VLOOKUP(AO21,'Tablas Magia'!$D$6:$Z$680,16,FALSE))</f>
        <v/>
      </c>
      <c r="AT24" s="6139" t="str">
        <f>IF(AO21=0,"",VLOOKUP(AO21,'Tablas Magia'!$D$6:$Z$680,20,FALSE))</f>
        <v/>
      </c>
      <c r="AU24" s="6140"/>
      <c r="AV24" s="6140"/>
      <c r="AW24" s="6140"/>
      <c r="AX24" s="6140"/>
      <c r="AY24" s="6140"/>
      <c r="AZ24" s="6140"/>
      <c r="BA24" s="6140"/>
      <c r="BB24" s="6140"/>
      <c r="BC24" s="6141"/>
      <c r="BD24" s="530"/>
      <c r="BE24" s="524"/>
    </row>
    <row r="25" spans="1:57" ht="12" customHeight="1" x14ac:dyDescent="0.2">
      <c r="A25" s="524"/>
      <c r="B25" s="369"/>
      <c r="C25" s="6132" t="s">
        <v>3778</v>
      </c>
      <c r="D25" s="6133"/>
      <c r="E25" s="542" t="str">
        <f>IF(C21=0,"",VLOOKUP(C21,'Tablas Magia'!$D$6:$Z$680,9,FALSE))</f>
        <v/>
      </c>
      <c r="F25" s="542" t="str">
        <f>IF(C21=0,"",VLOOKUP(C21,'Tablas Magia'!$D$6:$Z$680,13,FALSE))</f>
        <v/>
      </c>
      <c r="G25" s="543" t="str">
        <f>IF(C21=0,"",VLOOKUP(C21,'Tablas Magia'!$D$6:$Z$680,17,FALSE))</f>
        <v/>
      </c>
      <c r="H25" s="6134" t="str">
        <f>IF(C21=0,"",VLOOKUP(C21,'Tablas Magia'!$D$6:$Z$680,21,FALSE))</f>
        <v/>
      </c>
      <c r="I25" s="6135"/>
      <c r="J25" s="6135"/>
      <c r="K25" s="6135"/>
      <c r="L25" s="6135"/>
      <c r="M25" s="6135"/>
      <c r="N25" s="6135"/>
      <c r="O25" s="6135"/>
      <c r="P25" s="6135"/>
      <c r="Q25" s="6136"/>
      <c r="R25" s="530"/>
      <c r="S25" s="524"/>
      <c r="T25" s="524"/>
      <c r="U25" s="369"/>
      <c r="V25" s="6132" t="s">
        <v>3778</v>
      </c>
      <c r="W25" s="6133"/>
      <c r="X25" s="542" t="str">
        <f>IF(V21=0,"",VLOOKUP(V21,'Tablas Magia'!$D$6:$Z$680,9,FALSE))</f>
        <v/>
      </c>
      <c r="Y25" s="542" t="str">
        <f>IF(V21=0,"",VLOOKUP(V21,'Tablas Magia'!$D$6:$Z$680,13,FALSE))</f>
        <v/>
      </c>
      <c r="Z25" s="543" t="str">
        <f>IF(V21=0,"",VLOOKUP(V21,'Tablas Magia'!$D$6:$Z$680,17,FALSE))</f>
        <v/>
      </c>
      <c r="AA25" s="6134" t="str">
        <f>IF(V21=0,"",VLOOKUP(V21,'Tablas Magia'!$D$6:$Z$680,21,FALSE))</f>
        <v/>
      </c>
      <c r="AB25" s="6135"/>
      <c r="AC25" s="6135"/>
      <c r="AD25" s="6135"/>
      <c r="AE25" s="6135"/>
      <c r="AF25" s="6135"/>
      <c r="AG25" s="6135"/>
      <c r="AH25" s="6135"/>
      <c r="AI25" s="6135"/>
      <c r="AJ25" s="6136"/>
      <c r="AK25" s="530"/>
      <c r="AL25" s="524"/>
      <c r="AM25" s="524"/>
      <c r="AN25" s="369"/>
      <c r="AO25" s="6132" t="s">
        <v>3778</v>
      </c>
      <c r="AP25" s="6133"/>
      <c r="AQ25" s="542" t="str">
        <f>IF(AO21=0,"",VLOOKUP(AO21,'Tablas Magia'!$D$6:$Z$680,9,FALSE))</f>
        <v/>
      </c>
      <c r="AR25" s="542" t="str">
        <f>IF(AO21=0,"",VLOOKUP(AO21,'Tablas Magia'!$D$6:$Z$680,13,FALSE))</f>
        <v/>
      </c>
      <c r="AS25" s="543" t="str">
        <f>IF(AO21=0,"",VLOOKUP(AO21,'Tablas Magia'!$D$6:$Z$680,17,FALSE))</f>
        <v/>
      </c>
      <c r="AT25" s="6134" t="str">
        <f>IF(AO21=0,"",VLOOKUP(AO21,'Tablas Magia'!$D$6:$Z$680,21,FALSE))</f>
        <v/>
      </c>
      <c r="AU25" s="6135"/>
      <c r="AV25" s="6135"/>
      <c r="AW25" s="6135"/>
      <c r="AX25" s="6135"/>
      <c r="AY25" s="6135"/>
      <c r="AZ25" s="6135"/>
      <c r="BA25" s="6135"/>
      <c r="BB25" s="6135"/>
      <c r="BC25" s="6136"/>
      <c r="BD25" s="530"/>
      <c r="BE25" s="524"/>
    </row>
    <row r="26" spans="1:57" ht="12" customHeight="1" thickBot="1" x14ac:dyDescent="0.25">
      <c r="A26" s="524"/>
      <c r="B26" s="369"/>
      <c r="C26" s="6142" t="s">
        <v>3779</v>
      </c>
      <c r="D26" s="6143"/>
      <c r="E26" s="546" t="str">
        <f>IF(C21=0,"",VLOOKUP(C21,'Tablas Magia'!$D$6:$Z$680,10,FALSE))</f>
        <v/>
      </c>
      <c r="F26" s="546" t="str">
        <f>IF(C21=0,"",VLOOKUP(C21,'Tablas Magia'!$D$6:$Z$680,14,FALSE))</f>
        <v/>
      </c>
      <c r="G26" s="547" t="str">
        <f>IF(C21=0,"",VLOOKUP(C21,'Tablas Magia'!$D$6:$Z$680,18,FALSE))</f>
        <v/>
      </c>
      <c r="H26" s="6144" t="str">
        <f>IF(C21=0,"",VLOOKUP(C21,'Tablas Magia'!$D$6:$Z$680,22,FALSE))</f>
        <v/>
      </c>
      <c r="I26" s="6145"/>
      <c r="J26" s="6145"/>
      <c r="K26" s="6145"/>
      <c r="L26" s="6145"/>
      <c r="M26" s="6145"/>
      <c r="N26" s="6145"/>
      <c r="O26" s="6145"/>
      <c r="P26" s="6145"/>
      <c r="Q26" s="6146"/>
      <c r="R26" s="530"/>
      <c r="S26" s="524"/>
      <c r="T26" s="524"/>
      <c r="U26" s="369"/>
      <c r="V26" s="6142" t="s">
        <v>3779</v>
      </c>
      <c r="W26" s="6143"/>
      <c r="X26" s="546" t="str">
        <f>IF(V21=0,"",VLOOKUP(V21,'Tablas Magia'!$D$6:$Z$680,10,FALSE))</f>
        <v/>
      </c>
      <c r="Y26" s="546" t="str">
        <f>IF(V21=0,"",VLOOKUP(V21,'Tablas Magia'!$D$6:$Z$680,14,FALSE))</f>
        <v/>
      </c>
      <c r="Z26" s="547" t="str">
        <f>IF(V21=0,"",VLOOKUP(V21,'Tablas Magia'!$D$6:$Z$680,18,FALSE))</f>
        <v/>
      </c>
      <c r="AA26" s="6144" t="str">
        <f>IF(V21=0,"",VLOOKUP(V21,'Tablas Magia'!$D$6:$Z$680,22,FALSE))</f>
        <v/>
      </c>
      <c r="AB26" s="6145"/>
      <c r="AC26" s="6145"/>
      <c r="AD26" s="6145"/>
      <c r="AE26" s="6145"/>
      <c r="AF26" s="6145"/>
      <c r="AG26" s="6145"/>
      <c r="AH26" s="6145"/>
      <c r="AI26" s="6145"/>
      <c r="AJ26" s="6146"/>
      <c r="AK26" s="530"/>
      <c r="AL26" s="524"/>
      <c r="AM26" s="524"/>
      <c r="AN26" s="369"/>
      <c r="AO26" s="6142" t="s">
        <v>3779</v>
      </c>
      <c r="AP26" s="6143"/>
      <c r="AQ26" s="546" t="str">
        <f>IF(AO21=0,"",VLOOKUP(AO21,'Tablas Magia'!$D$6:$Z$680,10,FALSE))</f>
        <v/>
      </c>
      <c r="AR26" s="546" t="str">
        <f>IF(AO21=0,"",VLOOKUP(AO21,'Tablas Magia'!$D$6:$Z$680,14,FALSE))</f>
        <v/>
      </c>
      <c r="AS26" s="547" t="str">
        <f>IF(AO21=0,"",VLOOKUP(AO21,'Tablas Magia'!$D$6:$Z$680,18,FALSE))</f>
        <v/>
      </c>
      <c r="AT26" s="6144" t="str">
        <f>IF(AO21=0,"",VLOOKUP(AO21,'Tablas Magia'!$D$6:$Z$680,22,FALSE))</f>
        <v/>
      </c>
      <c r="AU26" s="6145"/>
      <c r="AV26" s="6145"/>
      <c r="AW26" s="6145"/>
      <c r="AX26" s="6145"/>
      <c r="AY26" s="6145"/>
      <c r="AZ26" s="6145"/>
      <c r="BA26" s="6145"/>
      <c r="BB26" s="6145"/>
      <c r="BC26" s="6146"/>
      <c r="BD26" s="530"/>
      <c r="BE26" s="524"/>
    </row>
    <row r="27" spans="1:57" ht="12" customHeight="1" x14ac:dyDescent="0.2">
      <c r="A27" s="524"/>
      <c r="B27" s="369"/>
      <c r="C27" s="6147" t="str">
        <f>IF(C21=0,"",VLOOKUP(C21,'Tablas Magia'!$D$6:$Z$680,23,FALSE))</f>
        <v/>
      </c>
      <c r="D27" s="6148"/>
      <c r="E27" s="6148"/>
      <c r="F27" s="6148"/>
      <c r="G27" s="6148"/>
      <c r="H27" s="6148"/>
      <c r="I27" s="6148"/>
      <c r="J27" s="6148"/>
      <c r="K27" s="6148"/>
      <c r="L27" s="6148"/>
      <c r="M27" s="6148"/>
      <c r="N27" s="6148"/>
      <c r="O27" s="6148"/>
      <c r="P27" s="6148"/>
      <c r="Q27" s="6149"/>
      <c r="R27" s="530"/>
      <c r="S27" s="524"/>
      <c r="T27" s="524"/>
      <c r="U27" s="369"/>
      <c r="V27" s="6147" t="str">
        <f>IF(V21=0,"",VLOOKUP(V21,'Tablas Magia'!$D$6:$Z$680,23,FALSE))</f>
        <v/>
      </c>
      <c r="W27" s="6148"/>
      <c r="X27" s="6148"/>
      <c r="Y27" s="6148"/>
      <c r="Z27" s="6148"/>
      <c r="AA27" s="6148"/>
      <c r="AB27" s="6148"/>
      <c r="AC27" s="6148"/>
      <c r="AD27" s="6148"/>
      <c r="AE27" s="6148"/>
      <c r="AF27" s="6148"/>
      <c r="AG27" s="6148"/>
      <c r="AH27" s="6148"/>
      <c r="AI27" s="6148"/>
      <c r="AJ27" s="6149"/>
      <c r="AK27" s="530"/>
      <c r="AL27" s="524"/>
      <c r="AM27" s="524"/>
      <c r="AN27" s="369"/>
      <c r="AO27" s="6147" t="str">
        <f>IF(AO21=0,"",VLOOKUP(AO21,'Tablas Magia'!$D$6:$Z$680,23,FALSE))</f>
        <v/>
      </c>
      <c r="AP27" s="6148"/>
      <c r="AQ27" s="6148"/>
      <c r="AR27" s="6148"/>
      <c r="AS27" s="6148"/>
      <c r="AT27" s="6148"/>
      <c r="AU27" s="6148"/>
      <c r="AV27" s="6148"/>
      <c r="AW27" s="6148"/>
      <c r="AX27" s="6148"/>
      <c r="AY27" s="6148"/>
      <c r="AZ27" s="6148"/>
      <c r="BA27" s="6148"/>
      <c r="BB27" s="6148"/>
      <c r="BC27" s="6149"/>
      <c r="BD27" s="530"/>
      <c r="BE27" s="524"/>
    </row>
    <row r="28" spans="1:57" ht="12" customHeight="1" x14ac:dyDescent="0.2">
      <c r="A28" s="524"/>
      <c r="B28" s="369"/>
      <c r="C28" s="6150"/>
      <c r="D28" s="6151"/>
      <c r="E28" s="6151"/>
      <c r="F28" s="6151"/>
      <c r="G28" s="6151"/>
      <c r="H28" s="6151"/>
      <c r="I28" s="6151"/>
      <c r="J28" s="6151"/>
      <c r="K28" s="6151"/>
      <c r="L28" s="6151"/>
      <c r="M28" s="6151"/>
      <c r="N28" s="6151"/>
      <c r="O28" s="6151"/>
      <c r="P28" s="6151"/>
      <c r="Q28" s="6152"/>
      <c r="R28" s="530"/>
      <c r="S28" s="524"/>
      <c r="T28" s="524"/>
      <c r="U28" s="369"/>
      <c r="V28" s="6150"/>
      <c r="W28" s="6151"/>
      <c r="X28" s="6151"/>
      <c r="Y28" s="6151"/>
      <c r="Z28" s="6151"/>
      <c r="AA28" s="6151"/>
      <c r="AB28" s="6151"/>
      <c r="AC28" s="6151"/>
      <c r="AD28" s="6151"/>
      <c r="AE28" s="6151"/>
      <c r="AF28" s="6151"/>
      <c r="AG28" s="6151"/>
      <c r="AH28" s="6151"/>
      <c r="AI28" s="6151"/>
      <c r="AJ28" s="6152"/>
      <c r="AK28" s="530"/>
      <c r="AL28" s="524"/>
      <c r="AM28" s="524"/>
      <c r="AN28" s="369"/>
      <c r="AO28" s="6150"/>
      <c r="AP28" s="6151"/>
      <c r="AQ28" s="6151"/>
      <c r="AR28" s="6151"/>
      <c r="AS28" s="6151"/>
      <c r="AT28" s="6151"/>
      <c r="AU28" s="6151"/>
      <c r="AV28" s="6151"/>
      <c r="AW28" s="6151"/>
      <c r="AX28" s="6151"/>
      <c r="AY28" s="6151"/>
      <c r="AZ28" s="6151"/>
      <c r="BA28" s="6151"/>
      <c r="BB28" s="6151"/>
      <c r="BC28" s="6152"/>
      <c r="BD28" s="530"/>
      <c r="BE28" s="524"/>
    </row>
    <row r="29" spans="1:57" ht="12" customHeight="1" x14ac:dyDescent="0.2">
      <c r="A29" s="524"/>
      <c r="B29" s="369"/>
      <c r="C29" s="6150"/>
      <c r="D29" s="6151"/>
      <c r="E29" s="6151"/>
      <c r="F29" s="6151"/>
      <c r="G29" s="6151"/>
      <c r="H29" s="6151"/>
      <c r="I29" s="6151"/>
      <c r="J29" s="6151"/>
      <c r="K29" s="6151"/>
      <c r="L29" s="6151"/>
      <c r="M29" s="6151"/>
      <c r="N29" s="6151"/>
      <c r="O29" s="6151"/>
      <c r="P29" s="6151"/>
      <c r="Q29" s="6152"/>
      <c r="R29" s="530"/>
      <c r="S29" s="524"/>
      <c r="T29" s="524"/>
      <c r="U29" s="369"/>
      <c r="V29" s="6150"/>
      <c r="W29" s="6151"/>
      <c r="X29" s="6151"/>
      <c r="Y29" s="6151"/>
      <c r="Z29" s="6151"/>
      <c r="AA29" s="6151"/>
      <c r="AB29" s="6151"/>
      <c r="AC29" s="6151"/>
      <c r="AD29" s="6151"/>
      <c r="AE29" s="6151"/>
      <c r="AF29" s="6151"/>
      <c r="AG29" s="6151"/>
      <c r="AH29" s="6151"/>
      <c r="AI29" s="6151"/>
      <c r="AJ29" s="6152"/>
      <c r="AK29" s="530"/>
      <c r="AL29" s="524"/>
      <c r="AM29" s="524"/>
      <c r="AN29" s="369"/>
      <c r="AO29" s="6150"/>
      <c r="AP29" s="6151"/>
      <c r="AQ29" s="6151"/>
      <c r="AR29" s="6151"/>
      <c r="AS29" s="6151"/>
      <c r="AT29" s="6151"/>
      <c r="AU29" s="6151"/>
      <c r="AV29" s="6151"/>
      <c r="AW29" s="6151"/>
      <c r="AX29" s="6151"/>
      <c r="AY29" s="6151"/>
      <c r="AZ29" s="6151"/>
      <c r="BA29" s="6151"/>
      <c r="BB29" s="6151"/>
      <c r="BC29" s="6152"/>
      <c r="BD29" s="530"/>
      <c r="BE29" s="524"/>
    </row>
    <row r="30" spans="1:57" ht="12" customHeight="1" thickBot="1" x14ac:dyDescent="0.25">
      <c r="A30" s="524"/>
      <c r="B30" s="369"/>
      <c r="C30" s="6153"/>
      <c r="D30" s="6154"/>
      <c r="E30" s="6154"/>
      <c r="F30" s="6154"/>
      <c r="G30" s="6154"/>
      <c r="H30" s="6154"/>
      <c r="I30" s="6154"/>
      <c r="J30" s="6154"/>
      <c r="K30" s="6154"/>
      <c r="L30" s="6154"/>
      <c r="M30" s="6154"/>
      <c r="N30" s="6154"/>
      <c r="O30" s="6154"/>
      <c r="P30" s="6154"/>
      <c r="Q30" s="6155"/>
      <c r="R30" s="530"/>
      <c r="S30" s="524"/>
      <c r="T30" s="524"/>
      <c r="U30" s="369"/>
      <c r="V30" s="6153"/>
      <c r="W30" s="6154"/>
      <c r="X30" s="6154"/>
      <c r="Y30" s="6154"/>
      <c r="Z30" s="6154"/>
      <c r="AA30" s="6154"/>
      <c r="AB30" s="6154"/>
      <c r="AC30" s="6154"/>
      <c r="AD30" s="6154"/>
      <c r="AE30" s="6154"/>
      <c r="AF30" s="6154"/>
      <c r="AG30" s="6154"/>
      <c r="AH30" s="6154"/>
      <c r="AI30" s="6154"/>
      <c r="AJ30" s="6155"/>
      <c r="AK30" s="530"/>
      <c r="AL30" s="524"/>
      <c r="AM30" s="524"/>
      <c r="AN30" s="369"/>
      <c r="AO30" s="6153"/>
      <c r="AP30" s="6154"/>
      <c r="AQ30" s="6154"/>
      <c r="AR30" s="6154"/>
      <c r="AS30" s="6154"/>
      <c r="AT30" s="6154"/>
      <c r="AU30" s="6154"/>
      <c r="AV30" s="6154"/>
      <c r="AW30" s="6154"/>
      <c r="AX30" s="6154"/>
      <c r="AY30" s="6154"/>
      <c r="AZ30" s="6154"/>
      <c r="BA30" s="6154"/>
      <c r="BB30" s="6154"/>
      <c r="BC30" s="6155"/>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58"/>
      <c r="D32" s="6159"/>
      <c r="E32" s="6159"/>
      <c r="F32" s="6159"/>
      <c r="G32" s="6159"/>
      <c r="H32" s="537" t="s">
        <v>1597</v>
      </c>
      <c r="I32" s="538" t="str">
        <f>IF(C32=0,"",VLOOKUP(C32,'Tablas Magia'!$D$6:$Z$680,3,FALSE))</f>
        <v/>
      </c>
      <c r="J32" s="6160" t="s">
        <v>6888</v>
      </c>
      <c r="K32" s="6160"/>
      <c r="L32" s="6160"/>
      <c r="M32" s="6161" t="str">
        <f>IF(C32=0,"",VLOOKUP(C32,'Tablas Magia'!$D$6:$Z$680,2,FALSE))</f>
        <v/>
      </c>
      <c r="N32" s="6161"/>
      <c r="O32" s="6161"/>
      <c r="P32" s="6161"/>
      <c r="Q32" s="6162"/>
      <c r="R32" s="530"/>
      <c r="S32" s="524"/>
      <c r="T32" s="524"/>
      <c r="U32" s="369"/>
      <c r="V32" s="6158"/>
      <c r="W32" s="6159"/>
      <c r="X32" s="6159"/>
      <c r="Y32" s="6159"/>
      <c r="Z32" s="6159"/>
      <c r="AA32" s="537" t="s">
        <v>1597</v>
      </c>
      <c r="AB32" s="538" t="str">
        <f>IF(V32=0,"",VLOOKUP(V32,'Tablas Magia'!$D$6:$Z$680,3,FALSE))</f>
        <v/>
      </c>
      <c r="AC32" s="6160" t="s">
        <v>6888</v>
      </c>
      <c r="AD32" s="6160"/>
      <c r="AE32" s="6160"/>
      <c r="AF32" s="6161" t="str">
        <f>IF(V32=0,"",VLOOKUP(V32,'Tablas Magia'!$D$6:$Z$680,2,FALSE))</f>
        <v/>
      </c>
      <c r="AG32" s="6161"/>
      <c r="AH32" s="6161"/>
      <c r="AI32" s="6161"/>
      <c r="AJ32" s="6162"/>
      <c r="AK32" s="530"/>
      <c r="AL32" s="524"/>
      <c r="AM32" s="524"/>
      <c r="AN32" s="369"/>
      <c r="AO32" s="6158"/>
      <c r="AP32" s="6159"/>
      <c r="AQ32" s="6159"/>
      <c r="AR32" s="6159"/>
      <c r="AS32" s="6159"/>
      <c r="AT32" s="537" t="s">
        <v>1597</v>
      </c>
      <c r="AU32" s="538" t="str">
        <f>IF(AO32=0,"",VLOOKUP(AO32,'Tablas Magia'!$D$6:$Z$680,3,FALSE))</f>
        <v/>
      </c>
      <c r="AV32" s="6160" t="s">
        <v>6888</v>
      </c>
      <c r="AW32" s="6160"/>
      <c r="AX32" s="6160"/>
      <c r="AY32" s="6161" t="str">
        <f>IF(AO32=0,"",VLOOKUP(AO32,'Tablas Magia'!$D$6:$Z$680,2,FALSE))</f>
        <v/>
      </c>
      <c r="AZ32" s="6161"/>
      <c r="BA32" s="6161"/>
      <c r="BB32" s="6161"/>
      <c r="BC32" s="6162"/>
      <c r="BD32" s="530"/>
      <c r="BE32" s="524"/>
    </row>
    <row r="33" spans="1:57" ht="12" customHeight="1" x14ac:dyDescent="0.2">
      <c r="A33" s="524"/>
      <c r="B33" s="369"/>
      <c r="C33" s="6156" t="s">
        <v>6889</v>
      </c>
      <c r="D33" s="6157"/>
      <c r="E33" s="539" t="s">
        <v>6890</v>
      </c>
      <c r="F33" s="539" t="s">
        <v>1783</v>
      </c>
      <c r="G33" s="539" t="s">
        <v>3227</v>
      </c>
      <c r="H33" s="540" t="s">
        <v>2121</v>
      </c>
      <c r="I33" s="6130" t="str">
        <f>IF(C32=0,"",VLOOKUP(C32,'Tablas Magia'!$D$6:$Z$680,5,FALSE))</f>
        <v/>
      </c>
      <c r="J33" s="6130"/>
      <c r="K33" s="6129" t="s">
        <v>6891</v>
      </c>
      <c r="L33" s="6129"/>
      <c r="M33" s="6130" t="str">
        <f>IF(C32=0,"",VLOOKUP(C32,'Tablas Magia'!$D$6:$Z$680,6,FALSE))</f>
        <v/>
      </c>
      <c r="N33" s="6130"/>
      <c r="O33" s="6131" t="s">
        <v>6892</v>
      </c>
      <c r="P33" s="6131"/>
      <c r="Q33" s="541" t="str">
        <f>IF(C32=0,"",VLOOKUP(C32,'Tablas Magia'!$D$6:$Z$680,4,FALSE))</f>
        <v/>
      </c>
      <c r="R33" s="530"/>
      <c r="S33" s="524"/>
      <c r="T33" s="524"/>
      <c r="U33" s="369"/>
      <c r="V33" s="6156" t="s">
        <v>6889</v>
      </c>
      <c r="W33" s="6157"/>
      <c r="X33" s="539" t="s">
        <v>6890</v>
      </c>
      <c r="Y33" s="539" t="s">
        <v>1783</v>
      </c>
      <c r="Z33" s="539" t="s">
        <v>3227</v>
      </c>
      <c r="AA33" s="540" t="s">
        <v>2121</v>
      </c>
      <c r="AB33" s="6130" t="str">
        <f>IF(V32=0,"",VLOOKUP(V32,'Tablas Magia'!$D$6:$Z$680,5,FALSE))</f>
        <v/>
      </c>
      <c r="AC33" s="6130"/>
      <c r="AD33" s="6129" t="s">
        <v>6891</v>
      </c>
      <c r="AE33" s="6129"/>
      <c r="AF33" s="6130" t="str">
        <f>IF(V32=0,"",VLOOKUP(V32,'Tablas Magia'!$D$6:$Z$680,6,FALSE))</f>
        <v/>
      </c>
      <c r="AG33" s="6130"/>
      <c r="AH33" s="6131" t="s">
        <v>6892</v>
      </c>
      <c r="AI33" s="6131"/>
      <c r="AJ33" s="541" t="str">
        <f>IF(V32=0,"",VLOOKUP(V32,'Tablas Magia'!$D$6:$Z$680,4,FALSE))</f>
        <v/>
      </c>
      <c r="AK33" s="530"/>
      <c r="AL33" s="524"/>
      <c r="AM33" s="524"/>
      <c r="AN33" s="369"/>
      <c r="AO33" s="6156" t="s">
        <v>6889</v>
      </c>
      <c r="AP33" s="6157"/>
      <c r="AQ33" s="539" t="s">
        <v>6890</v>
      </c>
      <c r="AR33" s="539" t="s">
        <v>1783</v>
      </c>
      <c r="AS33" s="539" t="s">
        <v>3227</v>
      </c>
      <c r="AT33" s="540" t="s">
        <v>2121</v>
      </c>
      <c r="AU33" s="6130" t="str">
        <f>IF(AO32=0,"",VLOOKUP(AO32,'Tablas Magia'!$D$6:$Z$680,5,FALSE))</f>
        <v/>
      </c>
      <c r="AV33" s="6130"/>
      <c r="AW33" s="6129" t="s">
        <v>6891</v>
      </c>
      <c r="AX33" s="6129"/>
      <c r="AY33" s="6130" t="str">
        <f>IF(AO32=0,"",VLOOKUP(AO32,'Tablas Magia'!$D$6:$Z$680,6,FALSE))</f>
        <v/>
      </c>
      <c r="AZ33" s="6130"/>
      <c r="BA33" s="6131" t="s">
        <v>6892</v>
      </c>
      <c r="BB33" s="6131"/>
      <c r="BC33" s="541" t="str">
        <f>IF(AO32=0,"",VLOOKUP(AO32,'Tablas Magia'!$D$6:$Z$680,4,FALSE))</f>
        <v/>
      </c>
      <c r="BD33" s="530"/>
      <c r="BE33" s="524"/>
    </row>
    <row r="34" spans="1:57" ht="12" customHeight="1" x14ac:dyDescent="0.2">
      <c r="A34" s="524"/>
      <c r="B34" s="369"/>
      <c r="C34" s="6132" t="s">
        <v>1638</v>
      </c>
      <c r="D34" s="6133"/>
      <c r="E34" s="542" t="str">
        <f>IF(C32=0,"",VLOOKUP(C32,'Tablas Magia'!$D$6:$Z$680,7,FALSE))</f>
        <v/>
      </c>
      <c r="F34" s="542" t="str">
        <f>IF(C32=0,"",VLOOKUP(C32,'Tablas Magia'!$D$6:$Z$680,11,FALSE))</f>
        <v/>
      </c>
      <c r="G34" s="543" t="str">
        <f>IF(C32=0,"",VLOOKUP(C32,'Tablas Magia'!$D$6:$Z$680,15,FALSE))</f>
        <v/>
      </c>
      <c r="H34" s="6134" t="str">
        <f>IF(C32=0,"",VLOOKUP(C32,'Tablas Magia'!$D$6:$Z$680,19,FALSE))</f>
        <v/>
      </c>
      <c r="I34" s="6135"/>
      <c r="J34" s="6135"/>
      <c r="K34" s="6135"/>
      <c r="L34" s="6135"/>
      <c r="M34" s="6135"/>
      <c r="N34" s="6135"/>
      <c r="O34" s="6135"/>
      <c r="P34" s="6135"/>
      <c r="Q34" s="6136"/>
      <c r="R34" s="530"/>
      <c r="S34" s="524"/>
      <c r="T34" s="524"/>
      <c r="U34" s="369"/>
      <c r="V34" s="6132" t="s">
        <v>1638</v>
      </c>
      <c r="W34" s="6133"/>
      <c r="X34" s="542" t="str">
        <f>IF(V32=0,"",VLOOKUP(V32,'Tablas Magia'!$D$6:$Z$680,7,FALSE))</f>
        <v/>
      </c>
      <c r="Y34" s="542" t="str">
        <f>IF(V32=0,"",VLOOKUP(V32,'Tablas Magia'!$D$6:$Z$680,11,FALSE))</f>
        <v/>
      </c>
      <c r="Z34" s="543" t="str">
        <f>IF(V32=0,"",VLOOKUP(V32,'Tablas Magia'!$D$6:$Z$680,15,FALSE))</f>
        <v/>
      </c>
      <c r="AA34" s="6134" t="str">
        <f>IF(V32=0,"",VLOOKUP(V32,'Tablas Magia'!$D$6:$Z$680,19,FALSE))</f>
        <v/>
      </c>
      <c r="AB34" s="6135"/>
      <c r="AC34" s="6135"/>
      <c r="AD34" s="6135"/>
      <c r="AE34" s="6135"/>
      <c r="AF34" s="6135"/>
      <c r="AG34" s="6135"/>
      <c r="AH34" s="6135"/>
      <c r="AI34" s="6135"/>
      <c r="AJ34" s="6136"/>
      <c r="AK34" s="530"/>
      <c r="AL34" s="524"/>
      <c r="AM34" s="524"/>
      <c r="AN34" s="369"/>
      <c r="AO34" s="6132" t="s">
        <v>1638</v>
      </c>
      <c r="AP34" s="6133"/>
      <c r="AQ34" s="542" t="str">
        <f>IF(AO32=0,"",VLOOKUP(AO32,'Tablas Magia'!$D$6:$Z$680,7,FALSE))</f>
        <v/>
      </c>
      <c r="AR34" s="542" t="str">
        <f>IF(AO32=0,"",VLOOKUP(AO32,'Tablas Magia'!$D$6:$Z$680,11,FALSE))</f>
        <v/>
      </c>
      <c r="AS34" s="543" t="str">
        <f>IF(AO32=0,"",VLOOKUP(AO32,'Tablas Magia'!$D$6:$Z$680,15,FALSE))</f>
        <v/>
      </c>
      <c r="AT34" s="6134" t="str">
        <f>IF(AO32=0,"",VLOOKUP(AO32,'Tablas Magia'!$D$6:$Z$680,19,FALSE))</f>
        <v/>
      </c>
      <c r="AU34" s="6135"/>
      <c r="AV34" s="6135"/>
      <c r="AW34" s="6135"/>
      <c r="AX34" s="6135"/>
      <c r="AY34" s="6135"/>
      <c r="AZ34" s="6135"/>
      <c r="BA34" s="6135"/>
      <c r="BB34" s="6135"/>
      <c r="BC34" s="6136"/>
      <c r="BD34" s="530"/>
      <c r="BE34" s="524"/>
    </row>
    <row r="35" spans="1:57" ht="12" customHeight="1" x14ac:dyDescent="0.2">
      <c r="A35" s="524"/>
      <c r="B35" s="369"/>
      <c r="C35" s="6137" t="s">
        <v>3777</v>
      </c>
      <c r="D35" s="6138"/>
      <c r="E35" s="544" t="str">
        <f>IF(C32=0,"",VLOOKUP(C32,'Tablas Magia'!$D$6:$Z$680,8,FALSE))</f>
        <v/>
      </c>
      <c r="F35" s="544" t="str">
        <f>IF(C32=0,"",VLOOKUP(C32,'Tablas Magia'!$D$6:$Z$680,12,FALSE))</f>
        <v/>
      </c>
      <c r="G35" s="545" t="str">
        <f>IF(C32=0,"",VLOOKUP(C32,'Tablas Magia'!$D$6:$Z$680,16,FALSE))</f>
        <v/>
      </c>
      <c r="H35" s="6139" t="str">
        <f>IF(C32=0,"",VLOOKUP(C32,'Tablas Magia'!$D$6:$Z$680,20,FALSE))</f>
        <v/>
      </c>
      <c r="I35" s="6140"/>
      <c r="J35" s="6140"/>
      <c r="K35" s="6140"/>
      <c r="L35" s="6140"/>
      <c r="M35" s="6140"/>
      <c r="N35" s="6140"/>
      <c r="O35" s="6140"/>
      <c r="P35" s="6140"/>
      <c r="Q35" s="6141"/>
      <c r="R35" s="530"/>
      <c r="S35" s="524"/>
      <c r="T35" s="524"/>
      <c r="U35" s="369"/>
      <c r="V35" s="6137" t="s">
        <v>3777</v>
      </c>
      <c r="W35" s="6138"/>
      <c r="X35" s="544" t="str">
        <f>IF(V32=0,"",VLOOKUP(V32,'Tablas Magia'!$D$6:$Z$680,8,FALSE))</f>
        <v/>
      </c>
      <c r="Y35" s="544" t="str">
        <f>IF(V32=0,"",VLOOKUP(V32,'Tablas Magia'!$D$6:$Z$680,12,FALSE))</f>
        <v/>
      </c>
      <c r="Z35" s="545" t="str">
        <f>IF(V32=0,"",VLOOKUP(V32,'Tablas Magia'!$D$6:$Z$680,16,FALSE))</f>
        <v/>
      </c>
      <c r="AA35" s="6139" t="str">
        <f>IF(V32=0,"",VLOOKUP(V32,'Tablas Magia'!$D$6:$Z$680,20,FALSE))</f>
        <v/>
      </c>
      <c r="AB35" s="6140"/>
      <c r="AC35" s="6140"/>
      <c r="AD35" s="6140"/>
      <c r="AE35" s="6140"/>
      <c r="AF35" s="6140"/>
      <c r="AG35" s="6140"/>
      <c r="AH35" s="6140"/>
      <c r="AI35" s="6140"/>
      <c r="AJ35" s="6141"/>
      <c r="AK35" s="530"/>
      <c r="AL35" s="524"/>
      <c r="AM35" s="524"/>
      <c r="AN35" s="369"/>
      <c r="AO35" s="6137" t="s">
        <v>3777</v>
      </c>
      <c r="AP35" s="6138"/>
      <c r="AQ35" s="544" t="str">
        <f>IF(AO32=0,"",VLOOKUP(AO32,'Tablas Magia'!$D$6:$Z$680,8,FALSE))</f>
        <v/>
      </c>
      <c r="AR35" s="544" t="str">
        <f>IF(AO32=0,"",VLOOKUP(AO32,'Tablas Magia'!$D$6:$Z$680,12,FALSE))</f>
        <v/>
      </c>
      <c r="AS35" s="545" t="str">
        <f>IF(AO32=0,"",VLOOKUP(AO32,'Tablas Magia'!$D$6:$Z$680,16,FALSE))</f>
        <v/>
      </c>
      <c r="AT35" s="6139" t="str">
        <f>IF(AO32=0,"",VLOOKUP(AO32,'Tablas Magia'!$D$6:$Z$680,20,FALSE))</f>
        <v/>
      </c>
      <c r="AU35" s="6140"/>
      <c r="AV35" s="6140"/>
      <c r="AW35" s="6140"/>
      <c r="AX35" s="6140"/>
      <c r="AY35" s="6140"/>
      <c r="AZ35" s="6140"/>
      <c r="BA35" s="6140"/>
      <c r="BB35" s="6140"/>
      <c r="BC35" s="6141"/>
      <c r="BD35" s="530"/>
      <c r="BE35" s="524"/>
    </row>
    <row r="36" spans="1:57" ht="12" customHeight="1" x14ac:dyDescent="0.2">
      <c r="A36" s="524"/>
      <c r="B36" s="369"/>
      <c r="C36" s="6132" t="s">
        <v>3778</v>
      </c>
      <c r="D36" s="6133"/>
      <c r="E36" s="542" t="str">
        <f>IF(C32=0,"",VLOOKUP(C32,'Tablas Magia'!$D$6:$Z$680,9,FALSE))</f>
        <v/>
      </c>
      <c r="F36" s="542" t="str">
        <f>IF(C32=0,"",VLOOKUP(C32,'Tablas Magia'!$D$6:$Z$680,13,FALSE))</f>
        <v/>
      </c>
      <c r="G36" s="543" t="str">
        <f>IF(C32=0,"",VLOOKUP(C32,'Tablas Magia'!$D$6:$Z$680,17,FALSE))</f>
        <v/>
      </c>
      <c r="H36" s="6134" t="str">
        <f>IF(C32=0,"",VLOOKUP(C32,'Tablas Magia'!$D$6:$Z$680,21,FALSE))</f>
        <v/>
      </c>
      <c r="I36" s="6135"/>
      <c r="J36" s="6135"/>
      <c r="K36" s="6135"/>
      <c r="L36" s="6135"/>
      <c r="M36" s="6135"/>
      <c r="N36" s="6135"/>
      <c r="O36" s="6135"/>
      <c r="P36" s="6135"/>
      <c r="Q36" s="6136"/>
      <c r="R36" s="530"/>
      <c r="S36" s="524"/>
      <c r="T36" s="524"/>
      <c r="U36" s="369"/>
      <c r="V36" s="6132" t="s">
        <v>3778</v>
      </c>
      <c r="W36" s="6133"/>
      <c r="X36" s="542" t="str">
        <f>IF(V32=0,"",VLOOKUP(V32,'Tablas Magia'!$D$6:$Z$680,9,FALSE))</f>
        <v/>
      </c>
      <c r="Y36" s="542" t="str">
        <f>IF(V32=0,"",VLOOKUP(V32,'Tablas Magia'!$D$6:$Z$680,13,FALSE))</f>
        <v/>
      </c>
      <c r="Z36" s="543" t="str">
        <f>IF(V32=0,"",VLOOKUP(V32,'Tablas Magia'!$D$6:$Z$680,17,FALSE))</f>
        <v/>
      </c>
      <c r="AA36" s="6134" t="str">
        <f>IF(V32=0,"",VLOOKUP(V32,'Tablas Magia'!$D$6:$Z$680,21,FALSE))</f>
        <v/>
      </c>
      <c r="AB36" s="6135"/>
      <c r="AC36" s="6135"/>
      <c r="AD36" s="6135"/>
      <c r="AE36" s="6135"/>
      <c r="AF36" s="6135"/>
      <c r="AG36" s="6135"/>
      <c r="AH36" s="6135"/>
      <c r="AI36" s="6135"/>
      <c r="AJ36" s="6136"/>
      <c r="AK36" s="530"/>
      <c r="AL36" s="524"/>
      <c r="AM36" s="524"/>
      <c r="AN36" s="369"/>
      <c r="AO36" s="6132" t="s">
        <v>3778</v>
      </c>
      <c r="AP36" s="6133"/>
      <c r="AQ36" s="542" t="str">
        <f>IF(AO32=0,"",VLOOKUP(AO32,'Tablas Magia'!$D$6:$Z$680,9,FALSE))</f>
        <v/>
      </c>
      <c r="AR36" s="542" t="str">
        <f>IF(AO32=0,"",VLOOKUP(AO32,'Tablas Magia'!$D$6:$Z$680,13,FALSE))</f>
        <v/>
      </c>
      <c r="AS36" s="543" t="str">
        <f>IF(AO32=0,"",VLOOKUP(AO32,'Tablas Magia'!$D$6:$Z$680,17,FALSE))</f>
        <v/>
      </c>
      <c r="AT36" s="6134" t="str">
        <f>IF(AO32=0,"",VLOOKUP(AO32,'Tablas Magia'!$D$6:$Z$680,21,FALSE))</f>
        <v/>
      </c>
      <c r="AU36" s="6135"/>
      <c r="AV36" s="6135"/>
      <c r="AW36" s="6135"/>
      <c r="AX36" s="6135"/>
      <c r="AY36" s="6135"/>
      <c r="AZ36" s="6135"/>
      <c r="BA36" s="6135"/>
      <c r="BB36" s="6135"/>
      <c r="BC36" s="6136"/>
      <c r="BD36" s="530"/>
      <c r="BE36" s="524"/>
    </row>
    <row r="37" spans="1:57" ht="12" customHeight="1" thickBot="1" x14ac:dyDescent="0.25">
      <c r="A37" s="524"/>
      <c r="B37" s="369"/>
      <c r="C37" s="6142" t="s">
        <v>3779</v>
      </c>
      <c r="D37" s="6143"/>
      <c r="E37" s="546" t="str">
        <f>IF(C32=0,"",VLOOKUP(C32,'Tablas Magia'!$D$6:$Z$680,10,FALSE))</f>
        <v/>
      </c>
      <c r="F37" s="546" t="str">
        <f>IF(C32=0,"",VLOOKUP(C32,'Tablas Magia'!$D$6:$Z$680,14,FALSE))</f>
        <v/>
      </c>
      <c r="G37" s="547" t="str">
        <f>IF(C32=0,"",VLOOKUP(C32,'Tablas Magia'!$D$6:$Z$680,18,FALSE))</f>
        <v/>
      </c>
      <c r="H37" s="6144" t="str">
        <f>IF(C32=0,"",VLOOKUP(C32,'Tablas Magia'!$D$6:$Z$680,22,FALSE))</f>
        <v/>
      </c>
      <c r="I37" s="6145"/>
      <c r="J37" s="6145"/>
      <c r="K37" s="6145"/>
      <c r="L37" s="6145"/>
      <c r="M37" s="6145"/>
      <c r="N37" s="6145"/>
      <c r="O37" s="6145"/>
      <c r="P37" s="6145"/>
      <c r="Q37" s="6146"/>
      <c r="R37" s="530"/>
      <c r="S37" s="524"/>
      <c r="T37" s="524"/>
      <c r="U37" s="369"/>
      <c r="V37" s="6142" t="s">
        <v>3779</v>
      </c>
      <c r="W37" s="6143"/>
      <c r="X37" s="546" t="str">
        <f>IF(V32=0,"",VLOOKUP(V32,'Tablas Magia'!$D$6:$Z$680,10,FALSE))</f>
        <v/>
      </c>
      <c r="Y37" s="546" t="str">
        <f>IF(V32=0,"",VLOOKUP(V32,'Tablas Magia'!$D$6:$Z$680,14,FALSE))</f>
        <v/>
      </c>
      <c r="Z37" s="547" t="str">
        <f>IF(V32=0,"",VLOOKUP(V32,'Tablas Magia'!$D$6:$Z$680,18,FALSE))</f>
        <v/>
      </c>
      <c r="AA37" s="6144" t="str">
        <f>IF(V32=0,"",VLOOKUP(V32,'Tablas Magia'!$D$6:$Z$680,22,FALSE))</f>
        <v/>
      </c>
      <c r="AB37" s="6145"/>
      <c r="AC37" s="6145"/>
      <c r="AD37" s="6145"/>
      <c r="AE37" s="6145"/>
      <c r="AF37" s="6145"/>
      <c r="AG37" s="6145"/>
      <c r="AH37" s="6145"/>
      <c r="AI37" s="6145"/>
      <c r="AJ37" s="6146"/>
      <c r="AK37" s="530"/>
      <c r="AL37" s="524"/>
      <c r="AM37" s="524"/>
      <c r="AN37" s="369"/>
      <c r="AO37" s="6142" t="s">
        <v>3779</v>
      </c>
      <c r="AP37" s="6143"/>
      <c r="AQ37" s="546" t="str">
        <f>IF(AO32=0,"",VLOOKUP(AO32,'Tablas Magia'!$D$6:$Z$680,10,FALSE))</f>
        <v/>
      </c>
      <c r="AR37" s="546" t="str">
        <f>IF(AO32=0,"",VLOOKUP(AO32,'Tablas Magia'!$D$6:$Z$680,14,FALSE))</f>
        <v/>
      </c>
      <c r="AS37" s="547" t="str">
        <f>IF(AO32=0,"",VLOOKUP(AO32,'Tablas Magia'!$D$6:$Z$680,18,FALSE))</f>
        <v/>
      </c>
      <c r="AT37" s="6144" t="str">
        <f>IF(AO32=0,"",VLOOKUP(AO32,'Tablas Magia'!$D$6:$Z$680,22,FALSE))</f>
        <v/>
      </c>
      <c r="AU37" s="6145"/>
      <c r="AV37" s="6145"/>
      <c r="AW37" s="6145"/>
      <c r="AX37" s="6145"/>
      <c r="AY37" s="6145"/>
      <c r="AZ37" s="6145"/>
      <c r="BA37" s="6145"/>
      <c r="BB37" s="6145"/>
      <c r="BC37" s="6146"/>
      <c r="BD37" s="530"/>
      <c r="BE37" s="524"/>
    </row>
    <row r="38" spans="1:57" ht="12" customHeight="1" x14ac:dyDescent="0.2">
      <c r="A38" s="524"/>
      <c r="B38" s="369"/>
      <c r="C38" s="6147" t="str">
        <f>IF(C32=0,"",VLOOKUP(C32,'Tablas Magia'!$D$6:$Z$680,23,FALSE))</f>
        <v/>
      </c>
      <c r="D38" s="6148"/>
      <c r="E38" s="6148"/>
      <c r="F38" s="6148"/>
      <c r="G38" s="6148"/>
      <c r="H38" s="6148"/>
      <c r="I38" s="6148"/>
      <c r="J38" s="6148"/>
      <c r="K38" s="6148"/>
      <c r="L38" s="6148"/>
      <c r="M38" s="6148"/>
      <c r="N38" s="6148"/>
      <c r="O38" s="6148"/>
      <c r="P38" s="6148"/>
      <c r="Q38" s="6149"/>
      <c r="R38" s="530"/>
      <c r="S38" s="524"/>
      <c r="T38" s="524"/>
      <c r="U38" s="369"/>
      <c r="V38" s="6147" t="str">
        <f>IF(V32=0,"",VLOOKUP(V32,'Tablas Magia'!$D$6:$Z$680,23,FALSE))</f>
        <v/>
      </c>
      <c r="W38" s="6148"/>
      <c r="X38" s="6148"/>
      <c r="Y38" s="6148"/>
      <c r="Z38" s="6148"/>
      <c r="AA38" s="6148"/>
      <c r="AB38" s="6148"/>
      <c r="AC38" s="6148"/>
      <c r="AD38" s="6148"/>
      <c r="AE38" s="6148"/>
      <c r="AF38" s="6148"/>
      <c r="AG38" s="6148"/>
      <c r="AH38" s="6148"/>
      <c r="AI38" s="6148"/>
      <c r="AJ38" s="6149"/>
      <c r="AK38" s="530"/>
      <c r="AL38" s="524"/>
      <c r="AM38" s="524"/>
      <c r="AN38" s="369"/>
      <c r="AO38" s="6147" t="str">
        <f>IF(AO32=0,"",VLOOKUP(AO32,'Tablas Magia'!$D$6:$Z$680,23,FALSE))</f>
        <v/>
      </c>
      <c r="AP38" s="6148"/>
      <c r="AQ38" s="6148"/>
      <c r="AR38" s="6148"/>
      <c r="AS38" s="6148"/>
      <c r="AT38" s="6148"/>
      <c r="AU38" s="6148"/>
      <c r="AV38" s="6148"/>
      <c r="AW38" s="6148"/>
      <c r="AX38" s="6148"/>
      <c r="AY38" s="6148"/>
      <c r="AZ38" s="6148"/>
      <c r="BA38" s="6148"/>
      <c r="BB38" s="6148"/>
      <c r="BC38" s="6149"/>
      <c r="BD38" s="530"/>
      <c r="BE38" s="524"/>
    </row>
    <row r="39" spans="1:57" ht="12" customHeight="1" x14ac:dyDescent="0.2">
      <c r="A39" s="524"/>
      <c r="B39" s="369"/>
      <c r="C39" s="6150"/>
      <c r="D39" s="6151"/>
      <c r="E39" s="6151"/>
      <c r="F39" s="6151"/>
      <c r="G39" s="6151"/>
      <c r="H39" s="6151"/>
      <c r="I39" s="6151"/>
      <c r="J39" s="6151"/>
      <c r="K39" s="6151"/>
      <c r="L39" s="6151"/>
      <c r="M39" s="6151"/>
      <c r="N39" s="6151"/>
      <c r="O39" s="6151"/>
      <c r="P39" s="6151"/>
      <c r="Q39" s="6152"/>
      <c r="R39" s="530"/>
      <c r="S39" s="524"/>
      <c r="T39" s="524"/>
      <c r="U39" s="369"/>
      <c r="V39" s="6150"/>
      <c r="W39" s="6151"/>
      <c r="X39" s="6151"/>
      <c r="Y39" s="6151"/>
      <c r="Z39" s="6151"/>
      <c r="AA39" s="6151"/>
      <c r="AB39" s="6151"/>
      <c r="AC39" s="6151"/>
      <c r="AD39" s="6151"/>
      <c r="AE39" s="6151"/>
      <c r="AF39" s="6151"/>
      <c r="AG39" s="6151"/>
      <c r="AH39" s="6151"/>
      <c r="AI39" s="6151"/>
      <c r="AJ39" s="6152"/>
      <c r="AK39" s="530"/>
      <c r="AL39" s="524"/>
      <c r="AM39" s="524"/>
      <c r="AN39" s="369"/>
      <c r="AO39" s="6150"/>
      <c r="AP39" s="6151"/>
      <c r="AQ39" s="6151"/>
      <c r="AR39" s="6151"/>
      <c r="AS39" s="6151"/>
      <c r="AT39" s="6151"/>
      <c r="AU39" s="6151"/>
      <c r="AV39" s="6151"/>
      <c r="AW39" s="6151"/>
      <c r="AX39" s="6151"/>
      <c r="AY39" s="6151"/>
      <c r="AZ39" s="6151"/>
      <c r="BA39" s="6151"/>
      <c r="BB39" s="6151"/>
      <c r="BC39" s="6152"/>
      <c r="BD39" s="530"/>
      <c r="BE39" s="524"/>
    </row>
    <row r="40" spans="1:57" ht="12" customHeight="1" x14ac:dyDescent="0.2">
      <c r="A40" s="524"/>
      <c r="B40" s="369"/>
      <c r="C40" s="6150"/>
      <c r="D40" s="6151"/>
      <c r="E40" s="6151"/>
      <c r="F40" s="6151"/>
      <c r="G40" s="6151"/>
      <c r="H40" s="6151"/>
      <c r="I40" s="6151"/>
      <c r="J40" s="6151"/>
      <c r="K40" s="6151"/>
      <c r="L40" s="6151"/>
      <c r="M40" s="6151"/>
      <c r="N40" s="6151"/>
      <c r="O40" s="6151"/>
      <c r="P40" s="6151"/>
      <c r="Q40" s="6152"/>
      <c r="R40" s="530"/>
      <c r="S40" s="524"/>
      <c r="T40" s="524"/>
      <c r="U40" s="369"/>
      <c r="V40" s="6150"/>
      <c r="W40" s="6151"/>
      <c r="X40" s="6151"/>
      <c r="Y40" s="6151"/>
      <c r="Z40" s="6151"/>
      <c r="AA40" s="6151"/>
      <c r="AB40" s="6151"/>
      <c r="AC40" s="6151"/>
      <c r="AD40" s="6151"/>
      <c r="AE40" s="6151"/>
      <c r="AF40" s="6151"/>
      <c r="AG40" s="6151"/>
      <c r="AH40" s="6151"/>
      <c r="AI40" s="6151"/>
      <c r="AJ40" s="6152"/>
      <c r="AK40" s="530"/>
      <c r="AL40" s="524"/>
      <c r="AM40" s="524"/>
      <c r="AN40" s="369"/>
      <c r="AO40" s="6150"/>
      <c r="AP40" s="6151"/>
      <c r="AQ40" s="6151"/>
      <c r="AR40" s="6151"/>
      <c r="AS40" s="6151"/>
      <c r="AT40" s="6151"/>
      <c r="AU40" s="6151"/>
      <c r="AV40" s="6151"/>
      <c r="AW40" s="6151"/>
      <c r="AX40" s="6151"/>
      <c r="AY40" s="6151"/>
      <c r="AZ40" s="6151"/>
      <c r="BA40" s="6151"/>
      <c r="BB40" s="6151"/>
      <c r="BC40" s="6152"/>
      <c r="BD40" s="530"/>
      <c r="BE40" s="524"/>
    </row>
    <row r="41" spans="1:57" ht="12" customHeight="1" thickBot="1" x14ac:dyDescent="0.25">
      <c r="A41" s="524"/>
      <c r="B41" s="369"/>
      <c r="C41" s="6153"/>
      <c r="D41" s="6154"/>
      <c r="E41" s="6154"/>
      <c r="F41" s="6154"/>
      <c r="G41" s="6154"/>
      <c r="H41" s="6154"/>
      <c r="I41" s="6154"/>
      <c r="J41" s="6154"/>
      <c r="K41" s="6154"/>
      <c r="L41" s="6154"/>
      <c r="M41" s="6154"/>
      <c r="N41" s="6154"/>
      <c r="O41" s="6154"/>
      <c r="P41" s="6154"/>
      <c r="Q41" s="6155"/>
      <c r="R41" s="530"/>
      <c r="S41" s="524"/>
      <c r="T41" s="524"/>
      <c r="U41" s="369"/>
      <c r="V41" s="6153"/>
      <c r="W41" s="6154"/>
      <c r="X41" s="6154"/>
      <c r="Y41" s="6154"/>
      <c r="Z41" s="6154"/>
      <c r="AA41" s="6154"/>
      <c r="AB41" s="6154"/>
      <c r="AC41" s="6154"/>
      <c r="AD41" s="6154"/>
      <c r="AE41" s="6154"/>
      <c r="AF41" s="6154"/>
      <c r="AG41" s="6154"/>
      <c r="AH41" s="6154"/>
      <c r="AI41" s="6154"/>
      <c r="AJ41" s="6155"/>
      <c r="AK41" s="530"/>
      <c r="AL41" s="524"/>
      <c r="AM41" s="524"/>
      <c r="AN41" s="369"/>
      <c r="AO41" s="6153"/>
      <c r="AP41" s="6154"/>
      <c r="AQ41" s="6154"/>
      <c r="AR41" s="6154"/>
      <c r="AS41" s="6154"/>
      <c r="AT41" s="6154"/>
      <c r="AU41" s="6154"/>
      <c r="AV41" s="6154"/>
      <c r="AW41" s="6154"/>
      <c r="AX41" s="6154"/>
      <c r="AY41" s="6154"/>
      <c r="AZ41" s="6154"/>
      <c r="BA41" s="6154"/>
      <c r="BB41" s="6154"/>
      <c r="BC41" s="6155"/>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58"/>
      <c r="D43" s="6159"/>
      <c r="E43" s="6159"/>
      <c r="F43" s="6159"/>
      <c r="G43" s="6159"/>
      <c r="H43" s="537" t="s">
        <v>1597</v>
      </c>
      <c r="I43" s="538" t="str">
        <f>IF(C43=0,"",VLOOKUP(C43,'Tablas Magia'!$D$6:$Z$680,3,FALSE))</f>
        <v/>
      </c>
      <c r="J43" s="6160" t="s">
        <v>6888</v>
      </c>
      <c r="K43" s="6160"/>
      <c r="L43" s="6160"/>
      <c r="M43" s="6161" t="str">
        <f>IF(C43=0,"",VLOOKUP(C43,'Tablas Magia'!$D$6:$Z$680,2,FALSE))</f>
        <v/>
      </c>
      <c r="N43" s="6161"/>
      <c r="O43" s="6161"/>
      <c r="P43" s="6161"/>
      <c r="Q43" s="6162"/>
      <c r="R43" s="530"/>
      <c r="S43" s="524"/>
      <c r="T43" s="524"/>
      <c r="U43" s="369"/>
      <c r="V43" s="6158"/>
      <c r="W43" s="6159"/>
      <c r="X43" s="6159"/>
      <c r="Y43" s="6159"/>
      <c r="Z43" s="6159"/>
      <c r="AA43" s="537" t="s">
        <v>1597</v>
      </c>
      <c r="AB43" s="538" t="str">
        <f>IF(V43=0,"",VLOOKUP(V43,'Tablas Magia'!$D$6:$Z$680,3,FALSE))</f>
        <v/>
      </c>
      <c r="AC43" s="6160" t="s">
        <v>6888</v>
      </c>
      <c r="AD43" s="6160"/>
      <c r="AE43" s="6160"/>
      <c r="AF43" s="6161" t="str">
        <f>IF(V43=0,"",VLOOKUP(V43,'Tablas Magia'!$D$6:$Z$680,2,FALSE))</f>
        <v/>
      </c>
      <c r="AG43" s="6161"/>
      <c r="AH43" s="6161"/>
      <c r="AI43" s="6161"/>
      <c r="AJ43" s="6162"/>
      <c r="AK43" s="530"/>
      <c r="AL43" s="524"/>
      <c r="AM43" s="524"/>
      <c r="AN43" s="369"/>
      <c r="AO43" s="6158"/>
      <c r="AP43" s="6159"/>
      <c r="AQ43" s="6159"/>
      <c r="AR43" s="6159"/>
      <c r="AS43" s="6159"/>
      <c r="AT43" s="537" t="s">
        <v>1597</v>
      </c>
      <c r="AU43" s="538" t="str">
        <f>IF(AO43=0,"",VLOOKUP(AO43,'Tablas Magia'!$D$6:$Z$680,3,FALSE))</f>
        <v/>
      </c>
      <c r="AV43" s="6160" t="s">
        <v>6888</v>
      </c>
      <c r="AW43" s="6160"/>
      <c r="AX43" s="6160"/>
      <c r="AY43" s="6161" t="str">
        <f>IF(AO43=0,"",VLOOKUP(AO43,'Tablas Magia'!$D$6:$Z$680,2,FALSE))</f>
        <v/>
      </c>
      <c r="AZ43" s="6161"/>
      <c r="BA43" s="6161"/>
      <c r="BB43" s="6161"/>
      <c r="BC43" s="6162"/>
      <c r="BD43" s="530"/>
      <c r="BE43" s="524"/>
    </row>
    <row r="44" spans="1:57" ht="12" customHeight="1" x14ac:dyDescent="0.2">
      <c r="A44" s="524"/>
      <c r="B44" s="369"/>
      <c r="C44" s="6156" t="s">
        <v>6889</v>
      </c>
      <c r="D44" s="6157"/>
      <c r="E44" s="539" t="s">
        <v>6890</v>
      </c>
      <c r="F44" s="539" t="s">
        <v>1783</v>
      </c>
      <c r="G44" s="539" t="s">
        <v>3227</v>
      </c>
      <c r="H44" s="540" t="s">
        <v>2121</v>
      </c>
      <c r="I44" s="6130" t="str">
        <f>IF(C43=0,"",VLOOKUP(C43,'Tablas Magia'!$D$6:$Z$680,5,FALSE))</f>
        <v/>
      </c>
      <c r="J44" s="6130"/>
      <c r="K44" s="6129" t="s">
        <v>6891</v>
      </c>
      <c r="L44" s="6129"/>
      <c r="M44" s="6130" t="str">
        <f>IF(C43=0,"",VLOOKUP(C43,'Tablas Magia'!$D$6:$Z$680,6,FALSE))</f>
        <v/>
      </c>
      <c r="N44" s="6130"/>
      <c r="O44" s="6131" t="s">
        <v>6892</v>
      </c>
      <c r="P44" s="6131"/>
      <c r="Q44" s="541" t="str">
        <f>IF(C43=0,"",VLOOKUP(C43,'Tablas Magia'!$D$6:$Z$680,4,FALSE))</f>
        <v/>
      </c>
      <c r="R44" s="530"/>
      <c r="S44" s="524"/>
      <c r="T44" s="524"/>
      <c r="U44" s="369"/>
      <c r="V44" s="6156" t="s">
        <v>6889</v>
      </c>
      <c r="W44" s="6157"/>
      <c r="X44" s="539" t="s">
        <v>6890</v>
      </c>
      <c r="Y44" s="539" t="s">
        <v>1783</v>
      </c>
      <c r="Z44" s="539" t="s">
        <v>3227</v>
      </c>
      <c r="AA44" s="540" t="s">
        <v>2121</v>
      </c>
      <c r="AB44" s="6130" t="str">
        <f>IF(V43=0,"",VLOOKUP(V43,'Tablas Magia'!$D$6:$Z$680,5,FALSE))</f>
        <v/>
      </c>
      <c r="AC44" s="6130"/>
      <c r="AD44" s="6129" t="s">
        <v>6891</v>
      </c>
      <c r="AE44" s="6129"/>
      <c r="AF44" s="6130" t="str">
        <f>IF(V43=0,"",VLOOKUP(V43,'Tablas Magia'!$D$6:$Z$680,6,FALSE))</f>
        <v/>
      </c>
      <c r="AG44" s="6130"/>
      <c r="AH44" s="6131" t="s">
        <v>6892</v>
      </c>
      <c r="AI44" s="6131"/>
      <c r="AJ44" s="541" t="str">
        <f>IF(V43=0,"",VLOOKUP(V43,'Tablas Magia'!$D$6:$Z$680,4,FALSE))</f>
        <v/>
      </c>
      <c r="AK44" s="530"/>
      <c r="AL44" s="524"/>
      <c r="AM44" s="524"/>
      <c r="AN44" s="369"/>
      <c r="AO44" s="6156" t="s">
        <v>6889</v>
      </c>
      <c r="AP44" s="6157"/>
      <c r="AQ44" s="539" t="s">
        <v>6890</v>
      </c>
      <c r="AR44" s="539" t="s">
        <v>1783</v>
      </c>
      <c r="AS44" s="539" t="s">
        <v>3227</v>
      </c>
      <c r="AT44" s="540" t="s">
        <v>2121</v>
      </c>
      <c r="AU44" s="6130" t="str">
        <f>IF(AO43=0,"",VLOOKUP(AO43,'Tablas Magia'!$D$6:$Z$680,5,FALSE))</f>
        <v/>
      </c>
      <c r="AV44" s="6130"/>
      <c r="AW44" s="6129" t="s">
        <v>6891</v>
      </c>
      <c r="AX44" s="6129"/>
      <c r="AY44" s="6130" t="str">
        <f>IF(AO43=0,"",VLOOKUP(AO43,'Tablas Magia'!$D$6:$Z$680,6,FALSE))</f>
        <v/>
      </c>
      <c r="AZ44" s="6130"/>
      <c r="BA44" s="6131" t="s">
        <v>6892</v>
      </c>
      <c r="BB44" s="6131"/>
      <c r="BC44" s="541" t="str">
        <f>IF(AO43=0,"",VLOOKUP(AO43,'Tablas Magia'!$D$6:$Z$680,4,FALSE))</f>
        <v/>
      </c>
      <c r="BD44" s="530"/>
      <c r="BE44" s="524"/>
    </row>
    <row r="45" spans="1:57" ht="12" customHeight="1" x14ac:dyDescent="0.2">
      <c r="A45" s="524"/>
      <c r="B45" s="369"/>
      <c r="C45" s="6132" t="s">
        <v>1638</v>
      </c>
      <c r="D45" s="6133"/>
      <c r="E45" s="542" t="str">
        <f>IF(C43=0,"",VLOOKUP(C43,'Tablas Magia'!$D$6:$Z$680,7,FALSE))</f>
        <v/>
      </c>
      <c r="F45" s="542" t="str">
        <f>IF(C43=0,"",VLOOKUP(C43,'Tablas Magia'!$D$6:$Z$680,11,FALSE))</f>
        <v/>
      </c>
      <c r="G45" s="543" t="str">
        <f>IF(C43=0,"",VLOOKUP(C43,'Tablas Magia'!$D$6:$Z$680,15,FALSE))</f>
        <v/>
      </c>
      <c r="H45" s="6134" t="str">
        <f>IF(C43=0,"",VLOOKUP(C43,'Tablas Magia'!$D$6:$Z$680,19,FALSE))</f>
        <v/>
      </c>
      <c r="I45" s="6135"/>
      <c r="J45" s="6135"/>
      <c r="K45" s="6135"/>
      <c r="L45" s="6135"/>
      <c r="M45" s="6135"/>
      <c r="N45" s="6135"/>
      <c r="O45" s="6135"/>
      <c r="P45" s="6135"/>
      <c r="Q45" s="6136"/>
      <c r="R45" s="530"/>
      <c r="S45" s="524"/>
      <c r="T45" s="524"/>
      <c r="U45" s="369"/>
      <c r="V45" s="6132" t="s">
        <v>1638</v>
      </c>
      <c r="W45" s="6133"/>
      <c r="X45" s="542" t="str">
        <f>IF(V43=0,"",VLOOKUP(V43,'Tablas Magia'!$D$6:$Z$680,7,FALSE))</f>
        <v/>
      </c>
      <c r="Y45" s="542" t="str">
        <f>IF(V43=0,"",VLOOKUP(V43,'Tablas Magia'!$D$6:$Z$680,11,FALSE))</f>
        <v/>
      </c>
      <c r="Z45" s="543" t="str">
        <f>IF(V43=0,"",VLOOKUP(V43,'Tablas Magia'!$D$6:$Z$680,15,FALSE))</f>
        <v/>
      </c>
      <c r="AA45" s="6134" t="str">
        <f>IF(V43=0,"",VLOOKUP(V43,'Tablas Magia'!$D$6:$Z$680,19,FALSE))</f>
        <v/>
      </c>
      <c r="AB45" s="6135"/>
      <c r="AC45" s="6135"/>
      <c r="AD45" s="6135"/>
      <c r="AE45" s="6135"/>
      <c r="AF45" s="6135"/>
      <c r="AG45" s="6135"/>
      <c r="AH45" s="6135"/>
      <c r="AI45" s="6135"/>
      <c r="AJ45" s="6136"/>
      <c r="AK45" s="530"/>
      <c r="AL45" s="524"/>
      <c r="AM45" s="524"/>
      <c r="AN45" s="369"/>
      <c r="AO45" s="6132" t="s">
        <v>1638</v>
      </c>
      <c r="AP45" s="6133"/>
      <c r="AQ45" s="542" t="str">
        <f>IF(AO43=0,"",VLOOKUP(AO43,'Tablas Magia'!$D$6:$Z$680,7,FALSE))</f>
        <v/>
      </c>
      <c r="AR45" s="542" t="str">
        <f>IF(AO43=0,"",VLOOKUP(AO43,'Tablas Magia'!$D$6:$Z$680,11,FALSE))</f>
        <v/>
      </c>
      <c r="AS45" s="543" t="str">
        <f>IF(AO43=0,"",VLOOKUP(AO43,'Tablas Magia'!$D$6:$Z$680,15,FALSE))</f>
        <v/>
      </c>
      <c r="AT45" s="6134" t="str">
        <f>IF(AO43=0,"",VLOOKUP(AO43,'Tablas Magia'!$D$6:$Z$680,19,FALSE))</f>
        <v/>
      </c>
      <c r="AU45" s="6135"/>
      <c r="AV45" s="6135"/>
      <c r="AW45" s="6135"/>
      <c r="AX45" s="6135"/>
      <c r="AY45" s="6135"/>
      <c r="AZ45" s="6135"/>
      <c r="BA45" s="6135"/>
      <c r="BB45" s="6135"/>
      <c r="BC45" s="6136"/>
      <c r="BD45" s="530"/>
      <c r="BE45" s="524"/>
    </row>
    <row r="46" spans="1:57" ht="12" customHeight="1" x14ac:dyDescent="0.2">
      <c r="A46" s="524"/>
      <c r="B46" s="369"/>
      <c r="C46" s="6137" t="s">
        <v>3777</v>
      </c>
      <c r="D46" s="6138"/>
      <c r="E46" s="544" t="str">
        <f>IF(C43=0,"",VLOOKUP(C43,'Tablas Magia'!$D$6:$Z$680,8,FALSE))</f>
        <v/>
      </c>
      <c r="F46" s="544" t="str">
        <f>IF(C43=0,"",VLOOKUP(C43,'Tablas Magia'!$D$6:$Z$680,12,FALSE))</f>
        <v/>
      </c>
      <c r="G46" s="545" t="str">
        <f>IF(C43=0,"",VLOOKUP(C43,'Tablas Magia'!$D$6:$Z$680,16,FALSE))</f>
        <v/>
      </c>
      <c r="H46" s="6139" t="str">
        <f>IF(C43=0,"",VLOOKUP(C43,'Tablas Magia'!$D$6:$Z$680,20,FALSE))</f>
        <v/>
      </c>
      <c r="I46" s="6140"/>
      <c r="J46" s="6140"/>
      <c r="K46" s="6140"/>
      <c r="L46" s="6140"/>
      <c r="M46" s="6140"/>
      <c r="N46" s="6140"/>
      <c r="O46" s="6140"/>
      <c r="P46" s="6140"/>
      <c r="Q46" s="6141"/>
      <c r="R46" s="530"/>
      <c r="S46" s="524"/>
      <c r="T46" s="524"/>
      <c r="U46" s="369"/>
      <c r="V46" s="6137" t="s">
        <v>3777</v>
      </c>
      <c r="W46" s="6138"/>
      <c r="X46" s="544" t="str">
        <f>IF(V43=0,"",VLOOKUP(V43,'Tablas Magia'!$D$6:$Z$680,8,FALSE))</f>
        <v/>
      </c>
      <c r="Y46" s="544" t="str">
        <f>IF(V43=0,"",VLOOKUP(V43,'Tablas Magia'!$D$6:$Z$680,12,FALSE))</f>
        <v/>
      </c>
      <c r="Z46" s="545" t="str">
        <f>IF(V43=0,"",VLOOKUP(V43,'Tablas Magia'!$D$6:$Z$680,16,FALSE))</f>
        <v/>
      </c>
      <c r="AA46" s="6139" t="str">
        <f>IF(V43=0,"",VLOOKUP(V43,'Tablas Magia'!$D$6:$Z$680,20,FALSE))</f>
        <v/>
      </c>
      <c r="AB46" s="6140"/>
      <c r="AC46" s="6140"/>
      <c r="AD46" s="6140"/>
      <c r="AE46" s="6140"/>
      <c r="AF46" s="6140"/>
      <c r="AG46" s="6140"/>
      <c r="AH46" s="6140"/>
      <c r="AI46" s="6140"/>
      <c r="AJ46" s="6141"/>
      <c r="AK46" s="530"/>
      <c r="AL46" s="524"/>
      <c r="AM46" s="524"/>
      <c r="AN46" s="369"/>
      <c r="AO46" s="6137" t="s">
        <v>3777</v>
      </c>
      <c r="AP46" s="6138"/>
      <c r="AQ46" s="544" t="str">
        <f>IF(AO43=0,"",VLOOKUP(AO43,'Tablas Magia'!$D$6:$Z$680,8,FALSE))</f>
        <v/>
      </c>
      <c r="AR46" s="544" t="str">
        <f>IF(AO43=0,"",VLOOKUP(AO43,'Tablas Magia'!$D$6:$Z$680,12,FALSE))</f>
        <v/>
      </c>
      <c r="AS46" s="545" t="str">
        <f>IF(AO43=0,"",VLOOKUP(AO43,'Tablas Magia'!$D$6:$Z$680,16,FALSE))</f>
        <v/>
      </c>
      <c r="AT46" s="6139" t="str">
        <f>IF(AO43=0,"",VLOOKUP(AO43,'Tablas Magia'!$D$6:$Z$680,20,FALSE))</f>
        <v/>
      </c>
      <c r="AU46" s="6140"/>
      <c r="AV46" s="6140"/>
      <c r="AW46" s="6140"/>
      <c r="AX46" s="6140"/>
      <c r="AY46" s="6140"/>
      <c r="AZ46" s="6140"/>
      <c r="BA46" s="6140"/>
      <c r="BB46" s="6140"/>
      <c r="BC46" s="6141"/>
      <c r="BD46" s="530"/>
      <c r="BE46" s="524"/>
    </row>
    <row r="47" spans="1:57" ht="12" customHeight="1" x14ac:dyDescent="0.2">
      <c r="A47" s="524"/>
      <c r="B47" s="369"/>
      <c r="C47" s="6132" t="s">
        <v>3778</v>
      </c>
      <c r="D47" s="6133"/>
      <c r="E47" s="542" t="str">
        <f>IF(C43=0,"",VLOOKUP(C43,'Tablas Magia'!$D$6:$Z$680,9,FALSE))</f>
        <v/>
      </c>
      <c r="F47" s="542" t="str">
        <f>IF(C43=0,"",VLOOKUP(C43,'Tablas Magia'!$D$6:$Z$680,13,FALSE))</f>
        <v/>
      </c>
      <c r="G47" s="543" t="str">
        <f>IF(C43=0,"",VLOOKUP(C43,'Tablas Magia'!$D$6:$Z$680,17,FALSE))</f>
        <v/>
      </c>
      <c r="H47" s="6134" t="str">
        <f>IF(C43=0,"",VLOOKUP(C43,'Tablas Magia'!$D$6:$Z$680,21,FALSE))</f>
        <v/>
      </c>
      <c r="I47" s="6135"/>
      <c r="J47" s="6135"/>
      <c r="K47" s="6135"/>
      <c r="L47" s="6135"/>
      <c r="M47" s="6135"/>
      <c r="N47" s="6135"/>
      <c r="O47" s="6135"/>
      <c r="P47" s="6135"/>
      <c r="Q47" s="6136"/>
      <c r="R47" s="530"/>
      <c r="S47" s="524"/>
      <c r="T47" s="524"/>
      <c r="U47" s="369"/>
      <c r="V47" s="6132" t="s">
        <v>3778</v>
      </c>
      <c r="W47" s="6133"/>
      <c r="X47" s="542" t="str">
        <f>IF(V43=0,"",VLOOKUP(V43,'Tablas Magia'!$D$6:$Z$680,9,FALSE))</f>
        <v/>
      </c>
      <c r="Y47" s="542" t="str">
        <f>IF(V43=0,"",VLOOKUP(V43,'Tablas Magia'!$D$6:$Z$680,13,FALSE))</f>
        <v/>
      </c>
      <c r="Z47" s="543" t="str">
        <f>IF(V43=0,"",VLOOKUP(V43,'Tablas Magia'!$D$6:$Z$680,17,FALSE))</f>
        <v/>
      </c>
      <c r="AA47" s="6134" t="str">
        <f>IF(V43=0,"",VLOOKUP(V43,'Tablas Magia'!$D$6:$Z$680,21,FALSE))</f>
        <v/>
      </c>
      <c r="AB47" s="6135"/>
      <c r="AC47" s="6135"/>
      <c r="AD47" s="6135"/>
      <c r="AE47" s="6135"/>
      <c r="AF47" s="6135"/>
      <c r="AG47" s="6135"/>
      <c r="AH47" s="6135"/>
      <c r="AI47" s="6135"/>
      <c r="AJ47" s="6136"/>
      <c r="AK47" s="530"/>
      <c r="AL47" s="524"/>
      <c r="AM47" s="524"/>
      <c r="AN47" s="369"/>
      <c r="AO47" s="6132" t="s">
        <v>3778</v>
      </c>
      <c r="AP47" s="6133"/>
      <c r="AQ47" s="542" t="str">
        <f>IF(AO43=0,"",VLOOKUP(AO43,'Tablas Magia'!$D$6:$Z$680,9,FALSE))</f>
        <v/>
      </c>
      <c r="AR47" s="542" t="str">
        <f>IF(AO43=0,"",VLOOKUP(AO43,'Tablas Magia'!$D$6:$Z$680,13,FALSE))</f>
        <v/>
      </c>
      <c r="AS47" s="543" t="str">
        <f>IF(AO43=0,"",VLOOKUP(AO43,'Tablas Magia'!$D$6:$Z$680,17,FALSE))</f>
        <v/>
      </c>
      <c r="AT47" s="6134" t="str">
        <f>IF(AO43=0,"",VLOOKUP(AO43,'Tablas Magia'!$D$6:$Z$680,21,FALSE))</f>
        <v/>
      </c>
      <c r="AU47" s="6135"/>
      <c r="AV47" s="6135"/>
      <c r="AW47" s="6135"/>
      <c r="AX47" s="6135"/>
      <c r="AY47" s="6135"/>
      <c r="AZ47" s="6135"/>
      <c r="BA47" s="6135"/>
      <c r="BB47" s="6135"/>
      <c r="BC47" s="6136"/>
      <c r="BD47" s="530"/>
      <c r="BE47" s="524"/>
    </row>
    <row r="48" spans="1:57" ht="12" customHeight="1" thickBot="1" x14ac:dyDescent="0.25">
      <c r="A48" s="524"/>
      <c r="B48" s="369"/>
      <c r="C48" s="6142" t="s">
        <v>3779</v>
      </c>
      <c r="D48" s="6143"/>
      <c r="E48" s="546" t="str">
        <f>IF(C43=0,"",VLOOKUP(C43,'Tablas Magia'!$D$6:$Z$680,10,FALSE))</f>
        <v/>
      </c>
      <c r="F48" s="546" t="str">
        <f>IF(C43=0,"",VLOOKUP(C43,'Tablas Magia'!$D$6:$Z$680,14,FALSE))</f>
        <v/>
      </c>
      <c r="G48" s="547" t="str">
        <f>IF(C43=0,"",VLOOKUP(C43,'Tablas Magia'!$D$6:$Z$680,18,FALSE))</f>
        <v/>
      </c>
      <c r="H48" s="6144" t="str">
        <f>IF(C43=0,"",VLOOKUP(C43,'Tablas Magia'!$D$6:$Z$680,22,FALSE))</f>
        <v/>
      </c>
      <c r="I48" s="6145"/>
      <c r="J48" s="6145"/>
      <c r="K48" s="6145"/>
      <c r="L48" s="6145"/>
      <c r="M48" s="6145"/>
      <c r="N48" s="6145"/>
      <c r="O48" s="6145"/>
      <c r="P48" s="6145"/>
      <c r="Q48" s="6146"/>
      <c r="R48" s="530"/>
      <c r="S48" s="524"/>
      <c r="T48" s="524"/>
      <c r="U48" s="369"/>
      <c r="V48" s="6142" t="s">
        <v>3779</v>
      </c>
      <c r="W48" s="6143"/>
      <c r="X48" s="546" t="str">
        <f>IF(V43=0,"",VLOOKUP(V43,'Tablas Magia'!$D$6:$Z$680,10,FALSE))</f>
        <v/>
      </c>
      <c r="Y48" s="546" t="str">
        <f>IF(V43=0,"",VLOOKUP(V43,'Tablas Magia'!$D$6:$Z$680,14,FALSE))</f>
        <v/>
      </c>
      <c r="Z48" s="547" t="str">
        <f>IF(V43=0,"",VLOOKUP(V43,'Tablas Magia'!$D$6:$Z$680,18,FALSE))</f>
        <v/>
      </c>
      <c r="AA48" s="6144" t="str">
        <f>IF(V43=0,"",VLOOKUP(V43,'Tablas Magia'!$D$6:$Z$680,22,FALSE))</f>
        <v/>
      </c>
      <c r="AB48" s="6145"/>
      <c r="AC48" s="6145"/>
      <c r="AD48" s="6145"/>
      <c r="AE48" s="6145"/>
      <c r="AF48" s="6145"/>
      <c r="AG48" s="6145"/>
      <c r="AH48" s="6145"/>
      <c r="AI48" s="6145"/>
      <c r="AJ48" s="6146"/>
      <c r="AK48" s="530"/>
      <c r="AL48" s="524"/>
      <c r="AM48" s="524"/>
      <c r="AN48" s="369"/>
      <c r="AO48" s="6142" t="s">
        <v>3779</v>
      </c>
      <c r="AP48" s="6143"/>
      <c r="AQ48" s="546" t="str">
        <f>IF(AO43=0,"",VLOOKUP(AO43,'Tablas Magia'!$D$6:$Z$680,10,FALSE))</f>
        <v/>
      </c>
      <c r="AR48" s="546" t="str">
        <f>IF(AO43=0,"",VLOOKUP(AO43,'Tablas Magia'!$D$6:$Z$680,14,FALSE))</f>
        <v/>
      </c>
      <c r="AS48" s="547" t="str">
        <f>IF(AO43=0,"",VLOOKUP(AO43,'Tablas Magia'!$D$6:$Z$680,18,FALSE))</f>
        <v/>
      </c>
      <c r="AT48" s="6144" t="str">
        <f>IF(AO43=0,"",VLOOKUP(AO43,'Tablas Magia'!$D$6:$Z$680,22,FALSE))</f>
        <v/>
      </c>
      <c r="AU48" s="6145"/>
      <c r="AV48" s="6145"/>
      <c r="AW48" s="6145"/>
      <c r="AX48" s="6145"/>
      <c r="AY48" s="6145"/>
      <c r="AZ48" s="6145"/>
      <c r="BA48" s="6145"/>
      <c r="BB48" s="6145"/>
      <c r="BC48" s="6146"/>
      <c r="BD48" s="530"/>
      <c r="BE48" s="524"/>
    </row>
    <row r="49" spans="1:57" ht="12" customHeight="1" x14ac:dyDescent="0.2">
      <c r="A49" s="524"/>
      <c r="B49" s="369"/>
      <c r="C49" s="6147" t="str">
        <f>IF(C43=0,"",VLOOKUP(C43,'Tablas Magia'!$D$6:$Z$680,23,FALSE))</f>
        <v/>
      </c>
      <c r="D49" s="6148"/>
      <c r="E49" s="6148"/>
      <c r="F49" s="6148"/>
      <c r="G49" s="6148"/>
      <c r="H49" s="6148"/>
      <c r="I49" s="6148"/>
      <c r="J49" s="6148"/>
      <c r="K49" s="6148"/>
      <c r="L49" s="6148"/>
      <c r="M49" s="6148"/>
      <c r="N49" s="6148"/>
      <c r="O49" s="6148"/>
      <c r="P49" s="6148"/>
      <c r="Q49" s="6149"/>
      <c r="R49" s="530"/>
      <c r="S49" s="524"/>
      <c r="T49" s="524"/>
      <c r="U49" s="369"/>
      <c r="V49" s="6147" t="str">
        <f>IF(V43=0,"",VLOOKUP(V43,'Tablas Magia'!$D$6:$Z$680,23,FALSE))</f>
        <v/>
      </c>
      <c r="W49" s="6148"/>
      <c r="X49" s="6148"/>
      <c r="Y49" s="6148"/>
      <c r="Z49" s="6148"/>
      <c r="AA49" s="6148"/>
      <c r="AB49" s="6148"/>
      <c r="AC49" s="6148"/>
      <c r="AD49" s="6148"/>
      <c r="AE49" s="6148"/>
      <c r="AF49" s="6148"/>
      <c r="AG49" s="6148"/>
      <c r="AH49" s="6148"/>
      <c r="AI49" s="6148"/>
      <c r="AJ49" s="6149"/>
      <c r="AK49" s="530"/>
      <c r="AL49" s="524"/>
      <c r="AM49" s="524"/>
      <c r="AN49" s="369"/>
      <c r="AO49" s="6147" t="str">
        <f>IF(AO43=0,"",VLOOKUP(AO43,'Tablas Magia'!$D$6:$Z$680,23,FALSE))</f>
        <v/>
      </c>
      <c r="AP49" s="6148"/>
      <c r="AQ49" s="6148"/>
      <c r="AR49" s="6148"/>
      <c r="AS49" s="6148"/>
      <c r="AT49" s="6148"/>
      <c r="AU49" s="6148"/>
      <c r="AV49" s="6148"/>
      <c r="AW49" s="6148"/>
      <c r="AX49" s="6148"/>
      <c r="AY49" s="6148"/>
      <c r="AZ49" s="6148"/>
      <c r="BA49" s="6148"/>
      <c r="BB49" s="6148"/>
      <c r="BC49" s="6149"/>
      <c r="BD49" s="530"/>
      <c r="BE49" s="524"/>
    </row>
    <row r="50" spans="1:57" ht="12" customHeight="1" x14ac:dyDescent="0.2">
      <c r="A50" s="524"/>
      <c r="B50" s="369"/>
      <c r="C50" s="6150"/>
      <c r="D50" s="6151"/>
      <c r="E50" s="6151"/>
      <c r="F50" s="6151"/>
      <c r="G50" s="6151"/>
      <c r="H50" s="6151"/>
      <c r="I50" s="6151"/>
      <c r="J50" s="6151"/>
      <c r="K50" s="6151"/>
      <c r="L50" s="6151"/>
      <c r="M50" s="6151"/>
      <c r="N50" s="6151"/>
      <c r="O50" s="6151"/>
      <c r="P50" s="6151"/>
      <c r="Q50" s="6152"/>
      <c r="R50" s="530"/>
      <c r="S50" s="524"/>
      <c r="T50" s="524"/>
      <c r="U50" s="369"/>
      <c r="V50" s="6150"/>
      <c r="W50" s="6151"/>
      <c r="X50" s="6151"/>
      <c r="Y50" s="6151"/>
      <c r="Z50" s="6151"/>
      <c r="AA50" s="6151"/>
      <c r="AB50" s="6151"/>
      <c r="AC50" s="6151"/>
      <c r="AD50" s="6151"/>
      <c r="AE50" s="6151"/>
      <c r="AF50" s="6151"/>
      <c r="AG50" s="6151"/>
      <c r="AH50" s="6151"/>
      <c r="AI50" s="6151"/>
      <c r="AJ50" s="6152"/>
      <c r="AK50" s="530"/>
      <c r="AL50" s="524"/>
      <c r="AM50" s="524"/>
      <c r="AN50" s="369"/>
      <c r="AO50" s="6150"/>
      <c r="AP50" s="6151"/>
      <c r="AQ50" s="6151"/>
      <c r="AR50" s="6151"/>
      <c r="AS50" s="6151"/>
      <c r="AT50" s="6151"/>
      <c r="AU50" s="6151"/>
      <c r="AV50" s="6151"/>
      <c r="AW50" s="6151"/>
      <c r="AX50" s="6151"/>
      <c r="AY50" s="6151"/>
      <c r="AZ50" s="6151"/>
      <c r="BA50" s="6151"/>
      <c r="BB50" s="6151"/>
      <c r="BC50" s="6152"/>
      <c r="BD50" s="530"/>
      <c r="BE50" s="524"/>
    </row>
    <row r="51" spans="1:57" ht="12" customHeight="1" x14ac:dyDescent="0.2">
      <c r="A51" s="524"/>
      <c r="B51" s="369"/>
      <c r="C51" s="6150"/>
      <c r="D51" s="6151"/>
      <c r="E51" s="6151"/>
      <c r="F51" s="6151"/>
      <c r="G51" s="6151"/>
      <c r="H51" s="6151"/>
      <c r="I51" s="6151"/>
      <c r="J51" s="6151"/>
      <c r="K51" s="6151"/>
      <c r="L51" s="6151"/>
      <c r="M51" s="6151"/>
      <c r="N51" s="6151"/>
      <c r="O51" s="6151"/>
      <c r="P51" s="6151"/>
      <c r="Q51" s="6152"/>
      <c r="R51" s="530"/>
      <c r="S51" s="524"/>
      <c r="T51" s="524"/>
      <c r="U51" s="369"/>
      <c r="V51" s="6150"/>
      <c r="W51" s="6151"/>
      <c r="X51" s="6151"/>
      <c r="Y51" s="6151"/>
      <c r="Z51" s="6151"/>
      <c r="AA51" s="6151"/>
      <c r="AB51" s="6151"/>
      <c r="AC51" s="6151"/>
      <c r="AD51" s="6151"/>
      <c r="AE51" s="6151"/>
      <c r="AF51" s="6151"/>
      <c r="AG51" s="6151"/>
      <c r="AH51" s="6151"/>
      <c r="AI51" s="6151"/>
      <c r="AJ51" s="6152"/>
      <c r="AK51" s="530"/>
      <c r="AL51" s="524"/>
      <c r="AM51" s="524"/>
      <c r="AN51" s="369"/>
      <c r="AO51" s="6150"/>
      <c r="AP51" s="6151"/>
      <c r="AQ51" s="6151"/>
      <c r="AR51" s="6151"/>
      <c r="AS51" s="6151"/>
      <c r="AT51" s="6151"/>
      <c r="AU51" s="6151"/>
      <c r="AV51" s="6151"/>
      <c r="AW51" s="6151"/>
      <c r="AX51" s="6151"/>
      <c r="AY51" s="6151"/>
      <c r="AZ51" s="6151"/>
      <c r="BA51" s="6151"/>
      <c r="BB51" s="6151"/>
      <c r="BC51" s="6152"/>
      <c r="BD51" s="530"/>
      <c r="BE51" s="524"/>
    </row>
    <row r="52" spans="1:57" ht="12" customHeight="1" thickBot="1" x14ac:dyDescent="0.25">
      <c r="A52" s="524"/>
      <c r="B52" s="369"/>
      <c r="C52" s="6153"/>
      <c r="D52" s="6154"/>
      <c r="E52" s="6154"/>
      <c r="F52" s="6154"/>
      <c r="G52" s="6154"/>
      <c r="H52" s="6154"/>
      <c r="I52" s="6154"/>
      <c r="J52" s="6154"/>
      <c r="K52" s="6154"/>
      <c r="L52" s="6154"/>
      <c r="M52" s="6154"/>
      <c r="N52" s="6154"/>
      <c r="O52" s="6154"/>
      <c r="P52" s="6154"/>
      <c r="Q52" s="6155"/>
      <c r="R52" s="530"/>
      <c r="S52" s="524"/>
      <c r="T52" s="524"/>
      <c r="U52" s="369"/>
      <c r="V52" s="6153"/>
      <c r="W52" s="6154"/>
      <c r="X52" s="6154"/>
      <c r="Y52" s="6154"/>
      <c r="Z52" s="6154"/>
      <c r="AA52" s="6154"/>
      <c r="AB52" s="6154"/>
      <c r="AC52" s="6154"/>
      <c r="AD52" s="6154"/>
      <c r="AE52" s="6154"/>
      <c r="AF52" s="6154"/>
      <c r="AG52" s="6154"/>
      <c r="AH52" s="6154"/>
      <c r="AI52" s="6154"/>
      <c r="AJ52" s="6155"/>
      <c r="AK52" s="530"/>
      <c r="AL52" s="524"/>
      <c r="AM52" s="524"/>
      <c r="AN52" s="369"/>
      <c r="AO52" s="6153"/>
      <c r="AP52" s="6154"/>
      <c r="AQ52" s="6154"/>
      <c r="AR52" s="6154"/>
      <c r="AS52" s="6154"/>
      <c r="AT52" s="6154"/>
      <c r="AU52" s="6154"/>
      <c r="AV52" s="6154"/>
      <c r="AW52" s="6154"/>
      <c r="AX52" s="6154"/>
      <c r="AY52" s="6154"/>
      <c r="AZ52" s="6154"/>
      <c r="BA52" s="6154"/>
      <c r="BB52" s="6154"/>
      <c r="BC52" s="6155"/>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58"/>
      <c r="D54" s="6159"/>
      <c r="E54" s="6159"/>
      <c r="F54" s="6159"/>
      <c r="G54" s="6159"/>
      <c r="H54" s="537" t="s">
        <v>1597</v>
      </c>
      <c r="I54" s="538" t="str">
        <f>IF(C54=0,"",VLOOKUP(C54,'Tablas Magia'!$D$6:$Z$680,3,FALSE))</f>
        <v/>
      </c>
      <c r="J54" s="6160" t="s">
        <v>6888</v>
      </c>
      <c r="K54" s="6160"/>
      <c r="L54" s="6160"/>
      <c r="M54" s="6161" t="str">
        <f>IF(C54=0,"",VLOOKUP(C54,'Tablas Magia'!$D$6:$Z$680,2,FALSE))</f>
        <v/>
      </c>
      <c r="N54" s="6161"/>
      <c r="O54" s="6161"/>
      <c r="P54" s="6161"/>
      <c r="Q54" s="6162"/>
      <c r="R54" s="530"/>
      <c r="S54" s="524"/>
      <c r="T54" s="524"/>
      <c r="U54" s="369"/>
      <c r="V54" s="6158"/>
      <c r="W54" s="6159"/>
      <c r="X54" s="6159"/>
      <c r="Y54" s="6159"/>
      <c r="Z54" s="6159"/>
      <c r="AA54" s="537" t="s">
        <v>1597</v>
      </c>
      <c r="AB54" s="538" t="str">
        <f>IF(V54=0,"",VLOOKUP(V54,'Tablas Magia'!$D$6:$Z$680,3,FALSE))</f>
        <v/>
      </c>
      <c r="AC54" s="6160" t="s">
        <v>6888</v>
      </c>
      <c r="AD54" s="6160"/>
      <c r="AE54" s="6160"/>
      <c r="AF54" s="6161" t="str">
        <f>IF(V54=0,"",VLOOKUP(V54,'Tablas Magia'!$D$6:$Z$680,2,FALSE))</f>
        <v/>
      </c>
      <c r="AG54" s="6161"/>
      <c r="AH54" s="6161"/>
      <c r="AI54" s="6161"/>
      <c r="AJ54" s="6162"/>
      <c r="AK54" s="530"/>
      <c r="AL54" s="524"/>
      <c r="AM54" s="524"/>
      <c r="AN54" s="369"/>
      <c r="AO54" s="6158"/>
      <c r="AP54" s="6159"/>
      <c r="AQ54" s="6159"/>
      <c r="AR54" s="6159"/>
      <c r="AS54" s="6159"/>
      <c r="AT54" s="537" t="s">
        <v>1597</v>
      </c>
      <c r="AU54" s="538" t="str">
        <f>IF(AO54=0,"",VLOOKUP(AO54,'Tablas Magia'!$D$6:$Z$680,3,FALSE))</f>
        <v/>
      </c>
      <c r="AV54" s="6160" t="s">
        <v>6888</v>
      </c>
      <c r="AW54" s="6160"/>
      <c r="AX54" s="6160"/>
      <c r="AY54" s="6161" t="str">
        <f>IF(AO54=0,"",VLOOKUP(AO54,'Tablas Magia'!$D$6:$Z$680,2,FALSE))</f>
        <v/>
      </c>
      <c r="AZ54" s="6161"/>
      <c r="BA54" s="6161"/>
      <c r="BB54" s="6161"/>
      <c r="BC54" s="6162"/>
      <c r="BD54" s="530"/>
      <c r="BE54" s="524"/>
    </row>
    <row r="55" spans="1:57" ht="12" customHeight="1" x14ac:dyDescent="0.2">
      <c r="A55" s="524"/>
      <c r="B55" s="369"/>
      <c r="C55" s="6156" t="s">
        <v>6889</v>
      </c>
      <c r="D55" s="6157"/>
      <c r="E55" s="539" t="s">
        <v>6890</v>
      </c>
      <c r="F55" s="539" t="s">
        <v>1783</v>
      </c>
      <c r="G55" s="539" t="s">
        <v>3227</v>
      </c>
      <c r="H55" s="540" t="s">
        <v>2121</v>
      </c>
      <c r="I55" s="6130" t="str">
        <f>IF(C54=0,"",VLOOKUP(C54,'Tablas Magia'!$D$6:$Z$680,5,FALSE))</f>
        <v/>
      </c>
      <c r="J55" s="6130"/>
      <c r="K55" s="6129" t="s">
        <v>6891</v>
      </c>
      <c r="L55" s="6129"/>
      <c r="M55" s="6130" t="str">
        <f>IF(C54=0,"",VLOOKUP(C54,'Tablas Magia'!$D$6:$Z$680,6,FALSE))</f>
        <v/>
      </c>
      <c r="N55" s="6130"/>
      <c r="O55" s="6131" t="s">
        <v>6892</v>
      </c>
      <c r="P55" s="6131"/>
      <c r="Q55" s="541" t="str">
        <f>IF(C54=0,"",VLOOKUP(C54,'Tablas Magia'!$D$6:$Z$680,4,FALSE))</f>
        <v/>
      </c>
      <c r="R55" s="530"/>
      <c r="S55" s="524"/>
      <c r="T55" s="524"/>
      <c r="U55" s="369"/>
      <c r="V55" s="6156" t="s">
        <v>6889</v>
      </c>
      <c r="W55" s="6157"/>
      <c r="X55" s="539" t="s">
        <v>6890</v>
      </c>
      <c r="Y55" s="539" t="s">
        <v>1783</v>
      </c>
      <c r="Z55" s="539" t="s">
        <v>3227</v>
      </c>
      <c r="AA55" s="540" t="s">
        <v>2121</v>
      </c>
      <c r="AB55" s="6130" t="str">
        <f>IF(V54=0,"",VLOOKUP(V54,'Tablas Magia'!$D$6:$Z$680,5,FALSE))</f>
        <v/>
      </c>
      <c r="AC55" s="6130"/>
      <c r="AD55" s="6129" t="s">
        <v>6891</v>
      </c>
      <c r="AE55" s="6129"/>
      <c r="AF55" s="6130" t="str">
        <f>IF(V54=0,"",VLOOKUP(V54,'Tablas Magia'!$D$6:$Z$680,6,FALSE))</f>
        <v/>
      </c>
      <c r="AG55" s="6130"/>
      <c r="AH55" s="6131" t="s">
        <v>6892</v>
      </c>
      <c r="AI55" s="6131"/>
      <c r="AJ55" s="541" t="str">
        <f>IF(V54=0,"",VLOOKUP(V54,'Tablas Magia'!$D$6:$Z$680,4,FALSE))</f>
        <v/>
      </c>
      <c r="AK55" s="530"/>
      <c r="AL55" s="524"/>
      <c r="AM55" s="524"/>
      <c r="AN55" s="369"/>
      <c r="AO55" s="6156" t="s">
        <v>6889</v>
      </c>
      <c r="AP55" s="6157"/>
      <c r="AQ55" s="539" t="s">
        <v>6890</v>
      </c>
      <c r="AR55" s="539" t="s">
        <v>1783</v>
      </c>
      <c r="AS55" s="539" t="s">
        <v>3227</v>
      </c>
      <c r="AT55" s="540" t="s">
        <v>2121</v>
      </c>
      <c r="AU55" s="6130" t="str">
        <f>IF(AO54=0,"",VLOOKUP(AO54,'Tablas Magia'!$D$6:$Z$680,5,FALSE))</f>
        <v/>
      </c>
      <c r="AV55" s="6130"/>
      <c r="AW55" s="6129" t="s">
        <v>6891</v>
      </c>
      <c r="AX55" s="6129"/>
      <c r="AY55" s="6130" t="str">
        <f>IF(AO54=0,"",VLOOKUP(AO54,'Tablas Magia'!$D$6:$Z$680,6,FALSE))</f>
        <v/>
      </c>
      <c r="AZ55" s="6130"/>
      <c r="BA55" s="6131" t="s">
        <v>6892</v>
      </c>
      <c r="BB55" s="6131"/>
      <c r="BC55" s="541" t="str">
        <f>IF(AO54=0,"",VLOOKUP(AO54,'Tablas Magia'!$D$6:$Z$680,4,FALSE))</f>
        <v/>
      </c>
      <c r="BD55" s="530"/>
      <c r="BE55" s="524"/>
    </row>
    <row r="56" spans="1:57" ht="12" customHeight="1" x14ac:dyDescent="0.2">
      <c r="A56" s="524"/>
      <c r="B56" s="369"/>
      <c r="C56" s="6132" t="s">
        <v>1638</v>
      </c>
      <c r="D56" s="6133"/>
      <c r="E56" s="542" t="str">
        <f>IF(C54=0,"",VLOOKUP(C54,'Tablas Magia'!$D$6:$Z$680,7,FALSE))</f>
        <v/>
      </c>
      <c r="F56" s="542" t="str">
        <f>IF(C54=0,"",VLOOKUP(C54,'Tablas Magia'!$D$6:$Z$680,11,FALSE))</f>
        <v/>
      </c>
      <c r="G56" s="543" t="str">
        <f>IF(C54=0,"",VLOOKUP(C54,'Tablas Magia'!$D$6:$Z$680,15,FALSE))</f>
        <v/>
      </c>
      <c r="H56" s="6134" t="str">
        <f>IF(C54=0,"",VLOOKUP(C54,'Tablas Magia'!$D$6:$Z$680,19,FALSE))</f>
        <v/>
      </c>
      <c r="I56" s="6135"/>
      <c r="J56" s="6135"/>
      <c r="K56" s="6135"/>
      <c r="L56" s="6135"/>
      <c r="M56" s="6135"/>
      <c r="N56" s="6135"/>
      <c r="O56" s="6135"/>
      <c r="P56" s="6135"/>
      <c r="Q56" s="6136"/>
      <c r="R56" s="530"/>
      <c r="S56" s="524"/>
      <c r="T56" s="524"/>
      <c r="U56" s="369"/>
      <c r="V56" s="6132" t="s">
        <v>1638</v>
      </c>
      <c r="W56" s="6133"/>
      <c r="X56" s="542" t="str">
        <f>IF(V54=0,"",VLOOKUP(V54,'Tablas Magia'!$D$6:$Z$680,7,FALSE))</f>
        <v/>
      </c>
      <c r="Y56" s="542" t="str">
        <f>IF(V54=0,"",VLOOKUP(V54,'Tablas Magia'!$D$6:$Z$680,11,FALSE))</f>
        <v/>
      </c>
      <c r="Z56" s="543" t="str">
        <f>IF(V54=0,"",VLOOKUP(V54,'Tablas Magia'!$D$6:$Z$680,15,FALSE))</f>
        <v/>
      </c>
      <c r="AA56" s="6134" t="str">
        <f>IF(V54=0,"",VLOOKUP(V54,'Tablas Magia'!$D$6:$Z$680,19,FALSE))</f>
        <v/>
      </c>
      <c r="AB56" s="6135"/>
      <c r="AC56" s="6135"/>
      <c r="AD56" s="6135"/>
      <c r="AE56" s="6135"/>
      <c r="AF56" s="6135"/>
      <c r="AG56" s="6135"/>
      <c r="AH56" s="6135"/>
      <c r="AI56" s="6135"/>
      <c r="AJ56" s="6136"/>
      <c r="AK56" s="530"/>
      <c r="AL56" s="524"/>
      <c r="AM56" s="524"/>
      <c r="AN56" s="369"/>
      <c r="AO56" s="6132" t="s">
        <v>1638</v>
      </c>
      <c r="AP56" s="6133"/>
      <c r="AQ56" s="542" t="str">
        <f>IF(AO54=0,"",VLOOKUP(AO54,'Tablas Magia'!$D$6:$Z$680,7,FALSE))</f>
        <v/>
      </c>
      <c r="AR56" s="542" t="str">
        <f>IF(AO54=0,"",VLOOKUP(AO54,'Tablas Magia'!$D$6:$Z$680,11,FALSE))</f>
        <v/>
      </c>
      <c r="AS56" s="543" t="str">
        <f>IF(AO54=0,"",VLOOKUP(AO54,'Tablas Magia'!$D$6:$Z$680,15,FALSE))</f>
        <v/>
      </c>
      <c r="AT56" s="6134" t="str">
        <f>IF(AO54=0,"",VLOOKUP(AO54,'Tablas Magia'!$D$6:$Z$680,19,FALSE))</f>
        <v/>
      </c>
      <c r="AU56" s="6135"/>
      <c r="AV56" s="6135"/>
      <c r="AW56" s="6135"/>
      <c r="AX56" s="6135"/>
      <c r="AY56" s="6135"/>
      <c r="AZ56" s="6135"/>
      <c r="BA56" s="6135"/>
      <c r="BB56" s="6135"/>
      <c r="BC56" s="6136"/>
      <c r="BD56" s="530"/>
      <c r="BE56" s="524"/>
    </row>
    <row r="57" spans="1:57" ht="12" customHeight="1" x14ac:dyDescent="0.2">
      <c r="A57" s="524"/>
      <c r="B57" s="369"/>
      <c r="C57" s="6137" t="s">
        <v>3777</v>
      </c>
      <c r="D57" s="6138"/>
      <c r="E57" s="544" t="str">
        <f>IF(C54=0,"",VLOOKUP(C54,'Tablas Magia'!$D$6:$Z$680,8,FALSE))</f>
        <v/>
      </c>
      <c r="F57" s="544" t="str">
        <f>IF(C54=0,"",VLOOKUP(C54,'Tablas Magia'!$D$6:$Z$680,12,FALSE))</f>
        <v/>
      </c>
      <c r="G57" s="545" t="str">
        <f>IF(C54=0,"",VLOOKUP(C54,'Tablas Magia'!$D$6:$Z$680,16,FALSE))</f>
        <v/>
      </c>
      <c r="H57" s="6139" t="str">
        <f>IF(C54=0,"",VLOOKUP(C54,'Tablas Magia'!$D$6:$Z$680,20,FALSE))</f>
        <v/>
      </c>
      <c r="I57" s="6140"/>
      <c r="J57" s="6140"/>
      <c r="K57" s="6140"/>
      <c r="L57" s="6140"/>
      <c r="M57" s="6140"/>
      <c r="N57" s="6140"/>
      <c r="O57" s="6140"/>
      <c r="P57" s="6140"/>
      <c r="Q57" s="6141"/>
      <c r="R57" s="530"/>
      <c r="S57" s="524"/>
      <c r="T57" s="524"/>
      <c r="U57" s="369"/>
      <c r="V57" s="6137" t="s">
        <v>3777</v>
      </c>
      <c r="W57" s="6138"/>
      <c r="X57" s="544" t="str">
        <f>IF(V54=0,"",VLOOKUP(V54,'Tablas Magia'!$D$6:$Z$680,8,FALSE))</f>
        <v/>
      </c>
      <c r="Y57" s="544" t="str">
        <f>IF(V54=0,"",VLOOKUP(V54,'Tablas Magia'!$D$6:$Z$680,12,FALSE))</f>
        <v/>
      </c>
      <c r="Z57" s="545" t="str">
        <f>IF(V54=0,"",VLOOKUP(V54,'Tablas Magia'!$D$6:$Z$680,16,FALSE))</f>
        <v/>
      </c>
      <c r="AA57" s="6139" t="str">
        <f>IF(V54=0,"",VLOOKUP(V54,'Tablas Magia'!$D$6:$Z$680,20,FALSE))</f>
        <v/>
      </c>
      <c r="AB57" s="6140"/>
      <c r="AC57" s="6140"/>
      <c r="AD57" s="6140"/>
      <c r="AE57" s="6140"/>
      <c r="AF57" s="6140"/>
      <c r="AG57" s="6140"/>
      <c r="AH57" s="6140"/>
      <c r="AI57" s="6140"/>
      <c r="AJ57" s="6141"/>
      <c r="AK57" s="530"/>
      <c r="AL57" s="524"/>
      <c r="AM57" s="524"/>
      <c r="AN57" s="369"/>
      <c r="AO57" s="6137" t="s">
        <v>3777</v>
      </c>
      <c r="AP57" s="6138"/>
      <c r="AQ57" s="544" t="str">
        <f>IF(AO54=0,"",VLOOKUP(AO54,'Tablas Magia'!$D$6:$Z$680,8,FALSE))</f>
        <v/>
      </c>
      <c r="AR57" s="544" t="str">
        <f>IF(AO54=0,"",VLOOKUP(AO54,'Tablas Magia'!$D$6:$Z$680,12,FALSE))</f>
        <v/>
      </c>
      <c r="AS57" s="545" t="str">
        <f>IF(AO54=0,"",VLOOKUP(AO54,'Tablas Magia'!$D$6:$Z$680,16,FALSE))</f>
        <v/>
      </c>
      <c r="AT57" s="6139" t="str">
        <f>IF(AO54=0,"",VLOOKUP(AO54,'Tablas Magia'!$D$6:$Z$680,20,FALSE))</f>
        <v/>
      </c>
      <c r="AU57" s="6140"/>
      <c r="AV57" s="6140"/>
      <c r="AW57" s="6140"/>
      <c r="AX57" s="6140"/>
      <c r="AY57" s="6140"/>
      <c r="AZ57" s="6140"/>
      <c r="BA57" s="6140"/>
      <c r="BB57" s="6140"/>
      <c r="BC57" s="6141"/>
      <c r="BD57" s="530"/>
      <c r="BE57" s="524"/>
    </row>
    <row r="58" spans="1:57" ht="12" customHeight="1" x14ac:dyDescent="0.2">
      <c r="A58" s="524"/>
      <c r="B58" s="369"/>
      <c r="C58" s="6132" t="s">
        <v>3778</v>
      </c>
      <c r="D58" s="6133"/>
      <c r="E58" s="542" t="str">
        <f>IF(C54=0,"",VLOOKUP(C54,'Tablas Magia'!$D$6:$Z$680,9,FALSE))</f>
        <v/>
      </c>
      <c r="F58" s="542" t="str">
        <f>IF(C54=0,"",VLOOKUP(C54,'Tablas Magia'!$D$6:$Z$680,13,FALSE))</f>
        <v/>
      </c>
      <c r="G58" s="543" t="str">
        <f>IF(C54=0,"",VLOOKUP(C54,'Tablas Magia'!$D$6:$Z$680,17,FALSE))</f>
        <v/>
      </c>
      <c r="H58" s="6134" t="str">
        <f>IF(C54=0,"",VLOOKUP(C54,'Tablas Magia'!$D$6:$Z$680,21,FALSE))</f>
        <v/>
      </c>
      <c r="I58" s="6135"/>
      <c r="J58" s="6135"/>
      <c r="K58" s="6135"/>
      <c r="L58" s="6135"/>
      <c r="M58" s="6135"/>
      <c r="N58" s="6135"/>
      <c r="O58" s="6135"/>
      <c r="P58" s="6135"/>
      <c r="Q58" s="6136"/>
      <c r="R58" s="530"/>
      <c r="S58" s="524"/>
      <c r="T58" s="524"/>
      <c r="U58" s="369"/>
      <c r="V58" s="6132" t="s">
        <v>3778</v>
      </c>
      <c r="W58" s="6133"/>
      <c r="X58" s="542" t="str">
        <f>IF(V54=0,"",VLOOKUP(V54,'Tablas Magia'!$D$6:$Z$680,9,FALSE))</f>
        <v/>
      </c>
      <c r="Y58" s="542" t="str">
        <f>IF(V54=0,"",VLOOKUP(V54,'Tablas Magia'!$D$6:$Z$680,13,FALSE))</f>
        <v/>
      </c>
      <c r="Z58" s="543" t="str">
        <f>IF(V54=0,"",VLOOKUP(V54,'Tablas Magia'!$D$6:$Z$680,17,FALSE))</f>
        <v/>
      </c>
      <c r="AA58" s="6134" t="str">
        <f>IF(V54=0,"",VLOOKUP(V54,'Tablas Magia'!$D$6:$Z$680,21,FALSE))</f>
        <v/>
      </c>
      <c r="AB58" s="6135"/>
      <c r="AC58" s="6135"/>
      <c r="AD58" s="6135"/>
      <c r="AE58" s="6135"/>
      <c r="AF58" s="6135"/>
      <c r="AG58" s="6135"/>
      <c r="AH58" s="6135"/>
      <c r="AI58" s="6135"/>
      <c r="AJ58" s="6136"/>
      <c r="AK58" s="530"/>
      <c r="AL58" s="524"/>
      <c r="AM58" s="524"/>
      <c r="AN58" s="369"/>
      <c r="AO58" s="6132" t="s">
        <v>3778</v>
      </c>
      <c r="AP58" s="6133"/>
      <c r="AQ58" s="542" t="str">
        <f>IF(AO54=0,"",VLOOKUP(AO54,'Tablas Magia'!$D$6:$Z$680,9,FALSE))</f>
        <v/>
      </c>
      <c r="AR58" s="542" t="str">
        <f>IF(AO54=0,"",VLOOKUP(AO54,'Tablas Magia'!$D$6:$Z$680,13,FALSE))</f>
        <v/>
      </c>
      <c r="AS58" s="543" t="str">
        <f>IF(AO54=0,"",VLOOKUP(AO54,'Tablas Magia'!$D$6:$Z$680,17,FALSE))</f>
        <v/>
      </c>
      <c r="AT58" s="6134" t="str">
        <f>IF(AO54=0,"",VLOOKUP(AO54,'Tablas Magia'!$D$6:$Z$680,21,FALSE))</f>
        <v/>
      </c>
      <c r="AU58" s="6135"/>
      <c r="AV58" s="6135"/>
      <c r="AW58" s="6135"/>
      <c r="AX58" s="6135"/>
      <c r="AY58" s="6135"/>
      <c r="AZ58" s="6135"/>
      <c r="BA58" s="6135"/>
      <c r="BB58" s="6135"/>
      <c r="BC58" s="6136"/>
      <c r="BD58" s="530"/>
      <c r="BE58" s="524"/>
    </row>
    <row r="59" spans="1:57" ht="12" customHeight="1" thickBot="1" x14ac:dyDescent="0.25">
      <c r="A59" s="524"/>
      <c r="B59" s="369"/>
      <c r="C59" s="6142" t="s">
        <v>3779</v>
      </c>
      <c r="D59" s="6143"/>
      <c r="E59" s="546" t="str">
        <f>IF(C54=0,"",VLOOKUP(C54,'Tablas Magia'!$D$6:$Z$680,10,FALSE))</f>
        <v/>
      </c>
      <c r="F59" s="546" t="str">
        <f>IF(C54=0,"",VLOOKUP(C54,'Tablas Magia'!$D$6:$Z$680,14,FALSE))</f>
        <v/>
      </c>
      <c r="G59" s="547" t="str">
        <f>IF(C54=0,"",VLOOKUP(C54,'Tablas Magia'!$D$6:$Z$680,18,FALSE))</f>
        <v/>
      </c>
      <c r="H59" s="6144" t="str">
        <f>IF(C54=0,"",VLOOKUP(C54,'Tablas Magia'!$D$6:$Z$680,22,FALSE))</f>
        <v/>
      </c>
      <c r="I59" s="6145"/>
      <c r="J59" s="6145"/>
      <c r="K59" s="6145"/>
      <c r="L59" s="6145"/>
      <c r="M59" s="6145"/>
      <c r="N59" s="6145"/>
      <c r="O59" s="6145"/>
      <c r="P59" s="6145"/>
      <c r="Q59" s="6146"/>
      <c r="R59" s="530"/>
      <c r="S59" s="524"/>
      <c r="T59" s="524"/>
      <c r="U59" s="369"/>
      <c r="V59" s="6142" t="s">
        <v>3779</v>
      </c>
      <c r="W59" s="6143"/>
      <c r="X59" s="546" t="str">
        <f>IF(V54=0,"",VLOOKUP(V54,'Tablas Magia'!$D$6:$Z$680,10,FALSE))</f>
        <v/>
      </c>
      <c r="Y59" s="546" t="str">
        <f>IF(V54=0,"",VLOOKUP(V54,'Tablas Magia'!$D$6:$Z$680,14,FALSE))</f>
        <v/>
      </c>
      <c r="Z59" s="547" t="str">
        <f>IF(V54=0,"",VLOOKUP(V54,'Tablas Magia'!$D$6:$Z$680,18,FALSE))</f>
        <v/>
      </c>
      <c r="AA59" s="6144" t="str">
        <f>IF(V54=0,"",VLOOKUP(V54,'Tablas Magia'!$D$6:$Z$680,22,FALSE))</f>
        <v/>
      </c>
      <c r="AB59" s="6145"/>
      <c r="AC59" s="6145"/>
      <c r="AD59" s="6145"/>
      <c r="AE59" s="6145"/>
      <c r="AF59" s="6145"/>
      <c r="AG59" s="6145"/>
      <c r="AH59" s="6145"/>
      <c r="AI59" s="6145"/>
      <c r="AJ59" s="6146"/>
      <c r="AK59" s="530"/>
      <c r="AL59" s="524"/>
      <c r="AM59" s="524"/>
      <c r="AN59" s="369"/>
      <c r="AO59" s="6142" t="s">
        <v>3779</v>
      </c>
      <c r="AP59" s="6143"/>
      <c r="AQ59" s="546" t="str">
        <f>IF(AO54=0,"",VLOOKUP(AO54,'Tablas Magia'!$D$6:$Z$680,10,FALSE))</f>
        <v/>
      </c>
      <c r="AR59" s="546" t="str">
        <f>IF(AO54=0,"",VLOOKUP(AO54,'Tablas Magia'!$D$6:$Z$680,14,FALSE))</f>
        <v/>
      </c>
      <c r="AS59" s="547" t="str">
        <f>IF(AO54=0,"",VLOOKUP(AO54,'Tablas Magia'!$D$6:$Z$680,18,FALSE))</f>
        <v/>
      </c>
      <c r="AT59" s="6144" t="str">
        <f>IF(AO54=0,"",VLOOKUP(AO54,'Tablas Magia'!$D$6:$Z$680,22,FALSE))</f>
        <v/>
      </c>
      <c r="AU59" s="6145"/>
      <c r="AV59" s="6145"/>
      <c r="AW59" s="6145"/>
      <c r="AX59" s="6145"/>
      <c r="AY59" s="6145"/>
      <c r="AZ59" s="6145"/>
      <c r="BA59" s="6145"/>
      <c r="BB59" s="6145"/>
      <c r="BC59" s="6146"/>
      <c r="BD59" s="530"/>
      <c r="BE59" s="524"/>
    </row>
    <row r="60" spans="1:57" ht="12" customHeight="1" x14ac:dyDescent="0.2">
      <c r="A60" s="524"/>
      <c r="B60" s="369"/>
      <c r="C60" s="6147" t="str">
        <f>IF(C54=0,"",VLOOKUP(C54,'Tablas Magia'!$D$6:$Z$680,23,FALSE))</f>
        <v/>
      </c>
      <c r="D60" s="6148"/>
      <c r="E60" s="6148"/>
      <c r="F60" s="6148"/>
      <c r="G60" s="6148"/>
      <c r="H60" s="6148"/>
      <c r="I60" s="6148"/>
      <c r="J60" s="6148"/>
      <c r="K60" s="6148"/>
      <c r="L60" s="6148"/>
      <c r="M60" s="6148"/>
      <c r="N60" s="6148"/>
      <c r="O60" s="6148"/>
      <c r="P60" s="6148"/>
      <c r="Q60" s="6149"/>
      <c r="R60" s="530"/>
      <c r="S60" s="524"/>
      <c r="T60" s="524"/>
      <c r="U60" s="369"/>
      <c r="V60" s="6147" t="str">
        <f>IF(V54=0,"",VLOOKUP(V54,'Tablas Magia'!$D$6:$Z$680,23,FALSE))</f>
        <v/>
      </c>
      <c r="W60" s="6148"/>
      <c r="X60" s="6148"/>
      <c r="Y60" s="6148"/>
      <c r="Z60" s="6148"/>
      <c r="AA60" s="6148"/>
      <c r="AB60" s="6148"/>
      <c r="AC60" s="6148"/>
      <c r="AD60" s="6148"/>
      <c r="AE60" s="6148"/>
      <c r="AF60" s="6148"/>
      <c r="AG60" s="6148"/>
      <c r="AH60" s="6148"/>
      <c r="AI60" s="6148"/>
      <c r="AJ60" s="6149"/>
      <c r="AK60" s="530"/>
      <c r="AL60" s="524"/>
      <c r="AM60" s="524"/>
      <c r="AN60" s="369"/>
      <c r="AO60" s="6147" t="str">
        <f>IF(AO54=0,"",VLOOKUP(AO54,'Tablas Magia'!$D$6:$Z$680,23,FALSE))</f>
        <v/>
      </c>
      <c r="AP60" s="6148"/>
      <c r="AQ60" s="6148"/>
      <c r="AR60" s="6148"/>
      <c r="AS60" s="6148"/>
      <c r="AT60" s="6148"/>
      <c r="AU60" s="6148"/>
      <c r="AV60" s="6148"/>
      <c r="AW60" s="6148"/>
      <c r="AX60" s="6148"/>
      <c r="AY60" s="6148"/>
      <c r="AZ60" s="6148"/>
      <c r="BA60" s="6148"/>
      <c r="BB60" s="6148"/>
      <c r="BC60" s="6149"/>
      <c r="BD60" s="530"/>
      <c r="BE60" s="524"/>
    </row>
    <row r="61" spans="1:57" ht="12" customHeight="1" x14ac:dyDescent="0.2">
      <c r="A61" s="524"/>
      <c r="B61" s="369"/>
      <c r="C61" s="6150"/>
      <c r="D61" s="6151"/>
      <c r="E61" s="6151"/>
      <c r="F61" s="6151"/>
      <c r="G61" s="6151"/>
      <c r="H61" s="6151"/>
      <c r="I61" s="6151"/>
      <c r="J61" s="6151"/>
      <c r="K61" s="6151"/>
      <c r="L61" s="6151"/>
      <c r="M61" s="6151"/>
      <c r="N61" s="6151"/>
      <c r="O61" s="6151"/>
      <c r="P61" s="6151"/>
      <c r="Q61" s="6152"/>
      <c r="R61" s="530"/>
      <c r="S61" s="524"/>
      <c r="T61" s="524"/>
      <c r="U61" s="369"/>
      <c r="V61" s="6150"/>
      <c r="W61" s="6151"/>
      <c r="X61" s="6151"/>
      <c r="Y61" s="6151"/>
      <c r="Z61" s="6151"/>
      <c r="AA61" s="6151"/>
      <c r="AB61" s="6151"/>
      <c r="AC61" s="6151"/>
      <c r="AD61" s="6151"/>
      <c r="AE61" s="6151"/>
      <c r="AF61" s="6151"/>
      <c r="AG61" s="6151"/>
      <c r="AH61" s="6151"/>
      <c r="AI61" s="6151"/>
      <c r="AJ61" s="6152"/>
      <c r="AK61" s="530"/>
      <c r="AL61" s="524"/>
      <c r="AM61" s="524"/>
      <c r="AN61" s="369"/>
      <c r="AO61" s="6150"/>
      <c r="AP61" s="6151"/>
      <c r="AQ61" s="6151"/>
      <c r="AR61" s="6151"/>
      <c r="AS61" s="6151"/>
      <c r="AT61" s="6151"/>
      <c r="AU61" s="6151"/>
      <c r="AV61" s="6151"/>
      <c r="AW61" s="6151"/>
      <c r="AX61" s="6151"/>
      <c r="AY61" s="6151"/>
      <c r="AZ61" s="6151"/>
      <c r="BA61" s="6151"/>
      <c r="BB61" s="6151"/>
      <c r="BC61" s="6152"/>
      <c r="BD61" s="530"/>
      <c r="BE61" s="524"/>
    </row>
    <row r="62" spans="1:57" ht="12" customHeight="1" x14ac:dyDescent="0.2">
      <c r="A62" s="524"/>
      <c r="B62" s="369"/>
      <c r="C62" s="6150"/>
      <c r="D62" s="6151"/>
      <c r="E62" s="6151"/>
      <c r="F62" s="6151"/>
      <c r="G62" s="6151"/>
      <c r="H62" s="6151"/>
      <c r="I62" s="6151"/>
      <c r="J62" s="6151"/>
      <c r="K62" s="6151"/>
      <c r="L62" s="6151"/>
      <c r="M62" s="6151"/>
      <c r="N62" s="6151"/>
      <c r="O62" s="6151"/>
      <c r="P62" s="6151"/>
      <c r="Q62" s="6152"/>
      <c r="R62" s="530"/>
      <c r="S62" s="524"/>
      <c r="T62" s="524"/>
      <c r="U62" s="369"/>
      <c r="V62" s="6150"/>
      <c r="W62" s="6151"/>
      <c r="X62" s="6151"/>
      <c r="Y62" s="6151"/>
      <c r="Z62" s="6151"/>
      <c r="AA62" s="6151"/>
      <c r="AB62" s="6151"/>
      <c r="AC62" s="6151"/>
      <c r="AD62" s="6151"/>
      <c r="AE62" s="6151"/>
      <c r="AF62" s="6151"/>
      <c r="AG62" s="6151"/>
      <c r="AH62" s="6151"/>
      <c r="AI62" s="6151"/>
      <c r="AJ62" s="6152"/>
      <c r="AK62" s="530"/>
      <c r="AL62" s="524"/>
      <c r="AM62" s="524"/>
      <c r="AN62" s="369"/>
      <c r="AO62" s="6150"/>
      <c r="AP62" s="6151"/>
      <c r="AQ62" s="6151"/>
      <c r="AR62" s="6151"/>
      <c r="AS62" s="6151"/>
      <c r="AT62" s="6151"/>
      <c r="AU62" s="6151"/>
      <c r="AV62" s="6151"/>
      <c r="AW62" s="6151"/>
      <c r="AX62" s="6151"/>
      <c r="AY62" s="6151"/>
      <c r="AZ62" s="6151"/>
      <c r="BA62" s="6151"/>
      <c r="BB62" s="6151"/>
      <c r="BC62" s="6152"/>
      <c r="BD62" s="530"/>
      <c r="BE62" s="524"/>
    </row>
    <row r="63" spans="1:57" ht="12" customHeight="1" thickBot="1" x14ac:dyDescent="0.25">
      <c r="A63" s="524"/>
      <c r="B63" s="369"/>
      <c r="C63" s="6153"/>
      <c r="D63" s="6154"/>
      <c r="E63" s="6154"/>
      <c r="F63" s="6154"/>
      <c r="G63" s="6154"/>
      <c r="H63" s="6154"/>
      <c r="I63" s="6154"/>
      <c r="J63" s="6154"/>
      <c r="K63" s="6154"/>
      <c r="L63" s="6154"/>
      <c r="M63" s="6154"/>
      <c r="N63" s="6154"/>
      <c r="O63" s="6154"/>
      <c r="P63" s="6154"/>
      <c r="Q63" s="6155"/>
      <c r="R63" s="530"/>
      <c r="S63" s="524"/>
      <c r="T63" s="524"/>
      <c r="U63" s="369"/>
      <c r="V63" s="6153"/>
      <c r="W63" s="6154"/>
      <c r="X63" s="6154"/>
      <c r="Y63" s="6154"/>
      <c r="Z63" s="6154"/>
      <c r="AA63" s="6154"/>
      <c r="AB63" s="6154"/>
      <c r="AC63" s="6154"/>
      <c r="AD63" s="6154"/>
      <c r="AE63" s="6154"/>
      <c r="AF63" s="6154"/>
      <c r="AG63" s="6154"/>
      <c r="AH63" s="6154"/>
      <c r="AI63" s="6154"/>
      <c r="AJ63" s="6155"/>
      <c r="AK63" s="530"/>
      <c r="AL63" s="524"/>
      <c r="AM63" s="524"/>
      <c r="AN63" s="369"/>
      <c r="AO63" s="6153"/>
      <c r="AP63" s="6154"/>
      <c r="AQ63" s="6154"/>
      <c r="AR63" s="6154"/>
      <c r="AS63" s="6154"/>
      <c r="AT63" s="6154"/>
      <c r="AU63" s="6154"/>
      <c r="AV63" s="6154"/>
      <c r="AW63" s="6154"/>
      <c r="AX63" s="6154"/>
      <c r="AY63" s="6154"/>
      <c r="AZ63" s="6154"/>
      <c r="BA63" s="6154"/>
      <c r="BB63" s="6154"/>
      <c r="BC63" s="6155"/>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R1" sqref="CR1"/>
    </sheetView>
  </sheetViews>
  <sheetFormatPr baseColWidth="10"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65" t="s">
        <v>6887</v>
      </c>
      <c r="K4" s="6165"/>
      <c r="L4" s="6165"/>
      <c r="M4" s="6165"/>
      <c r="N4" s="2444"/>
      <c r="O4" s="2444"/>
      <c r="P4" s="2444"/>
      <c r="Q4" s="478"/>
      <c r="R4" s="1065"/>
      <c r="S4" s="2456"/>
      <c r="T4" s="2456"/>
      <c r="U4" s="2455"/>
      <c r="V4" s="2443"/>
      <c r="W4" s="2444"/>
      <c r="X4" s="2444"/>
      <c r="Y4" s="2444"/>
      <c r="Z4" s="2444"/>
      <c r="AA4" s="2444"/>
      <c r="AB4" s="2444"/>
      <c r="AC4" s="6165" t="s">
        <v>6887</v>
      </c>
      <c r="AD4" s="6166"/>
      <c r="AE4" s="6166"/>
      <c r="AF4" s="6166"/>
      <c r="AG4" s="6166"/>
      <c r="AH4" s="6166"/>
      <c r="AI4" s="6166"/>
      <c r="AJ4" s="478"/>
      <c r="AK4" s="1065"/>
      <c r="AL4" s="2456"/>
      <c r="AM4" s="2459"/>
      <c r="AN4" s="2455"/>
      <c r="AO4" s="2443"/>
      <c r="AP4" s="2444"/>
      <c r="AQ4" s="2444"/>
      <c r="AR4" s="2444"/>
      <c r="AS4" s="2444"/>
      <c r="AT4" s="2444"/>
      <c r="AU4" s="2444"/>
      <c r="AV4" s="6165" t="s">
        <v>6887</v>
      </c>
      <c r="AW4" s="6166"/>
      <c r="AX4" s="6166"/>
      <c r="AY4" s="6166"/>
      <c r="AZ4" s="6166"/>
      <c r="BA4" s="6166"/>
      <c r="BB4" s="6166"/>
      <c r="BC4" s="478"/>
      <c r="BD4" s="1065"/>
      <c r="BE4" s="2456"/>
      <c r="BF4" s="2456"/>
      <c r="BG4" s="2455"/>
      <c r="BH4" s="2443"/>
      <c r="BI4" s="2444"/>
      <c r="BJ4" s="2444"/>
      <c r="BK4" s="2444"/>
      <c r="BL4" s="2444"/>
      <c r="BM4" s="2444"/>
      <c r="BN4" s="2444"/>
      <c r="BO4" s="6165" t="s">
        <v>6887</v>
      </c>
      <c r="BP4" s="6166"/>
      <c r="BQ4" s="6166"/>
      <c r="BR4" s="6166"/>
      <c r="BS4" s="6166"/>
      <c r="BT4" s="6166"/>
      <c r="BU4" s="6166"/>
      <c r="BV4" s="478"/>
      <c r="BW4" s="1065"/>
      <c r="BX4" s="2456"/>
      <c r="BY4" s="2456"/>
      <c r="BZ4" s="2455"/>
      <c r="CA4" s="2443"/>
      <c r="CB4" s="2444"/>
      <c r="CC4" s="2444"/>
      <c r="CD4" s="2444"/>
      <c r="CE4" s="2444"/>
      <c r="CF4" s="2444"/>
      <c r="CG4" s="2444"/>
      <c r="CH4" s="6165" t="s">
        <v>6887</v>
      </c>
      <c r="CI4" s="6166"/>
      <c r="CJ4" s="6166"/>
      <c r="CK4" s="6166"/>
      <c r="CL4" s="6166"/>
      <c r="CM4" s="6166"/>
      <c r="CN4" s="6166"/>
      <c r="CO4" s="478"/>
      <c r="CP4" s="1065"/>
      <c r="CQ4" s="1063"/>
    </row>
    <row r="5" spans="1:191" ht="12" customHeight="1" x14ac:dyDescent="0.2">
      <c r="A5" s="524"/>
      <c r="B5" s="1060"/>
      <c r="C5" s="2443"/>
      <c r="D5" s="2444"/>
      <c r="E5" s="2444"/>
      <c r="F5" s="2444"/>
      <c r="G5" s="2444"/>
      <c r="H5" s="2444"/>
      <c r="I5" s="2444"/>
      <c r="J5" s="6165"/>
      <c r="K5" s="6165"/>
      <c r="L5" s="6165"/>
      <c r="M5" s="6165"/>
      <c r="N5" s="2444"/>
      <c r="O5" s="2449"/>
      <c r="P5" s="2444"/>
      <c r="Q5" s="534"/>
      <c r="R5" s="530"/>
      <c r="S5" s="1967"/>
      <c r="T5" s="1967"/>
      <c r="U5" s="1450"/>
      <c r="V5" s="2443"/>
      <c r="W5" s="2444"/>
      <c r="X5" s="2444"/>
      <c r="Y5" s="2444"/>
      <c r="Z5" s="2444"/>
      <c r="AA5" s="2444"/>
      <c r="AB5" s="2444"/>
      <c r="AC5" s="6166"/>
      <c r="AD5" s="6166"/>
      <c r="AE5" s="6166"/>
      <c r="AF5" s="6166"/>
      <c r="AG5" s="6166"/>
      <c r="AH5" s="6166"/>
      <c r="AI5" s="6166"/>
      <c r="AJ5" s="534"/>
      <c r="AK5" s="530"/>
      <c r="AL5" s="1967"/>
      <c r="AM5" s="2458"/>
      <c r="AN5" s="1450"/>
      <c r="AO5" s="2443"/>
      <c r="AP5" s="2444"/>
      <c r="AQ5" s="2444"/>
      <c r="AR5" s="2444"/>
      <c r="AS5" s="2444"/>
      <c r="AT5" s="2444"/>
      <c r="AU5" s="2444"/>
      <c r="AV5" s="6166"/>
      <c r="AW5" s="6166"/>
      <c r="AX5" s="6166"/>
      <c r="AY5" s="6166"/>
      <c r="AZ5" s="6166"/>
      <c r="BA5" s="6166"/>
      <c r="BB5" s="6166"/>
      <c r="BC5" s="534"/>
      <c r="BD5" s="530"/>
      <c r="BE5" s="1967"/>
      <c r="BF5" s="1967"/>
      <c r="BG5" s="1450"/>
      <c r="BH5" s="2443"/>
      <c r="BI5" s="2444"/>
      <c r="BJ5" s="2444"/>
      <c r="BK5" s="2444"/>
      <c r="BL5" s="2444"/>
      <c r="BM5" s="2444"/>
      <c r="BN5" s="2444"/>
      <c r="BO5" s="6166"/>
      <c r="BP5" s="6166"/>
      <c r="BQ5" s="6166"/>
      <c r="BR5" s="6166"/>
      <c r="BS5" s="6166"/>
      <c r="BT5" s="6166"/>
      <c r="BU5" s="6166"/>
      <c r="BV5" s="534"/>
      <c r="BW5" s="530"/>
      <c r="BX5" s="1967"/>
      <c r="BY5" s="1967"/>
      <c r="BZ5" s="1450"/>
      <c r="CA5" s="2443"/>
      <c r="CB5" s="2444"/>
      <c r="CC5" s="2444"/>
      <c r="CD5" s="2444"/>
      <c r="CE5" s="2444"/>
      <c r="CF5" s="2444"/>
      <c r="CG5" s="2444"/>
      <c r="CH5" s="6166"/>
      <c r="CI5" s="6166"/>
      <c r="CJ5" s="6166"/>
      <c r="CK5" s="6166"/>
      <c r="CL5" s="6166"/>
      <c r="CM5" s="6166"/>
      <c r="CN5" s="6166"/>
      <c r="CO5" s="534"/>
      <c r="CP5" s="530"/>
      <c r="CQ5" s="524"/>
    </row>
    <row r="6" spans="1:191" ht="12" customHeight="1" x14ac:dyDescent="0.2">
      <c r="A6" s="524"/>
      <c r="B6" s="1060"/>
      <c r="C6" s="2443"/>
      <c r="D6" s="2444"/>
      <c r="E6" s="2444"/>
      <c r="F6" s="2444"/>
      <c r="G6" s="2444"/>
      <c r="H6" s="2444"/>
      <c r="I6" s="2447" t="s">
        <v>7811</v>
      </c>
      <c r="J6" s="6185" t="s">
        <v>1881</v>
      </c>
      <c r="K6" s="6185"/>
      <c r="L6" s="6185"/>
      <c r="M6" s="2444"/>
      <c r="N6" s="2444"/>
      <c r="O6" s="2449" t="s">
        <v>9579</v>
      </c>
      <c r="P6" s="2450">
        <f>IFERROR(VLOOKUP($J$6,Místicos!$C$15:$H$25,6,FALSE),0)</f>
        <v>0</v>
      </c>
      <c r="Q6" s="534"/>
      <c r="R6" s="530"/>
      <c r="S6" s="1967"/>
      <c r="T6" s="1967"/>
      <c r="U6" s="1450"/>
      <c r="V6" s="2443"/>
      <c r="W6" s="2444"/>
      <c r="X6" s="2444"/>
      <c r="Y6" s="2444"/>
      <c r="Z6" s="2444"/>
      <c r="AA6" s="2444"/>
      <c r="AB6" s="2447" t="s">
        <v>7811</v>
      </c>
      <c r="AC6" s="6167" t="str">
        <f>J6</f>
        <v>Agua</v>
      </c>
      <c r="AD6" s="6167"/>
      <c r="AE6" s="6167"/>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167" t="str">
        <f>AC6</f>
        <v>Agua</v>
      </c>
      <c r="AW6" s="6167"/>
      <c r="AX6" s="6167"/>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167" t="str">
        <f>AV6</f>
        <v>Agua</v>
      </c>
      <c r="BP6" s="6167"/>
      <c r="BQ6" s="6167"/>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167" t="str">
        <f>BO6</f>
        <v>Agua</v>
      </c>
      <c r="CI6" s="6167"/>
      <c r="CJ6" s="6167"/>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185" t="s">
        <v>90</v>
      </c>
      <c r="K7" s="6185"/>
      <c r="L7" s="6185"/>
      <c r="M7" s="2444"/>
      <c r="N7" s="2444"/>
      <c r="O7" s="2449" t="s">
        <v>9583</v>
      </c>
      <c r="P7" s="2451" t="s">
        <v>2400</v>
      </c>
      <c r="Q7" s="534"/>
      <c r="R7" s="530"/>
      <c r="S7" s="1967"/>
      <c r="T7" s="1967"/>
      <c r="U7" s="1450"/>
      <c r="V7" s="2443"/>
      <c r="W7" s="2444"/>
      <c r="X7" s="2444"/>
      <c r="Y7" s="2444"/>
      <c r="Z7" s="2444"/>
      <c r="AA7" s="2444"/>
      <c r="AB7" s="2448" t="s">
        <v>7812</v>
      </c>
      <c r="AC7" s="6167" t="str">
        <f>J7</f>
        <v>Sangre</v>
      </c>
      <c r="AD7" s="6167"/>
      <c r="AE7" s="6167"/>
      <c r="AF7" s="2444"/>
      <c r="AG7" s="2444"/>
      <c r="AH7" s="2444"/>
      <c r="AI7" s="2444"/>
      <c r="AJ7" s="534"/>
      <c r="AK7" s="530"/>
      <c r="AL7" s="1967"/>
      <c r="AM7" s="2458"/>
      <c r="AN7" s="1450"/>
      <c r="AO7" s="2443"/>
      <c r="AP7" s="2444"/>
      <c r="AQ7" s="2444"/>
      <c r="AR7" s="2444"/>
      <c r="AS7" s="2444"/>
      <c r="AT7" s="2444"/>
      <c r="AU7" s="2448" t="s">
        <v>7812</v>
      </c>
      <c r="AV7" s="6167" t="str">
        <f>AC7</f>
        <v>Sangre</v>
      </c>
      <c r="AW7" s="6167"/>
      <c r="AX7" s="6167"/>
      <c r="AY7" s="2444"/>
      <c r="AZ7" s="2444"/>
      <c r="BA7" s="2444"/>
      <c r="BB7" s="2444"/>
      <c r="BC7" s="534"/>
      <c r="BD7" s="530"/>
      <c r="BE7" s="1967"/>
      <c r="BF7" s="1967"/>
      <c r="BG7" s="1450"/>
      <c r="BH7" s="2443"/>
      <c r="BI7" s="2444"/>
      <c r="BJ7" s="2444"/>
      <c r="BK7" s="2444"/>
      <c r="BL7" s="2444"/>
      <c r="BM7" s="2444"/>
      <c r="BN7" s="2448" t="s">
        <v>7812</v>
      </c>
      <c r="BO7" s="6167" t="str">
        <f>AV7</f>
        <v>Sangre</v>
      </c>
      <c r="BP7" s="6167"/>
      <c r="BQ7" s="6167"/>
      <c r="BR7" s="2444"/>
      <c r="BS7" s="2444"/>
      <c r="BT7" s="2444"/>
      <c r="BU7" s="2444"/>
      <c r="BV7" s="534"/>
      <c r="BW7" s="530"/>
      <c r="BX7" s="1967"/>
      <c r="BY7" s="1967"/>
      <c r="BZ7" s="1450"/>
      <c r="CA7" s="2443"/>
      <c r="CB7" s="2444"/>
      <c r="CC7" s="2444"/>
      <c r="CD7" s="2444"/>
      <c r="CE7" s="2444"/>
      <c r="CF7" s="2444"/>
      <c r="CG7" s="2448" t="s">
        <v>7812</v>
      </c>
      <c r="CH7" s="6167" t="str">
        <f>BO7</f>
        <v>Sangre</v>
      </c>
      <c r="CI7" s="6167"/>
      <c r="CJ7" s="6167"/>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68" t="str">
        <f>"Conjuros de nivel "&amp;B11&amp;"-"&amp;B55</f>
        <v>Conjuros de nivel 2-10</v>
      </c>
      <c r="D10" s="6168"/>
      <c r="E10" s="6168"/>
      <c r="F10" s="6168"/>
      <c r="G10" s="6168"/>
      <c r="H10" s="6168"/>
      <c r="I10" s="6168"/>
      <c r="J10" s="6168"/>
      <c r="K10" s="6168"/>
      <c r="L10" s="6168"/>
      <c r="M10" s="6168"/>
      <c r="N10" s="6168"/>
      <c r="O10" s="6168"/>
      <c r="P10" s="6168"/>
      <c r="Q10" s="6168"/>
      <c r="R10" s="1068"/>
      <c r="S10" s="1967"/>
      <c r="T10" s="1967"/>
      <c r="U10" s="1070"/>
      <c r="V10" s="6168" t="str">
        <f>"Conjuros de nivel "&amp;U11&amp;"-"&amp;U55</f>
        <v>Conjuros de nivel 22-30</v>
      </c>
      <c r="W10" s="6168"/>
      <c r="X10" s="6168"/>
      <c r="Y10" s="6168"/>
      <c r="Z10" s="6168"/>
      <c r="AA10" s="6168"/>
      <c r="AB10" s="6168"/>
      <c r="AC10" s="6168"/>
      <c r="AD10" s="6168"/>
      <c r="AE10" s="6168"/>
      <c r="AF10" s="6168"/>
      <c r="AG10" s="6168"/>
      <c r="AH10" s="6168"/>
      <c r="AI10" s="6168"/>
      <c r="AJ10" s="6168"/>
      <c r="AK10" s="1068"/>
      <c r="AL10" s="1967"/>
      <c r="AM10" s="2458"/>
      <c r="AN10" s="1070"/>
      <c r="AO10" s="6168" t="str">
        <f>"Conjuros de nivel "&amp;AN11&amp;"-"&amp;AN55</f>
        <v>Conjuros de nivel 42-50</v>
      </c>
      <c r="AP10" s="6168"/>
      <c r="AQ10" s="6168"/>
      <c r="AR10" s="6168"/>
      <c r="AS10" s="6168"/>
      <c r="AT10" s="6168"/>
      <c r="AU10" s="6168"/>
      <c r="AV10" s="6168"/>
      <c r="AW10" s="6168"/>
      <c r="AX10" s="6168"/>
      <c r="AY10" s="6168"/>
      <c r="AZ10" s="6168"/>
      <c r="BA10" s="6168"/>
      <c r="BB10" s="6168"/>
      <c r="BC10" s="6168"/>
      <c r="BD10" s="1068"/>
      <c r="BE10" s="1967"/>
      <c r="BF10" s="1967"/>
      <c r="BG10" s="1070"/>
      <c r="BH10" s="6168" t="str">
        <f>"Conjuros de nivel "&amp;BG11&amp;"-"&amp;BG55</f>
        <v>Conjuros de nivel 62-70</v>
      </c>
      <c r="BI10" s="6168"/>
      <c r="BJ10" s="6168"/>
      <c r="BK10" s="6168"/>
      <c r="BL10" s="6168"/>
      <c r="BM10" s="6168"/>
      <c r="BN10" s="6168"/>
      <c r="BO10" s="6168"/>
      <c r="BP10" s="6168"/>
      <c r="BQ10" s="6168"/>
      <c r="BR10" s="6168"/>
      <c r="BS10" s="6168"/>
      <c r="BT10" s="6168"/>
      <c r="BU10" s="6168"/>
      <c r="BV10" s="6168"/>
      <c r="BW10" s="1068"/>
      <c r="BX10" s="1967"/>
      <c r="BY10" s="1967"/>
      <c r="BZ10" s="1070"/>
      <c r="CA10" s="6168" t="str">
        <f>"Conjuros de nivel "&amp;BZ11&amp;"-"&amp;BZ55</f>
        <v>Conjuros de nivel 82-90</v>
      </c>
      <c r="CB10" s="6168"/>
      <c r="CC10" s="6168"/>
      <c r="CD10" s="6168"/>
      <c r="CE10" s="6168"/>
      <c r="CF10" s="6168"/>
      <c r="CG10" s="6168"/>
      <c r="CH10" s="6168"/>
      <c r="CI10" s="6168"/>
      <c r="CJ10" s="6168"/>
      <c r="CK10" s="6168"/>
      <c r="CL10" s="6168"/>
      <c r="CM10" s="6168"/>
      <c r="CN10" s="6168"/>
      <c r="CO10" s="6168"/>
      <c r="CP10" s="1068"/>
      <c r="CQ10" s="524"/>
      <c r="GH10" s="536"/>
      <c r="GI10" s="530"/>
    </row>
    <row r="11" spans="1:191" ht="12" customHeight="1" x14ac:dyDescent="0.2">
      <c r="A11" s="524"/>
      <c r="B11" s="1060">
        <v>2</v>
      </c>
      <c r="C11" s="617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75"/>
      <c r="E11" s="6175"/>
      <c r="F11" s="6175"/>
      <c r="G11" s="6176"/>
      <c r="H11" s="537" t="s">
        <v>1597</v>
      </c>
      <c r="I11" s="538">
        <f>B11</f>
        <v>2</v>
      </c>
      <c r="J11" s="6173" t="s">
        <v>6888</v>
      </c>
      <c r="K11" s="6173"/>
      <c r="L11" s="6173"/>
      <c r="M11" s="6161" t="str">
        <f>IF(C11=0,"",VLOOKUP(C11,'Tablas Magia'!$D$6:$Z$680,2,FALSE))</f>
        <v>Agua</v>
      </c>
      <c r="N11" s="6161"/>
      <c r="O11" s="2428"/>
      <c r="P11" s="6177" t="str">
        <f>IFERROR(IF(M11="Libre Acceso","Aprendido",IF(IFERROR(VLOOKUP(M11,Místicos!$C$15:$H$25,6,0)&gt;=I11,FALSE),"Aprendido",IF(IFERROR(VLOOKUP(M11,Místicos!$E$15:$H$25,4,0)&gt;=I11,FALSE),"Aprendido",""))),"")</f>
        <v/>
      </c>
      <c r="Q11" s="6178"/>
      <c r="R11" s="530"/>
      <c r="S11" s="1967"/>
      <c r="T11" s="1967"/>
      <c r="U11" s="1060">
        <f>B11+20</f>
        <v>22</v>
      </c>
      <c r="V11" s="617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75"/>
      <c r="X11" s="6175"/>
      <c r="Y11" s="6175"/>
      <c r="Z11" s="6176"/>
      <c r="AA11" s="537" t="s">
        <v>1597</v>
      </c>
      <c r="AB11" s="538">
        <f>U11</f>
        <v>22</v>
      </c>
      <c r="AC11" s="6173" t="s">
        <v>6888</v>
      </c>
      <c r="AD11" s="6173"/>
      <c r="AE11" s="6173"/>
      <c r="AF11" s="6161" t="str">
        <f>IF(V11=0,"",VLOOKUP(V11,'Tablas Magia'!$D$6:$Z$680,2,FALSE))</f>
        <v>Agua</v>
      </c>
      <c r="AG11" s="6161"/>
      <c r="AH11" s="2428"/>
      <c r="AI11" s="6177" t="str">
        <f>IFERROR(IF(AF11="Libre Acceso","Aprendido",IF(IFERROR(VLOOKUP(AF11,Místicos!$C$15:$H$25,6,0)&gt;=AB11,FALSE),"Aprendido",IF(IFERROR(VLOOKUP(AF11,Místicos!$E$15:$H$25,4,0)&gt;=AB11,FALSE),"Aprendido",""))),"")</f>
        <v/>
      </c>
      <c r="AJ11" s="6178"/>
      <c r="AK11" s="530"/>
      <c r="AL11" s="524"/>
      <c r="AM11" s="588"/>
      <c r="AN11" s="1060">
        <f>U11+20</f>
        <v>42</v>
      </c>
      <c r="AO11" s="617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75"/>
      <c r="AQ11" s="6175"/>
      <c r="AR11" s="6175"/>
      <c r="AS11" s="6176"/>
      <c r="AT11" s="537" t="s">
        <v>1597</v>
      </c>
      <c r="AU11" s="538">
        <f>AN11</f>
        <v>42</v>
      </c>
      <c r="AV11" s="6173" t="s">
        <v>6888</v>
      </c>
      <c r="AW11" s="6173"/>
      <c r="AX11" s="6173"/>
      <c r="AY11" s="6161" t="str">
        <f>IF(AO11=0,"",VLOOKUP(AO11,'Tablas Magia'!$D$6:$Z$680,2,FALSE))</f>
        <v>Agua</v>
      </c>
      <c r="AZ11" s="6161"/>
      <c r="BA11" s="2428"/>
      <c r="BB11" s="6177" t="str">
        <f>IFERROR(IF(AY11="Libre Acceso","Aprendido",IF(IFERROR(VLOOKUP(AY11,Místicos!$C$15:$H$25,6,0)&gt;=AU11,FALSE),"Aprendido",IF(IFERROR(VLOOKUP(AY11,Místicos!$E$15:$H$25,4,0)&gt;=AU11,FALSE),"Aprendido",""))),"")</f>
        <v/>
      </c>
      <c r="BC11" s="6178"/>
      <c r="BD11" s="530"/>
      <c r="BE11" s="524"/>
      <c r="BF11" s="524"/>
      <c r="BG11" s="1060">
        <f>AN11+20</f>
        <v>62</v>
      </c>
      <c r="BH11" s="617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75"/>
      <c r="BJ11" s="6175"/>
      <c r="BK11" s="6175"/>
      <c r="BL11" s="6176"/>
      <c r="BM11" s="537" t="s">
        <v>1597</v>
      </c>
      <c r="BN11" s="538">
        <f>BG11</f>
        <v>62</v>
      </c>
      <c r="BO11" s="6173" t="s">
        <v>6888</v>
      </c>
      <c r="BP11" s="6173"/>
      <c r="BQ11" s="6173"/>
      <c r="BR11" s="6161" t="str">
        <f>IF(BH11=0,"",VLOOKUP(BH11,'Tablas Magia'!$D$6:$Z$680,2,FALSE))</f>
        <v>Agua</v>
      </c>
      <c r="BS11" s="6161"/>
      <c r="BT11" s="2428"/>
      <c r="BU11" s="6177" t="str">
        <f>IFERROR(IF(BR11="Libre Acceso","Aprendido",IF(IFERROR(VLOOKUP(BR11,Místicos!$C$15:$H$25,6,0)&gt;=BN11,FALSE),"Aprendido",IF(IFERROR(VLOOKUP(BR11,Místicos!$E$15:$H$25,4,0)&gt;=BN11,FALSE),"Aprendido",""))),"")</f>
        <v/>
      </c>
      <c r="BV11" s="6178"/>
      <c r="BW11" s="530"/>
      <c r="BX11" s="524"/>
      <c r="BY11" s="524"/>
      <c r="BZ11" s="1060">
        <f>BG11+20</f>
        <v>82</v>
      </c>
      <c r="CA11" s="617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75"/>
      <c r="CC11" s="6175"/>
      <c r="CD11" s="6175"/>
      <c r="CE11" s="6176"/>
      <c r="CF11" s="537" t="s">
        <v>1597</v>
      </c>
      <c r="CG11" s="538">
        <f>BZ11</f>
        <v>82</v>
      </c>
      <c r="CH11" s="6173" t="s">
        <v>6888</v>
      </c>
      <c r="CI11" s="6173"/>
      <c r="CJ11" s="6173"/>
      <c r="CK11" s="6161" t="str">
        <f>IF(CA11=0,"",VLOOKUP(CA11,'Tablas Magia'!$D$6:$Z$680,2,FALSE))</f>
        <v>Agua</v>
      </c>
      <c r="CL11" s="6161"/>
      <c r="CM11" s="2428"/>
      <c r="CN11" s="6177" t="str">
        <f>IFERROR(IF(CK11="Libre Acceso","Aprendido",IF(IFERROR(VLOOKUP(CK11,Místicos!$C$15:$H$25,6,0)&gt;=CG11,FALSE),"Aprendido",IF(IFERROR(VLOOKUP(CK11,Místicos!$E$15:$H$25,4,0)&gt;=CG11,FALSE),"Aprendido",""))),"")</f>
        <v/>
      </c>
      <c r="CO11" s="6178"/>
      <c r="CP11" s="530"/>
      <c r="CQ11" s="524"/>
      <c r="GI11" s="530"/>
    </row>
    <row r="12" spans="1:191" ht="12" customHeight="1" x14ac:dyDescent="0.2">
      <c r="A12" s="524"/>
      <c r="B12" s="1060"/>
      <c r="C12" s="6156" t="s">
        <v>6889</v>
      </c>
      <c r="D12" s="6172"/>
      <c r="E12" s="2452" t="s">
        <v>6890</v>
      </c>
      <c r="F12" s="2452" t="s">
        <v>1783</v>
      </c>
      <c r="G12" s="2452" t="s">
        <v>3227</v>
      </c>
      <c r="H12" s="2453" t="s">
        <v>2121</v>
      </c>
      <c r="I12" s="6170" t="str">
        <f>IF(C11=0,"",VLOOKUP(C11,'Tablas Magia'!$D$6:$Z$680,5,FALSE))</f>
        <v>Efecto</v>
      </c>
      <c r="J12" s="6170"/>
      <c r="K12" s="6171" t="s">
        <v>6891</v>
      </c>
      <c r="L12" s="6171"/>
      <c r="M12" s="6170" t="str">
        <f>IF(C11=0,"",VLOOKUP(C11,'Tablas Magia'!$D$6:$Z$680,6,FALSE))</f>
        <v>Activa</v>
      </c>
      <c r="N12" s="6170"/>
      <c r="O12" s="6169" t="s">
        <v>6892</v>
      </c>
      <c r="P12" s="6169"/>
      <c r="Q12" s="2454" t="str">
        <f>IF(C11=0,"",VLOOKUP(C11,'Tablas Magia'!$D$6:$Z$680,4,FALSE))</f>
        <v>Si</v>
      </c>
      <c r="R12" s="530"/>
      <c r="S12" s="524"/>
      <c r="T12" s="524"/>
      <c r="U12" s="1060"/>
      <c r="V12" s="6156" t="s">
        <v>6889</v>
      </c>
      <c r="W12" s="6172"/>
      <c r="X12" s="2452" t="s">
        <v>6890</v>
      </c>
      <c r="Y12" s="2452" t="s">
        <v>1783</v>
      </c>
      <c r="Z12" s="2452" t="s">
        <v>3227</v>
      </c>
      <c r="AA12" s="2453" t="s">
        <v>2121</v>
      </c>
      <c r="AB12" s="6170" t="str">
        <f>IF(V11=0,"",VLOOKUP(V11,'Tablas Magia'!$D$6:$Z$680,5,FALSE))</f>
        <v>Animico</v>
      </c>
      <c r="AC12" s="6170"/>
      <c r="AD12" s="6171" t="s">
        <v>6891</v>
      </c>
      <c r="AE12" s="6171"/>
      <c r="AF12" s="6170" t="str">
        <f>IF(V11=0,"",VLOOKUP(V11,'Tablas Magia'!$D$6:$Z$680,6,FALSE))</f>
        <v>Activa</v>
      </c>
      <c r="AG12" s="6170"/>
      <c r="AH12" s="6169" t="s">
        <v>6892</v>
      </c>
      <c r="AI12" s="6169"/>
      <c r="AJ12" s="2454" t="str">
        <f>IF(V11=0,"",VLOOKUP(V11,'Tablas Magia'!$D$6:$Z$680,4,FALSE))</f>
        <v>Si</v>
      </c>
      <c r="AK12" s="530"/>
      <c r="AL12" s="524"/>
      <c r="AM12" s="588"/>
      <c r="AN12" s="1060"/>
      <c r="AO12" s="6156" t="s">
        <v>6889</v>
      </c>
      <c r="AP12" s="6172"/>
      <c r="AQ12" s="2452" t="s">
        <v>6890</v>
      </c>
      <c r="AR12" s="2452" t="s">
        <v>1783</v>
      </c>
      <c r="AS12" s="2452" t="s">
        <v>3227</v>
      </c>
      <c r="AT12" s="2453" t="s">
        <v>2121</v>
      </c>
      <c r="AU12" s="6170" t="str">
        <f>IF(AO11=0,"",VLOOKUP(AO11,'Tablas Magia'!$D$6:$Z$680,5,FALSE))</f>
        <v>Ataque</v>
      </c>
      <c r="AV12" s="6170"/>
      <c r="AW12" s="6171" t="s">
        <v>6891</v>
      </c>
      <c r="AX12" s="6171"/>
      <c r="AY12" s="6170" t="str">
        <f>IF(AO11=0,"",VLOOKUP(AO11,'Tablas Magia'!$D$6:$Z$680,6,FALSE))</f>
        <v>Activa</v>
      </c>
      <c r="AZ12" s="6170"/>
      <c r="BA12" s="6169" t="s">
        <v>6892</v>
      </c>
      <c r="BB12" s="6169"/>
      <c r="BC12" s="2454" t="str">
        <f>IF(AO11=0,"",VLOOKUP(AO11,'Tablas Magia'!$D$6:$Z$680,4,FALSE))</f>
        <v>No</v>
      </c>
      <c r="BD12" s="530"/>
      <c r="BE12" s="524"/>
      <c r="BF12" s="524"/>
      <c r="BG12" s="1060"/>
      <c r="BH12" s="6156" t="s">
        <v>6889</v>
      </c>
      <c r="BI12" s="6172"/>
      <c r="BJ12" s="2452" t="s">
        <v>6890</v>
      </c>
      <c r="BK12" s="2452" t="s">
        <v>1783</v>
      </c>
      <c r="BL12" s="2452" t="s">
        <v>3227</v>
      </c>
      <c r="BM12" s="2453" t="s">
        <v>2121</v>
      </c>
      <c r="BN12" s="6170" t="str">
        <f>IF(BH11=0,"",VLOOKUP(BH11,'Tablas Magia'!$D$6:$Z$680,5,FALSE))</f>
        <v>Efecto</v>
      </c>
      <c r="BO12" s="6170"/>
      <c r="BP12" s="6171" t="s">
        <v>6891</v>
      </c>
      <c r="BQ12" s="6171"/>
      <c r="BR12" s="6170" t="str">
        <f>IF(BH11=0,"",VLOOKUP(BH11,'Tablas Magia'!$D$6:$Z$680,6,FALSE))</f>
        <v>Activa</v>
      </c>
      <c r="BS12" s="6170"/>
      <c r="BT12" s="6169" t="s">
        <v>6892</v>
      </c>
      <c r="BU12" s="6169"/>
      <c r="BV12" s="2454" t="str">
        <f>IF(BH11=0,"",VLOOKUP(BH11,'Tablas Magia'!$D$6:$Z$680,4,FALSE))</f>
        <v>Si</v>
      </c>
      <c r="BW12" s="530"/>
      <c r="BX12" s="524"/>
      <c r="BY12" s="524"/>
      <c r="BZ12" s="1060"/>
      <c r="CA12" s="6156" t="s">
        <v>6889</v>
      </c>
      <c r="CB12" s="6172"/>
      <c r="CC12" s="2452" t="s">
        <v>6890</v>
      </c>
      <c r="CD12" s="2452" t="s">
        <v>1783</v>
      </c>
      <c r="CE12" s="2452" t="s">
        <v>3227</v>
      </c>
      <c r="CF12" s="2453" t="s">
        <v>2121</v>
      </c>
      <c r="CG12" s="6170" t="str">
        <f>IF(CA11=0,"",VLOOKUP(CA11,'Tablas Magia'!$D$6:$Z$680,5,FALSE))</f>
        <v>Efecto</v>
      </c>
      <c r="CH12" s="6170"/>
      <c r="CI12" s="6171" t="s">
        <v>6891</v>
      </c>
      <c r="CJ12" s="6171"/>
      <c r="CK12" s="6170" t="str">
        <f>IF(CA11=0,"",VLOOKUP(CA11,'Tablas Magia'!$D$6:$Z$680,6,FALSE))</f>
        <v>Activa</v>
      </c>
      <c r="CL12" s="6170"/>
      <c r="CM12" s="6169" t="s">
        <v>6892</v>
      </c>
      <c r="CN12" s="6169"/>
      <c r="CO12" s="2454" t="str">
        <f>IF(CA11=0,"",VLOOKUP(CA11,'Tablas Magia'!$D$6:$Z$680,4,FALSE))</f>
        <v>Si</v>
      </c>
      <c r="CP12" s="530"/>
      <c r="CQ12" s="524"/>
    </row>
    <row r="13" spans="1:191" ht="12" customHeight="1" x14ac:dyDescent="0.2">
      <c r="A13" s="524"/>
      <c r="B13" s="1060"/>
      <c r="C13" s="6132" t="s">
        <v>1638</v>
      </c>
      <c r="D13" s="6133"/>
      <c r="E13" s="542">
        <f>IF(C11=0,"",VLOOKUP(C11,'Tablas Magia'!$D$6:$Z$680,7,FALSE))</f>
        <v>5</v>
      </c>
      <c r="F13" s="542">
        <f>IF(C11=0,"",VLOOKUP(C11,'Tablas Magia'!$D$6:$Z$680,11,FALSE))</f>
        <v>30</v>
      </c>
      <c r="G13" s="543">
        <f>IF(C11=0,"",VLOOKUP(C11,'Tablas Magia'!$D$6:$Z$680,15,FALSE))</f>
        <v>5</v>
      </c>
      <c r="H13" s="6134" t="str">
        <f>IF(C11=0,"",VLOOKUP(C11,'Tablas Magia'!$D$6:$Z$680,19,FALSE))</f>
        <v>100 metros.</v>
      </c>
      <c r="I13" s="6135"/>
      <c r="J13" s="6135"/>
      <c r="K13" s="6135"/>
      <c r="L13" s="6135"/>
      <c r="M13" s="6135"/>
      <c r="N13" s="6135"/>
      <c r="O13" s="6135"/>
      <c r="P13" s="6135"/>
      <c r="Q13" s="6136"/>
      <c r="R13" s="530"/>
      <c r="S13" s="524"/>
      <c r="T13" s="524"/>
      <c r="U13" s="1060"/>
      <c r="V13" s="6132" t="s">
        <v>1638</v>
      </c>
      <c r="W13" s="6133"/>
      <c r="X13" s="542">
        <f>IF(V11=0,"",VLOOKUP(V11,'Tablas Magia'!$D$6:$Z$680,7,FALSE))</f>
        <v>6</v>
      </c>
      <c r="Y13" s="542">
        <f>IF(V11=0,"",VLOOKUP(V11,'Tablas Magia'!$D$6:$Z$680,11,FALSE))</f>
        <v>60</v>
      </c>
      <c r="Z13" s="543">
        <f>IF(V11=0,"",VLOOKUP(V11,'Tablas Magia'!$D$6:$Z$680,15,FALSE))</f>
        <v>10</v>
      </c>
      <c r="AA13" s="6134" t="str">
        <f>IF(V11=0,"",VLOOKUP(V11,'Tablas Magia'!$D$6:$Z$680,19,FALSE))</f>
        <v>RM o RF 100 / 5 litros.</v>
      </c>
      <c r="AB13" s="6135"/>
      <c r="AC13" s="6135"/>
      <c r="AD13" s="6135"/>
      <c r="AE13" s="6135"/>
      <c r="AF13" s="6135"/>
      <c r="AG13" s="6135"/>
      <c r="AH13" s="6135"/>
      <c r="AI13" s="6135"/>
      <c r="AJ13" s="6136"/>
      <c r="AK13" s="530"/>
      <c r="AL13" s="524"/>
      <c r="AM13" s="588"/>
      <c r="AN13" s="1060"/>
      <c r="AO13" s="6132" t="s">
        <v>1638</v>
      </c>
      <c r="AP13" s="6133"/>
      <c r="AQ13" s="542">
        <f>IF(AO11=0,"",VLOOKUP(AO11,'Tablas Magia'!$D$6:$Z$680,7,FALSE))</f>
        <v>6</v>
      </c>
      <c r="AR13" s="542">
        <f>IF(AO11=0,"",VLOOKUP(AO11,'Tablas Magia'!$D$6:$Z$680,11,FALSE))</f>
        <v>80</v>
      </c>
      <c r="AS13" s="543" t="str">
        <f>IF(AO11=0,"",VLOOKUP(AO11,'Tablas Magia'!$D$6:$Z$680,15,FALSE))</f>
        <v>No</v>
      </c>
      <c r="AT13" s="6134" t="str">
        <f>IF(AO11=0,"",VLOOKUP(AO11,'Tablas Magia'!$D$6:$Z$680,19,FALSE))</f>
        <v>Daño 100.</v>
      </c>
      <c r="AU13" s="6135"/>
      <c r="AV13" s="6135"/>
      <c r="AW13" s="6135"/>
      <c r="AX13" s="6135"/>
      <c r="AY13" s="6135"/>
      <c r="AZ13" s="6135"/>
      <c r="BA13" s="6135"/>
      <c r="BB13" s="6135"/>
      <c r="BC13" s="6136"/>
      <c r="BD13" s="530"/>
      <c r="BE13" s="524"/>
      <c r="BF13" s="524"/>
      <c r="BG13" s="1060"/>
      <c r="BH13" s="6132" t="s">
        <v>1638</v>
      </c>
      <c r="BI13" s="6133"/>
      <c r="BJ13" s="542">
        <f>IF(BH11=0,"",VLOOKUP(BH11,'Tablas Magia'!$D$6:$Z$680,7,FALSE))</f>
        <v>6</v>
      </c>
      <c r="BK13" s="542">
        <f>IF(BH11=0,"",VLOOKUP(BH11,'Tablas Magia'!$D$6:$Z$680,11,FALSE))</f>
        <v>150</v>
      </c>
      <c r="BL13" s="543">
        <f>IF(BH11=0,"",VLOOKUP(BH11,'Tablas Magia'!$D$6:$Z$680,15,FALSE))</f>
        <v>15</v>
      </c>
      <c r="BM13" s="6134" t="str">
        <f>IF(BH11=0,"",VLOOKUP(BH11,'Tablas Magia'!$D$6:$Z$680,19,FALSE))</f>
        <v>500 metros de radio.</v>
      </c>
      <c r="BN13" s="6135"/>
      <c r="BO13" s="6135"/>
      <c r="BP13" s="6135"/>
      <c r="BQ13" s="6135"/>
      <c r="BR13" s="6135"/>
      <c r="BS13" s="6135"/>
      <c r="BT13" s="6135"/>
      <c r="BU13" s="6135"/>
      <c r="BV13" s="6136"/>
      <c r="BW13" s="530"/>
      <c r="BX13" s="524"/>
      <c r="BY13" s="524"/>
      <c r="BZ13" s="1060"/>
      <c r="CA13" s="6132" t="s">
        <v>1638</v>
      </c>
      <c r="CB13" s="6133"/>
      <c r="CC13" s="542">
        <f>IF(CA11=0,"",VLOOKUP(CA11,'Tablas Magia'!$D$6:$Z$680,7,FALSE))</f>
        <v>10</v>
      </c>
      <c r="CD13" s="542">
        <f>IF(CA11=0,"",VLOOKUP(CA11,'Tablas Magia'!$D$6:$Z$680,11,FALSE))</f>
        <v>250</v>
      </c>
      <c r="CE13" s="543">
        <f>IF(CA11=0,"",VLOOKUP(CA11,'Tablas Magia'!$D$6:$Z$680,15,FALSE))</f>
        <v>50</v>
      </c>
      <c r="CF13" s="6134" t="str">
        <f>IF(CA11=0,"",VLOOKUP(CA11,'Tablas Magia'!$D$6:$Z$680,19,FALSE))</f>
        <v>Nivel 1.</v>
      </c>
      <c r="CG13" s="6135"/>
      <c r="CH13" s="6135"/>
      <c r="CI13" s="6135"/>
      <c r="CJ13" s="6135"/>
      <c r="CK13" s="6135"/>
      <c r="CL13" s="6135"/>
      <c r="CM13" s="6135"/>
      <c r="CN13" s="6135"/>
      <c r="CO13" s="6136"/>
      <c r="CP13" s="530"/>
      <c r="CQ13" s="524"/>
    </row>
    <row r="14" spans="1:191" ht="12" customHeight="1" x14ac:dyDescent="0.2">
      <c r="A14" s="524"/>
      <c r="B14" s="1060"/>
      <c r="C14" s="6137" t="s">
        <v>3777</v>
      </c>
      <c r="D14" s="6138"/>
      <c r="E14" s="544">
        <f>IF(C11=0,"",VLOOKUP(C11,'Tablas Magia'!$D$6:$Z$680,8,FALSE))</f>
        <v>7</v>
      </c>
      <c r="F14" s="544">
        <f>IF(C11=0,"",VLOOKUP(C11,'Tablas Magia'!$D$6:$Z$680,12,FALSE))</f>
        <v>80</v>
      </c>
      <c r="G14" s="545">
        <f>IF(C11=0,"",VLOOKUP(C11,'Tablas Magia'!$D$6:$Z$680,16,FALSE))</f>
        <v>10</v>
      </c>
      <c r="H14" s="6139" t="str">
        <f>IF(C11=0,"",VLOOKUP(C11,'Tablas Magia'!$D$6:$Z$680,20,FALSE))</f>
        <v>250 metros.</v>
      </c>
      <c r="I14" s="6140"/>
      <c r="J14" s="6140"/>
      <c r="K14" s="6140"/>
      <c r="L14" s="6140"/>
      <c r="M14" s="6140"/>
      <c r="N14" s="6140"/>
      <c r="O14" s="6140"/>
      <c r="P14" s="6140"/>
      <c r="Q14" s="6141"/>
      <c r="R14" s="530"/>
      <c r="S14" s="524"/>
      <c r="T14" s="524"/>
      <c r="U14" s="1060"/>
      <c r="V14" s="6137" t="s">
        <v>3777</v>
      </c>
      <c r="W14" s="6138"/>
      <c r="X14" s="544">
        <f>IF(V11=0,"",VLOOKUP(V11,'Tablas Magia'!$D$6:$Z$680,8,FALSE))</f>
        <v>9</v>
      </c>
      <c r="Y14" s="544">
        <f>IF(V11=0,"",VLOOKUP(V11,'Tablas Magia'!$D$6:$Z$680,12,FALSE))</f>
        <v>100</v>
      </c>
      <c r="Z14" s="545">
        <f>IF(V11=0,"",VLOOKUP(V11,'Tablas Magia'!$D$6:$Z$680,16,FALSE))</f>
        <v>10</v>
      </c>
      <c r="AA14" s="6139" t="str">
        <f>IF(V11=0,"",VLOOKUP(V11,'Tablas Magia'!$D$6:$Z$680,20,FALSE))</f>
        <v>RM o RF 120 / 50 litros.</v>
      </c>
      <c r="AB14" s="6140"/>
      <c r="AC14" s="6140"/>
      <c r="AD14" s="6140"/>
      <c r="AE14" s="6140"/>
      <c r="AF14" s="6140"/>
      <c r="AG14" s="6140"/>
      <c r="AH14" s="6140"/>
      <c r="AI14" s="6140"/>
      <c r="AJ14" s="6141"/>
      <c r="AK14" s="530"/>
      <c r="AL14" s="524"/>
      <c r="AM14" s="588"/>
      <c r="AN14" s="1060"/>
      <c r="AO14" s="6137" t="s">
        <v>3777</v>
      </c>
      <c r="AP14" s="6138"/>
      <c r="AQ14" s="544">
        <f>IF(AO11=0,"",VLOOKUP(AO11,'Tablas Magia'!$D$6:$Z$680,8,FALSE))</f>
        <v>9</v>
      </c>
      <c r="AR14" s="544">
        <f>IF(AO11=0,"",VLOOKUP(AO11,'Tablas Magia'!$D$6:$Z$680,12,FALSE))</f>
        <v>160</v>
      </c>
      <c r="AS14" s="545" t="str">
        <f>IF(AO11=0,"",VLOOKUP(AO11,'Tablas Magia'!$D$6:$Z$680,16,FALSE))</f>
        <v>No</v>
      </c>
      <c r="AT14" s="6139" t="str">
        <f>IF(AO11=0,"",VLOOKUP(AO11,'Tablas Magia'!$D$6:$Z$680,20,FALSE))</f>
        <v>Daño 150.</v>
      </c>
      <c r="AU14" s="6140"/>
      <c r="AV14" s="6140"/>
      <c r="AW14" s="6140"/>
      <c r="AX14" s="6140"/>
      <c r="AY14" s="6140"/>
      <c r="AZ14" s="6140"/>
      <c r="BA14" s="6140"/>
      <c r="BB14" s="6140"/>
      <c r="BC14" s="6141"/>
      <c r="BD14" s="530"/>
      <c r="BE14" s="524"/>
      <c r="BF14" s="524"/>
      <c r="BG14" s="1060"/>
      <c r="BH14" s="6137" t="s">
        <v>3777</v>
      </c>
      <c r="BI14" s="6138"/>
      <c r="BJ14" s="544">
        <f>IF(BH11=0,"",VLOOKUP(BH11,'Tablas Magia'!$D$6:$Z$680,8,FALSE))</f>
        <v>9</v>
      </c>
      <c r="BK14" s="544">
        <f>IF(BH11=0,"",VLOOKUP(BH11,'Tablas Magia'!$D$6:$Z$680,12,FALSE))</f>
        <v>300</v>
      </c>
      <c r="BL14" s="545">
        <f>IF(BH11=0,"",VLOOKUP(BH11,'Tablas Magia'!$D$6:$Z$680,16,FALSE))</f>
        <v>30</v>
      </c>
      <c r="BM14" s="6139" t="str">
        <f>IF(BH11=0,"",VLOOKUP(BH11,'Tablas Magia'!$D$6:$Z$680,20,FALSE))</f>
        <v>1 kilómetro de radio.</v>
      </c>
      <c r="BN14" s="6140"/>
      <c r="BO14" s="6140"/>
      <c r="BP14" s="6140"/>
      <c r="BQ14" s="6140"/>
      <c r="BR14" s="6140"/>
      <c r="BS14" s="6140"/>
      <c r="BT14" s="6140"/>
      <c r="BU14" s="6140"/>
      <c r="BV14" s="6141"/>
      <c r="BW14" s="530"/>
      <c r="BX14" s="524"/>
      <c r="BY14" s="524"/>
      <c r="BZ14" s="1060"/>
      <c r="CA14" s="6137" t="s">
        <v>3777</v>
      </c>
      <c r="CB14" s="6138"/>
      <c r="CC14" s="544">
        <f>IF(CA11=0,"",VLOOKUP(CA11,'Tablas Magia'!$D$6:$Z$680,8,FALSE))</f>
        <v>12</v>
      </c>
      <c r="CD14" s="544">
        <f>IF(CA11=0,"",VLOOKUP(CA11,'Tablas Magia'!$D$6:$Z$680,12,FALSE))</f>
        <v>350</v>
      </c>
      <c r="CE14" s="545">
        <f>IF(CA11=0,"",VLOOKUP(CA11,'Tablas Magia'!$D$6:$Z$680,16,FALSE))</f>
        <v>70</v>
      </c>
      <c r="CF14" s="6139" t="str">
        <f>IF(CA11=0,"",VLOOKUP(CA11,'Tablas Magia'!$D$6:$Z$680,20,FALSE))</f>
        <v>Nivel 3.</v>
      </c>
      <c r="CG14" s="6140"/>
      <c r="CH14" s="6140"/>
      <c r="CI14" s="6140"/>
      <c r="CJ14" s="6140"/>
      <c r="CK14" s="6140"/>
      <c r="CL14" s="6140"/>
      <c r="CM14" s="6140"/>
      <c r="CN14" s="6140"/>
      <c r="CO14" s="6141"/>
      <c r="CP14" s="530"/>
      <c r="CQ14" s="524"/>
    </row>
    <row r="15" spans="1:191" ht="12" customHeight="1" x14ac:dyDescent="0.2">
      <c r="A15" s="524"/>
      <c r="B15" s="1060"/>
      <c r="C15" s="6132" t="s">
        <v>3778</v>
      </c>
      <c r="D15" s="6133"/>
      <c r="E15" s="542">
        <f>IF(C11=0,"",VLOOKUP(C11,'Tablas Magia'!$D$6:$Z$680,9,FALSE))</f>
        <v>10</v>
      </c>
      <c r="F15" s="542">
        <f>IF(C11=0,"",VLOOKUP(C11,'Tablas Magia'!$D$6:$Z$680,13,FALSE))</f>
        <v>120</v>
      </c>
      <c r="G15" s="543">
        <f>IF(C11=0,"",VLOOKUP(C11,'Tablas Magia'!$D$6:$Z$680,17,FALSE))</f>
        <v>15</v>
      </c>
      <c r="H15" s="6134" t="str">
        <f>IF(C11=0,"",VLOOKUP(C11,'Tablas Magia'!$D$6:$Z$680,21,FALSE))</f>
        <v>500 metros.</v>
      </c>
      <c r="I15" s="6135"/>
      <c r="J15" s="6135"/>
      <c r="K15" s="6135"/>
      <c r="L15" s="6135"/>
      <c r="M15" s="6135"/>
      <c r="N15" s="6135"/>
      <c r="O15" s="6135"/>
      <c r="P15" s="6135"/>
      <c r="Q15" s="6136"/>
      <c r="R15" s="530"/>
      <c r="S15" s="524"/>
      <c r="T15" s="524"/>
      <c r="U15" s="1060"/>
      <c r="V15" s="6132" t="s">
        <v>3778</v>
      </c>
      <c r="W15" s="6133"/>
      <c r="X15" s="542">
        <f>IF(V11=0,"",VLOOKUP(V11,'Tablas Magia'!$D$6:$Z$680,9,FALSE))</f>
        <v>12</v>
      </c>
      <c r="Y15" s="542">
        <f>IF(V11=0,"",VLOOKUP(V11,'Tablas Magia'!$D$6:$Z$680,13,FALSE))</f>
        <v>150</v>
      </c>
      <c r="Z15" s="543">
        <f>IF(V11=0,"",VLOOKUP(V11,'Tablas Magia'!$D$6:$Z$680,17,FALSE))</f>
        <v>15</v>
      </c>
      <c r="AA15" s="6134" t="str">
        <f>IF(V11=0,"",VLOOKUP(V11,'Tablas Magia'!$D$6:$Z$680,21,FALSE))</f>
        <v>RM o RF 140 / 500 litros.</v>
      </c>
      <c r="AB15" s="6135"/>
      <c r="AC15" s="6135"/>
      <c r="AD15" s="6135"/>
      <c r="AE15" s="6135"/>
      <c r="AF15" s="6135"/>
      <c r="AG15" s="6135"/>
      <c r="AH15" s="6135"/>
      <c r="AI15" s="6135"/>
      <c r="AJ15" s="6136"/>
      <c r="AK15" s="530"/>
      <c r="AL15" s="524"/>
      <c r="AM15" s="588"/>
      <c r="AN15" s="1060"/>
      <c r="AO15" s="6132" t="s">
        <v>3778</v>
      </c>
      <c r="AP15" s="6133"/>
      <c r="AQ15" s="542">
        <f>IF(AO11=0,"",VLOOKUP(AO11,'Tablas Magia'!$D$6:$Z$680,9,FALSE))</f>
        <v>12</v>
      </c>
      <c r="AR15" s="542">
        <f>IF(AO11=0,"",VLOOKUP(AO11,'Tablas Magia'!$D$6:$Z$680,13,FALSE))</f>
        <v>240</v>
      </c>
      <c r="AS15" s="543" t="str">
        <f>IF(AO11=0,"",VLOOKUP(AO11,'Tablas Magia'!$D$6:$Z$680,17,FALSE))</f>
        <v>No</v>
      </c>
      <c r="AT15" s="6134" t="str">
        <f>IF(AO11=0,"",VLOOKUP(AO11,'Tablas Magia'!$D$6:$Z$680,21,FALSE))</f>
        <v>Daño 200.</v>
      </c>
      <c r="AU15" s="6135"/>
      <c r="AV15" s="6135"/>
      <c r="AW15" s="6135"/>
      <c r="AX15" s="6135"/>
      <c r="AY15" s="6135"/>
      <c r="AZ15" s="6135"/>
      <c r="BA15" s="6135"/>
      <c r="BB15" s="6135"/>
      <c r="BC15" s="6136"/>
      <c r="BD15" s="530"/>
      <c r="BE15" s="524"/>
      <c r="BF15" s="524"/>
      <c r="BG15" s="1060"/>
      <c r="BH15" s="6132" t="s">
        <v>3778</v>
      </c>
      <c r="BI15" s="6133"/>
      <c r="BJ15" s="542">
        <f>IF(BH11=0,"",VLOOKUP(BH11,'Tablas Magia'!$D$6:$Z$680,9,FALSE))</f>
        <v>12</v>
      </c>
      <c r="BK15" s="542">
        <f>IF(BH11=0,"",VLOOKUP(BH11,'Tablas Magia'!$D$6:$Z$680,13,FALSE))</f>
        <v>450</v>
      </c>
      <c r="BL15" s="543">
        <f>IF(BH11=0,"",VLOOKUP(BH11,'Tablas Magia'!$D$6:$Z$680,17,FALSE))</f>
        <v>45</v>
      </c>
      <c r="BM15" s="6134" t="str">
        <f>IF(BH11=0,"",VLOOKUP(BH11,'Tablas Magia'!$D$6:$Z$680,21,FALSE))</f>
        <v>3 kilómetros de radio.</v>
      </c>
      <c r="BN15" s="6135"/>
      <c r="BO15" s="6135"/>
      <c r="BP15" s="6135"/>
      <c r="BQ15" s="6135"/>
      <c r="BR15" s="6135"/>
      <c r="BS15" s="6135"/>
      <c r="BT15" s="6135"/>
      <c r="BU15" s="6135"/>
      <c r="BV15" s="6136"/>
      <c r="BW15" s="530"/>
      <c r="BX15" s="524"/>
      <c r="BY15" s="524"/>
      <c r="BZ15" s="1060"/>
      <c r="CA15" s="6132" t="s">
        <v>3778</v>
      </c>
      <c r="CB15" s="6133"/>
      <c r="CC15" s="542">
        <f>IF(CA11=0,"",VLOOKUP(CA11,'Tablas Magia'!$D$6:$Z$680,9,FALSE))</f>
        <v>14</v>
      </c>
      <c r="CD15" s="542">
        <f>IF(CA11=0,"",VLOOKUP(CA11,'Tablas Magia'!$D$6:$Z$680,13,FALSE))</f>
        <v>500</v>
      </c>
      <c r="CE15" s="543">
        <f>IF(CA11=0,"",VLOOKUP(CA11,'Tablas Magia'!$D$6:$Z$680,17,FALSE))</f>
        <v>100</v>
      </c>
      <c r="CF15" s="6134" t="str">
        <f>IF(CA11=0,"",VLOOKUP(CA11,'Tablas Magia'!$D$6:$Z$680,21,FALSE))</f>
        <v>Nivel 6.</v>
      </c>
      <c r="CG15" s="6135"/>
      <c r="CH15" s="6135"/>
      <c r="CI15" s="6135"/>
      <c r="CJ15" s="6135"/>
      <c r="CK15" s="6135"/>
      <c r="CL15" s="6135"/>
      <c r="CM15" s="6135"/>
      <c r="CN15" s="6135"/>
      <c r="CO15" s="6136"/>
      <c r="CP15" s="530"/>
      <c r="CQ15" s="524"/>
    </row>
    <row r="16" spans="1:191" ht="12" customHeight="1" thickBot="1" x14ac:dyDescent="0.25">
      <c r="A16" s="524"/>
      <c r="B16" s="1060"/>
      <c r="C16" s="6142" t="s">
        <v>3779</v>
      </c>
      <c r="D16" s="6143"/>
      <c r="E16" s="546">
        <f>IF(C11=0,"",VLOOKUP(C11,'Tablas Magia'!$D$6:$Z$680,10,FALSE))</f>
        <v>12</v>
      </c>
      <c r="F16" s="546">
        <f>IF(C11=0,"",VLOOKUP(C11,'Tablas Magia'!$D$6:$Z$680,14,FALSE))</f>
        <v>180</v>
      </c>
      <c r="G16" s="547">
        <f>IF(C11=0,"",VLOOKUP(C11,'Tablas Magia'!$D$6:$Z$680,18,FALSE))</f>
        <v>20</v>
      </c>
      <c r="H16" s="6144" t="str">
        <f>IF(C11=0,"",VLOOKUP(C11,'Tablas Magia'!$D$6:$Z$680,22,FALSE))</f>
        <v>1 kilómetro.</v>
      </c>
      <c r="I16" s="6145"/>
      <c r="J16" s="6145"/>
      <c r="K16" s="6145"/>
      <c r="L16" s="6145"/>
      <c r="M16" s="6145"/>
      <c r="N16" s="6145"/>
      <c r="O16" s="6145"/>
      <c r="P16" s="6145"/>
      <c r="Q16" s="6146"/>
      <c r="R16" s="530"/>
      <c r="S16" s="524"/>
      <c r="T16" s="524"/>
      <c r="U16" s="1060"/>
      <c r="V16" s="6142" t="s">
        <v>3779</v>
      </c>
      <c r="W16" s="6143"/>
      <c r="X16" s="546">
        <f>IF(V11=0,"",VLOOKUP(V11,'Tablas Magia'!$D$6:$Z$680,10,FALSE))</f>
        <v>15</v>
      </c>
      <c r="Y16" s="546">
        <f>IF(V11=0,"",VLOOKUP(V11,'Tablas Magia'!$D$6:$Z$680,14,FALSE))</f>
        <v>220</v>
      </c>
      <c r="Z16" s="547">
        <f>IF(V11=0,"",VLOOKUP(V11,'Tablas Magia'!$D$6:$Z$680,18,FALSE))</f>
        <v>15</v>
      </c>
      <c r="AA16" s="6144" t="str">
        <f>IF(V11=0,"",VLOOKUP(V11,'Tablas Magia'!$D$6:$Z$680,22,FALSE))</f>
        <v>RM o RF 180 / 5.000 litros.</v>
      </c>
      <c r="AB16" s="6145"/>
      <c r="AC16" s="6145"/>
      <c r="AD16" s="6145"/>
      <c r="AE16" s="6145"/>
      <c r="AF16" s="6145"/>
      <c r="AG16" s="6145"/>
      <c r="AH16" s="6145"/>
      <c r="AI16" s="6145"/>
      <c r="AJ16" s="6146"/>
      <c r="AK16" s="530"/>
      <c r="AL16" s="524"/>
      <c r="AM16" s="588"/>
      <c r="AN16" s="1060"/>
      <c r="AO16" s="6142" t="s">
        <v>3779</v>
      </c>
      <c r="AP16" s="6143"/>
      <c r="AQ16" s="546">
        <f>IF(AO11=0,"",VLOOKUP(AO11,'Tablas Magia'!$D$6:$Z$680,10,FALSE))</f>
        <v>15</v>
      </c>
      <c r="AR16" s="546">
        <f>IF(AO11=0,"",VLOOKUP(AO11,'Tablas Magia'!$D$6:$Z$680,14,FALSE))</f>
        <v>300</v>
      </c>
      <c r="AS16" s="547" t="str">
        <f>IF(AO11=0,"",VLOOKUP(AO11,'Tablas Magia'!$D$6:$Z$680,18,FALSE))</f>
        <v>No</v>
      </c>
      <c r="AT16" s="6144" t="str">
        <f>IF(AO11=0,"",VLOOKUP(AO11,'Tablas Magia'!$D$6:$Z$680,22,FALSE))</f>
        <v>Daño 250.</v>
      </c>
      <c r="AU16" s="6145"/>
      <c r="AV16" s="6145"/>
      <c r="AW16" s="6145"/>
      <c r="AX16" s="6145"/>
      <c r="AY16" s="6145"/>
      <c r="AZ16" s="6145"/>
      <c r="BA16" s="6145"/>
      <c r="BB16" s="6145"/>
      <c r="BC16" s="6146"/>
      <c r="BD16" s="530"/>
      <c r="BE16" s="524"/>
      <c r="BF16" s="524"/>
      <c r="BG16" s="1060"/>
      <c r="BH16" s="6142" t="s">
        <v>3779</v>
      </c>
      <c r="BI16" s="6143"/>
      <c r="BJ16" s="546">
        <f>IF(BH11=0,"",VLOOKUP(BH11,'Tablas Magia'!$D$6:$Z$680,10,FALSE))</f>
        <v>15</v>
      </c>
      <c r="BK16" s="546">
        <f>IF(BH11=0,"",VLOOKUP(BH11,'Tablas Magia'!$D$6:$Z$680,14,FALSE))</f>
        <v>600</v>
      </c>
      <c r="BL16" s="547">
        <f>IF(BH11=0,"",VLOOKUP(BH11,'Tablas Magia'!$D$6:$Z$680,18,FALSE))</f>
        <v>60</v>
      </c>
      <c r="BM16" s="6144" t="str">
        <f>IF(BH11=0,"",VLOOKUP(BH11,'Tablas Magia'!$D$6:$Z$680,22,FALSE))</f>
        <v>5 kilómetros de radio.</v>
      </c>
      <c r="BN16" s="6145"/>
      <c r="BO16" s="6145"/>
      <c r="BP16" s="6145"/>
      <c r="BQ16" s="6145"/>
      <c r="BR16" s="6145"/>
      <c r="BS16" s="6145"/>
      <c r="BT16" s="6145"/>
      <c r="BU16" s="6145"/>
      <c r="BV16" s="6146"/>
      <c r="BW16" s="530"/>
      <c r="BX16" s="524"/>
      <c r="BY16" s="524"/>
      <c r="BZ16" s="1060"/>
      <c r="CA16" s="6142" t="s">
        <v>3779</v>
      </c>
      <c r="CB16" s="6143"/>
      <c r="CC16" s="546">
        <f>IF(CA11=0,"",VLOOKUP(CA11,'Tablas Magia'!$D$6:$Z$680,10,FALSE))</f>
        <v>16</v>
      </c>
      <c r="CD16" s="546">
        <f>IF(CA11=0,"",VLOOKUP(CA11,'Tablas Magia'!$D$6:$Z$680,14,FALSE))</f>
        <v>700</v>
      </c>
      <c r="CE16" s="547">
        <f>IF(CA11=0,"",VLOOKUP(CA11,'Tablas Magia'!$D$6:$Z$680,18,FALSE))</f>
        <v>140</v>
      </c>
      <c r="CF16" s="6144" t="str">
        <f>IF(CA11=0,"",VLOOKUP(CA11,'Tablas Magia'!$D$6:$Z$680,22,FALSE))</f>
        <v>Nivel 10.</v>
      </c>
      <c r="CG16" s="6145"/>
      <c r="CH16" s="6145"/>
      <c r="CI16" s="6145"/>
      <c r="CJ16" s="6145"/>
      <c r="CK16" s="6145"/>
      <c r="CL16" s="6145"/>
      <c r="CM16" s="6145"/>
      <c r="CN16" s="6145"/>
      <c r="CO16" s="6146"/>
      <c r="CP16" s="530"/>
      <c r="CQ16" s="524"/>
    </row>
    <row r="17" spans="1:95" ht="12" customHeight="1" x14ac:dyDescent="0.2">
      <c r="A17" s="524"/>
      <c r="B17" s="1060"/>
      <c r="C17" s="6147"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48"/>
      <c r="E17" s="6148"/>
      <c r="F17" s="6148"/>
      <c r="G17" s="6148"/>
      <c r="H17" s="6148"/>
      <c r="I17" s="6148"/>
      <c r="J17" s="6148"/>
      <c r="K17" s="6148"/>
      <c r="L17" s="6148"/>
      <c r="M17" s="6148"/>
      <c r="N17" s="6148"/>
      <c r="O17" s="6148"/>
      <c r="P17" s="6148"/>
      <c r="Q17" s="6149"/>
      <c r="R17" s="530"/>
      <c r="S17" s="524"/>
      <c r="T17" s="524"/>
      <c r="U17" s="1060"/>
      <c r="V17" s="6147"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48"/>
      <c r="X17" s="6148"/>
      <c r="Y17" s="6148"/>
      <c r="Z17" s="6148"/>
      <c r="AA17" s="6148"/>
      <c r="AB17" s="6148"/>
      <c r="AC17" s="6148"/>
      <c r="AD17" s="6148"/>
      <c r="AE17" s="6148"/>
      <c r="AF17" s="6148"/>
      <c r="AG17" s="6148"/>
      <c r="AH17" s="6148"/>
      <c r="AI17" s="6148"/>
      <c r="AJ17" s="6149"/>
      <c r="AK17" s="530"/>
      <c r="AL17" s="524"/>
      <c r="AM17" s="588"/>
      <c r="AN17" s="1060"/>
      <c r="AO17" s="6147" t="str">
        <f>IF(AO11=0,"",VLOOKUP(AO11,'Tablas Magia'!$D$6:$Z$680,23,FALSE))</f>
        <v>Produce una potente descarga de hielo capaz de dañar energía. El lanzador puede elegir libremente entre atacar en Frío o en Penetrantes.</v>
      </c>
      <c r="AP17" s="6148"/>
      <c r="AQ17" s="6148"/>
      <c r="AR17" s="6148"/>
      <c r="AS17" s="6148"/>
      <c r="AT17" s="6148"/>
      <c r="AU17" s="6148"/>
      <c r="AV17" s="6148"/>
      <c r="AW17" s="6148"/>
      <c r="AX17" s="6148"/>
      <c r="AY17" s="6148"/>
      <c r="AZ17" s="6148"/>
      <c r="BA17" s="6148"/>
      <c r="BB17" s="6148"/>
      <c r="BC17" s="6149"/>
      <c r="BD17" s="530"/>
      <c r="BE17" s="524"/>
      <c r="BF17" s="524"/>
      <c r="BG17" s="1060"/>
      <c r="BH17" s="6147"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48"/>
      <c r="BJ17" s="6148"/>
      <c r="BK17" s="6148"/>
      <c r="BL17" s="6148"/>
      <c r="BM17" s="6148"/>
      <c r="BN17" s="6148"/>
      <c r="BO17" s="6148"/>
      <c r="BP17" s="6148"/>
      <c r="BQ17" s="6148"/>
      <c r="BR17" s="6148"/>
      <c r="BS17" s="6148"/>
      <c r="BT17" s="6148"/>
      <c r="BU17" s="6148"/>
      <c r="BV17" s="6149"/>
      <c r="BW17" s="530"/>
      <c r="BX17" s="524"/>
      <c r="BY17" s="524"/>
      <c r="BZ17" s="1060"/>
      <c r="CA17" s="6147"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48"/>
      <c r="CC17" s="6148"/>
      <c r="CD17" s="6148"/>
      <c r="CE17" s="6148"/>
      <c r="CF17" s="6148"/>
      <c r="CG17" s="6148"/>
      <c r="CH17" s="6148"/>
      <c r="CI17" s="6148"/>
      <c r="CJ17" s="6148"/>
      <c r="CK17" s="6148"/>
      <c r="CL17" s="6148"/>
      <c r="CM17" s="6148"/>
      <c r="CN17" s="6148"/>
      <c r="CO17" s="6149"/>
      <c r="CP17" s="530"/>
      <c r="CQ17" s="524"/>
    </row>
    <row r="18" spans="1:95" ht="12" customHeight="1" x14ac:dyDescent="0.2">
      <c r="A18" s="524"/>
      <c r="B18" s="1060"/>
      <c r="C18" s="6150"/>
      <c r="D18" s="6151"/>
      <c r="E18" s="6151"/>
      <c r="F18" s="6151"/>
      <c r="G18" s="6151"/>
      <c r="H18" s="6151"/>
      <c r="I18" s="6151"/>
      <c r="J18" s="6151"/>
      <c r="K18" s="6151"/>
      <c r="L18" s="6151"/>
      <c r="M18" s="6151"/>
      <c r="N18" s="6151"/>
      <c r="O18" s="6151"/>
      <c r="P18" s="6151"/>
      <c r="Q18" s="6152"/>
      <c r="R18" s="530"/>
      <c r="S18" s="524"/>
      <c r="T18" s="524"/>
      <c r="U18" s="1060"/>
      <c r="V18" s="6150"/>
      <c r="W18" s="6151"/>
      <c r="X18" s="6151"/>
      <c r="Y18" s="6151"/>
      <c r="Z18" s="6151"/>
      <c r="AA18" s="6151"/>
      <c r="AB18" s="6151"/>
      <c r="AC18" s="6151"/>
      <c r="AD18" s="6151"/>
      <c r="AE18" s="6151"/>
      <c r="AF18" s="6151"/>
      <c r="AG18" s="6151"/>
      <c r="AH18" s="6151"/>
      <c r="AI18" s="6151"/>
      <c r="AJ18" s="6152"/>
      <c r="AK18" s="530"/>
      <c r="AL18" s="524"/>
      <c r="AM18" s="588"/>
      <c r="AN18" s="1060"/>
      <c r="AO18" s="6150"/>
      <c r="AP18" s="6151"/>
      <c r="AQ18" s="6151"/>
      <c r="AR18" s="6151"/>
      <c r="AS18" s="6151"/>
      <c r="AT18" s="6151"/>
      <c r="AU18" s="6151"/>
      <c r="AV18" s="6151"/>
      <c r="AW18" s="6151"/>
      <c r="AX18" s="6151"/>
      <c r="AY18" s="6151"/>
      <c r="AZ18" s="6151"/>
      <c r="BA18" s="6151"/>
      <c r="BB18" s="6151"/>
      <c r="BC18" s="6152"/>
      <c r="BD18" s="530"/>
      <c r="BE18" s="524"/>
      <c r="BF18" s="524"/>
      <c r="BG18" s="1060"/>
      <c r="BH18" s="6150"/>
      <c r="BI18" s="6151"/>
      <c r="BJ18" s="6151"/>
      <c r="BK18" s="6151"/>
      <c r="BL18" s="6151"/>
      <c r="BM18" s="6151"/>
      <c r="BN18" s="6151"/>
      <c r="BO18" s="6151"/>
      <c r="BP18" s="6151"/>
      <c r="BQ18" s="6151"/>
      <c r="BR18" s="6151"/>
      <c r="BS18" s="6151"/>
      <c r="BT18" s="6151"/>
      <c r="BU18" s="6151"/>
      <c r="BV18" s="6152"/>
      <c r="BW18" s="530"/>
      <c r="BX18" s="524"/>
      <c r="BY18" s="524"/>
      <c r="BZ18" s="1060"/>
      <c r="CA18" s="6150"/>
      <c r="CB18" s="6151"/>
      <c r="CC18" s="6151"/>
      <c r="CD18" s="6151"/>
      <c r="CE18" s="6151"/>
      <c r="CF18" s="6151"/>
      <c r="CG18" s="6151"/>
      <c r="CH18" s="6151"/>
      <c r="CI18" s="6151"/>
      <c r="CJ18" s="6151"/>
      <c r="CK18" s="6151"/>
      <c r="CL18" s="6151"/>
      <c r="CM18" s="6151"/>
      <c r="CN18" s="6151"/>
      <c r="CO18" s="6152"/>
      <c r="CP18" s="530"/>
      <c r="CQ18" s="524"/>
    </row>
    <row r="19" spans="1:95" ht="12" customHeight="1" x14ac:dyDescent="0.2">
      <c r="A19" s="524"/>
      <c r="B19" s="1060"/>
      <c r="C19" s="6150"/>
      <c r="D19" s="6151"/>
      <c r="E19" s="6151"/>
      <c r="F19" s="6151"/>
      <c r="G19" s="6151"/>
      <c r="H19" s="6151"/>
      <c r="I19" s="6151"/>
      <c r="J19" s="6151"/>
      <c r="K19" s="6151"/>
      <c r="L19" s="6151"/>
      <c r="M19" s="6151"/>
      <c r="N19" s="6151"/>
      <c r="O19" s="6151"/>
      <c r="P19" s="6151"/>
      <c r="Q19" s="6152"/>
      <c r="R19" s="530"/>
      <c r="S19" s="524"/>
      <c r="T19" s="524"/>
      <c r="U19" s="1060"/>
      <c r="V19" s="6150"/>
      <c r="W19" s="6151"/>
      <c r="X19" s="6151"/>
      <c r="Y19" s="6151"/>
      <c r="Z19" s="6151"/>
      <c r="AA19" s="6151"/>
      <c r="AB19" s="6151"/>
      <c r="AC19" s="6151"/>
      <c r="AD19" s="6151"/>
      <c r="AE19" s="6151"/>
      <c r="AF19" s="6151"/>
      <c r="AG19" s="6151"/>
      <c r="AH19" s="6151"/>
      <c r="AI19" s="6151"/>
      <c r="AJ19" s="6152"/>
      <c r="AK19" s="530"/>
      <c r="AL19" s="524"/>
      <c r="AM19" s="588"/>
      <c r="AN19" s="1060"/>
      <c r="AO19" s="6150"/>
      <c r="AP19" s="6151"/>
      <c r="AQ19" s="6151"/>
      <c r="AR19" s="6151"/>
      <c r="AS19" s="6151"/>
      <c r="AT19" s="6151"/>
      <c r="AU19" s="6151"/>
      <c r="AV19" s="6151"/>
      <c r="AW19" s="6151"/>
      <c r="AX19" s="6151"/>
      <c r="AY19" s="6151"/>
      <c r="AZ19" s="6151"/>
      <c r="BA19" s="6151"/>
      <c r="BB19" s="6151"/>
      <c r="BC19" s="6152"/>
      <c r="BD19" s="530"/>
      <c r="BE19" s="524"/>
      <c r="BF19" s="524"/>
      <c r="BG19" s="1060"/>
      <c r="BH19" s="6150"/>
      <c r="BI19" s="6151"/>
      <c r="BJ19" s="6151"/>
      <c r="BK19" s="6151"/>
      <c r="BL19" s="6151"/>
      <c r="BM19" s="6151"/>
      <c r="BN19" s="6151"/>
      <c r="BO19" s="6151"/>
      <c r="BP19" s="6151"/>
      <c r="BQ19" s="6151"/>
      <c r="BR19" s="6151"/>
      <c r="BS19" s="6151"/>
      <c r="BT19" s="6151"/>
      <c r="BU19" s="6151"/>
      <c r="BV19" s="6152"/>
      <c r="BW19" s="530"/>
      <c r="BX19" s="524"/>
      <c r="BY19" s="524"/>
      <c r="BZ19" s="1060"/>
      <c r="CA19" s="6150"/>
      <c r="CB19" s="6151"/>
      <c r="CC19" s="6151"/>
      <c r="CD19" s="6151"/>
      <c r="CE19" s="6151"/>
      <c r="CF19" s="6151"/>
      <c r="CG19" s="6151"/>
      <c r="CH19" s="6151"/>
      <c r="CI19" s="6151"/>
      <c r="CJ19" s="6151"/>
      <c r="CK19" s="6151"/>
      <c r="CL19" s="6151"/>
      <c r="CM19" s="6151"/>
      <c r="CN19" s="6151"/>
      <c r="CO19" s="6152"/>
      <c r="CP19" s="530"/>
      <c r="CQ19" s="524"/>
    </row>
    <row r="20" spans="1:95" ht="12" customHeight="1" thickBot="1" x14ac:dyDescent="0.25">
      <c r="A20" s="524"/>
      <c r="B20" s="1060"/>
      <c r="C20" s="6153"/>
      <c r="D20" s="6154"/>
      <c r="E20" s="6154"/>
      <c r="F20" s="6154"/>
      <c r="G20" s="6154"/>
      <c r="H20" s="6154"/>
      <c r="I20" s="6154"/>
      <c r="J20" s="6154"/>
      <c r="K20" s="6154"/>
      <c r="L20" s="6154"/>
      <c r="M20" s="6154"/>
      <c r="N20" s="6154"/>
      <c r="O20" s="6154"/>
      <c r="P20" s="6154"/>
      <c r="Q20" s="6155"/>
      <c r="R20" s="530"/>
      <c r="S20" s="524"/>
      <c r="T20" s="524"/>
      <c r="U20" s="1060"/>
      <c r="V20" s="6153"/>
      <c r="W20" s="6154"/>
      <c r="X20" s="6154"/>
      <c r="Y20" s="6154"/>
      <c r="Z20" s="6154"/>
      <c r="AA20" s="6154"/>
      <c r="AB20" s="6154"/>
      <c r="AC20" s="6154"/>
      <c r="AD20" s="6154"/>
      <c r="AE20" s="6154"/>
      <c r="AF20" s="6154"/>
      <c r="AG20" s="6154"/>
      <c r="AH20" s="6154"/>
      <c r="AI20" s="6154"/>
      <c r="AJ20" s="6155"/>
      <c r="AK20" s="530"/>
      <c r="AL20" s="524"/>
      <c r="AM20" s="588"/>
      <c r="AN20" s="1060"/>
      <c r="AO20" s="6153"/>
      <c r="AP20" s="6154"/>
      <c r="AQ20" s="6154"/>
      <c r="AR20" s="6154"/>
      <c r="AS20" s="6154"/>
      <c r="AT20" s="6154"/>
      <c r="AU20" s="6154"/>
      <c r="AV20" s="6154"/>
      <c r="AW20" s="6154"/>
      <c r="AX20" s="6154"/>
      <c r="AY20" s="6154"/>
      <c r="AZ20" s="6154"/>
      <c r="BA20" s="6154"/>
      <c r="BB20" s="6154"/>
      <c r="BC20" s="6155"/>
      <c r="BD20" s="530"/>
      <c r="BE20" s="524"/>
      <c r="BF20" s="524"/>
      <c r="BG20" s="1060"/>
      <c r="BH20" s="6153"/>
      <c r="BI20" s="6154"/>
      <c r="BJ20" s="6154"/>
      <c r="BK20" s="6154"/>
      <c r="BL20" s="6154"/>
      <c r="BM20" s="6154"/>
      <c r="BN20" s="6154"/>
      <c r="BO20" s="6154"/>
      <c r="BP20" s="6154"/>
      <c r="BQ20" s="6154"/>
      <c r="BR20" s="6154"/>
      <c r="BS20" s="6154"/>
      <c r="BT20" s="6154"/>
      <c r="BU20" s="6154"/>
      <c r="BV20" s="6155"/>
      <c r="BW20" s="530"/>
      <c r="BX20" s="524"/>
      <c r="BY20" s="524"/>
      <c r="BZ20" s="1060"/>
      <c r="CA20" s="6153"/>
      <c r="CB20" s="6154"/>
      <c r="CC20" s="6154"/>
      <c r="CD20" s="6154"/>
      <c r="CE20" s="6154"/>
      <c r="CF20" s="6154"/>
      <c r="CG20" s="6154"/>
      <c r="CH20" s="6154"/>
      <c r="CI20" s="6154"/>
      <c r="CJ20" s="6154"/>
      <c r="CK20" s="6154"/>
      <c r="CL20" s="6154"/>
      <c r="CM20" s="6154"/>
      <c r="CN20" s="6154"/>
      <c r="CO20" s="6155"/>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7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79"/>
      <c r="E22" s="6179"/>
      <c r="F22" s="6179"/>
      <c r="G22" s="6176"/>
      <c r="H22" s="537" t="s">
        <v>1597</v>
      </c>
      <c r="I22" s="538">
        <f>B22</f>
        <v>4</v>
      </c>
      <c r="J22" s="6173" t="s">
        <v>6888</v>
      </c>
      <c r="K22" s="6173"/>
      <c r="L22" s="6173"/>
      <c r="M22" s="6161" t="str">
        <f>IF(C22=0,"",VLOOKUP(C22,'Tablas Magia'!$D$6:$Z$680,2,FALSE))</f>
        <v>Sangre</v>
      </c>
      <c r="N22" s="6161"/>
      <c r="O22" s="2428"/>
      <c r="P22" s="6177" t="str">
        <f>IFERROR(IF(M22="Libre Acceso","Aprendido",IF(IFERROR(VLOOKUP(M22,Místicos!$C$15:$H$25,6,0)&gt;=I22,FALSE),"Aprendido",IF(IFERROR(VLOOKUP(M22,Místicos!$E$15:$H$25,4,0)&gt;=I22,FALSE),"Aprendido",""))),"")</f>
        <v/>
      </c>
      <c r="Q22" s="6178"/>
      <c r="R22" s="530"/>
      <c r="S22" s="524"/>
      <c r="T22" s="524"/>
      <c r="U22" s="1060">
        <f>U11+2</f>
        <v>24</v>
      </c>
      <c r="V22" s="617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79"/>
      <c r="X22" s="6179"/>
      <c r="Y22" s="6179"/>
      <c r="Z22" s="6176"/>
      <c r="AA22" s="537" t="s">
        <v>1597</v>
      </c>
      <c r="AB22" s="538">
        <f>U22</f>
        <v>24</v>
      </c>
      <c r="AC22" s="6173" t="s">
        <v>6888</v>
      </c>
      <c r="AD22" s="6173"/>
      <c r="AE22" s="6173"/>
      <c r="AF22" s="6161" t="str">
        <f>IF(V22=0,"",VLOOKUP(V22,'Tablas Magia'!$D$6:$Z$680,2,FALSE))</f>
        <v>Sangre</v>
      </c>
      <c r="AG22" s="6161"/>
      <c r="AH22" s="2428"/>
      <c r="AI22" s="6177" t="str">
        <f>IFERROR(IF(AF22="Libre Acceso","Aprendido",IF(IFERROR(VLOOKUP(AF22,Místicos!$C$15:$H$25,6,0)&gt;=AB22,FALSE),"Aprendido",IF(IFERROR(VLOOKUP(AF22,Místicos!$E$15:$H$25,4,0)&gt;=AB22,FALSE),"Aprendido",""))),"")</f>
        <v/>
      </c>
      <c r="AJ22" s="6178"/>
      <c r="AK22" s="530"/>
      <c r="AL22" s="524"/>
      <c r="AM22" s="588"/>
      <c r="AN22" s="1060">
        <f>AN11+2</f>
        <v>44</v>
      </c>
      <c r="AO22" s="617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79"/>
      <c r="AQ22" s="6179"/>
      <c r="AR22" s="6179"/>
      <c r="AS22" s="6176"/>
      <c r="AT22" s="537" t="s">
        <v>1597</v>
      </c>
      <c r="AU22" s="538">
        <f>AN22</f>
        <v>44</v>
      </c>
      <c r="AV22" s="6173" t="s">
        <v>6888</v>
      </c>
      <c r="AW22" s="6173"/>
      <c r="AX22" s="6173"/>
      <c r="AY22" s="6161" t="str">
        <f>IF(AO22=0,"",VLOOKUP(AO22,'Tablas Magia'!$D$6:$Z$680,2,FALSE))</f>
        <v>Sangre</v>
      </c>
      <c r="AZ22" s="6161"/>
      <c r="BA22" s="2428"/>
      <c r="BB22" s="6177" t="str">
        <f>IFERROR(IF(AY22="Libre Acceso","Aprendido",IF(IFERROR(VLOOKUP(AY22,Místicos!$C$15:$H$25,6,0)&gt;=AU22,FALSE),"Aprendido",IF(IFERROR(VLOOKUP(AY22,Místicos!$E$15:$H$25,4,0)&gt;=AU22,FALSE),"Aprendido",""))),"")</f>
        <v/>
      </c>
      <c r="BC22" s="6178"/>
      <c r="BD22" s="530"/>
      <c r="BE22" s="524"/>
      <c r="BF22" s="524"/>
      <c r="BG22" s="1060">
        <f>BG11+2</f>
        <v>64</v>
      </c>
      <c r="BH22" s="617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79"/>
      <c r="BJ22" s="6179"/>
      <c r="BK22" s="6179"/>
      <c r="BL22" s="6176"/>
      <c r="BM22" s="537" t="s">
        <v>1597</v>
      </c>
      <c r="BN22" s="538">
        <f>BG22</f>
        <v>64</v>
      </c>
      <c r="BO22" s="6173" t="s">
        <v>6888</v>
      </c>
      <c r="BP22" s="6173"/>
      <c r="BQ22" s="6173"/>
      <c r="BR22" s="6161" t="str">
        <f>IF(BH22=0,"",VLOOKUP(BH22,'Tablas Magia'!$D$6:$Z$680,2,FALSE))</f>
        <v>Sangre</v>
      </c>
      <c r="BS22" s="6161"/>
      <c r="BT22" s="2428"/>
      <c r="BU22" s="6177" t="str">
        <f>IFERROR(IF(BR22="Libre Acceso","Aprendido",IF(IFERROR(VLOOKUP(BR22,Místicos!$C$15:$H$25,6,0)&gt;=BN22,FALSE),"Aprendido",IF(IFERROR(VLOOKUP(BR22,Místicos!$E$15:$H$25,4,0)&gt;=BN22,FALSE),"Aprendido",""))),"")</f>
        <v/>
      </c>
      <c r="BV22" s="6178"/>
      <c r="BW22" s="530"/>
      <c r="BX22" s="524"/>
      <c r="BY22" s="524"/>
      <c r="BZ22" s="1060">
        <f>BZ11+2</f>
        <v>84</v>
      </c>
      <c r="CA22" s="617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79"/>
      <c r="CC22" s="6179"/>
      <c r="CD22" s="6179"/>
      <c r="CE22" s="6176"/>
      <c r="CF22" s="537" t="s">
        <v>1597</v>
      </c>
      <c r="CG22" s="538">
        <f>BZ22</f>
        <v>84</v>
      </c>
      <c r="CH22" s="6173" t="s">
        <v>6888</v>
      </c>
      <c r="CI22" s="6173"/>
      <c r="CJ22" s="6173"/>
      <c r="CK22" s="6161" t="str">
        <f>IF(CA22=0,"",VLOOKUP(CA22,'Tablas Magia'!$D$6:$Z$680,2,FALSE))</f>
        <v>Sangre</v>
      </c>
      <c r="CL22" s="6161"/>
      <c r="CM22" s="2428"/>
      <c r="CN22" s="6177" t="str">
        <f>IFERROR(IF(CK22="Libre Acceso","Aprendido",IF(IFERROR(VLOOKUP(CK22,Místicos!$C$15:$H$25,6,0)&gt;=CG22,FALSE),"Aprendido",IF(IFERROR(VLOOKUP(CK22,Místicos!$E$15:$H$25,4,0)&gt;=CG22,FALSE),"Aprendido",""))),"")</f>
        <v/>
      </c>
      <c r="CO22" s="6178"/>
      <c r="CP22" s="530"/>
      <c r="CQ22" s="524"/>
    </row>
    <row r="23" spans="1:95" ht="12" customHeight="1" x14ac:dyDescent="0.2">
      <c r="A23" s="524"/>
      <c r="B23" s="1060"/>
      <c r="C23" s="6156" t="s">
        <v>6889</v>
      </c>
      <c r="D23" s="6172"/>
      <c r="E23" s="2452" t="s">
        <v>6890</v>
      </c>
      <c r="F23" s="2452" t="s">
        <v>1783</v>
      </c>
      <c r="G23" s="2452" t="s">
        <v>3227</v>
      </c>
      <c r="H23" s="2453" t="s">
        <v>2121</v>
      </c>
      <c r="I23" s="6170" t="str">
        <f>IF(C22=0,"",VLOOKUP(C22,'Tablas Magia'!$D$6:$Z$680,5,FALSE))</f>
        <v>Anímico</v>
      </c>
      <c r="J23" s="6170"/>
      <c r="K23" s="6171" t="s">
        <v>6891</v>
      </c>
      <c r="L23" s="6171"/>
      <c r="M23" s="6170" t="str">
        <f>IF(C22=0,"",VLOOKUP(C22,'Tablas Magia'!$D$6:$Z$680,6,FALSE))</f>
        <v>Activa</v>
      </c>
      <c r="N23" s="6170"/>
      <c r="O23" s="6169" t="s">
        <v>6892</v>
      </c>
      <c r="P23" s="6169"/>
      <c r="Q23" s="2454" t="str">
        <f>IF(C22=0,"",VLOOKUP(C22,'Tablas Magia'!$D$6:$Z$680,4,FALSE))</f>
        <v>No</v>
      </c>
      <c r="R23" s="530"/>
      <c r="S23" s="524"/>
      <c r="T23" s="524"/>
      <c r="U23" s="1060"/>
      <c r="V23" s="6156" t="s">
        <v>6889</v>
      </c>
      <c r="W23" s="6172"/>
      <c r="X23" s="2452" t="s">
        <v>6890</v>
      </c>
      <c r="Y23" s="2452" t="s">
        <v>1783</v>
      </c>
      <c r="Z23" s="2452" t="s">
        <v>3227</v>
      </c>
      <c r="AA23" s="2453" t="s">
        <v>2121</v>
      </c>
      <c r="AB23" s="6170" t="str">
        <f>IF(V22=0,"",VLOOKUP(V22,'Tablas Magia'!$D$6:$Z$680,5,FALSE))</f>
        <v>Efecto</v>
      </c>
      <c r="AC23" s="6170"/>
      <c r="AD23" s="6171" t="s">
        <v>6891</v>
      </c>
      <c r="AE23" s="6171"/>
      <c r="AF23" s="6170" t="str">
        <f>IF(V22=0,"",VLOOKUP(V22,'Tablas Magia'!$D$6:$Z$680,6,FALSE))</f>
        <v>Activa</v>
      </c>
      <c r="AG23" s="6170"/>
      <c r="AH23" s="6169" t="s">
        <v>6892</v>
      </c>
      <c r="AI23" s="6169"/>
      <c r="AJ23" s="2454" t="str">
        <f>IF(V22=0,"",VLOOKUP(V22,'Tablas Magia'!$D$6:$Z$680,4,FALSE))</f>
        <v>Si</v>
      </c>
      <c r="AK23" s="530"/>
      <c r="AL23" s="524"/>
      <c r="AM23" s="588"/>
      <c r="AN23" s="1060"/>
      <c r="AO23" s="6156" t="s">
        <v>6889</v>
      </c>
      <c r="AP23" s="6172"/>
      <c r="AQ23" s="2452" t="s">
        <v>6890</v>
      </c>
      <c r="AR23" s="2452" t="s">
        <v>1783</v>
      </c>
      <c r="AS23" s="2452" t="s">
        <v>3227</v>
      </c>
      <c r="AT23" s="2453" t="s">
        <v>2121</v>
      </c>
      <c r="AU23" s="6170" t="str">
        <f>IF(AO22=0,"",VLOOKUP(AO22,'Tablas Magia'!$D$6:$Z$680,5,FALSE))</f>
        <v>Efecto</v>
      </c>
      <c r="AV23" s="6170"/>
      <c r="AW23" s="6171" t="s">
        <v>6891</v>
      </c>
      <c r="AX23" s="6171"/>
      <c r="AY23" s="6170" t="str">
        <f>IF(AO22=0,"",VLOOKUP(AO22,'Tablas Magia'!$D$6:$Z$680,6,FALSE))</f>
        <v>Activa</v>
      </c>
      <c r="AZ23" s="6170"/>
      <c r="BA23" s="6169" t="s">
        <v>6892</v>
      </c>
      <c r="BB23" s="6169"/>
      <c r="BC23" s="2454" t="str">
        <f>IF(AO22=0,"",VLOOKUP(AO22,'Tablas Magia'!$D$6:$Z$680,4,FALSE))</f>
        <v>No</v>
      </c>
      <c r="BD23" s="530"/>
      <c r="BE23" s="524"/>
      <c r="BF23" s="524"/>
      <c r="BG23" s="1060"/>
      <c r="BH23" s="6156" t="s">
        <v>6889</v>
      </c>
      <c r="BI23" s="6172"/>
      <c r="BJ23" s="2452" t="s">
        <v>6890</v>
      </c>
      <c r="BK23" s="2452" t="s">
        <v>1783</v>
      </c>
      <c r="BL23" s="2452" t="s">
        <v>3227</v>
      </c>
      <c r="BM23" s="2453" t="s">
        <v>2121</v>
      </c>
      <c r="BN23" s="6170" t="str">
        <f>IF(BH22=0,"",VLOOKUP(BH22,'Tablas Magia'!$D$6:$Z$680,5,FALSE))</f>
        <v>Efecto</v>
      </c>
      <c r="BO23" s="6170"/>
      <c r="BP23" s="6171" t="s">
        <v>6891</v>
      </c>
      <c r="BQ23" s="6171"/>
      <c r="BR23" s="6170" t="str">
        <f>IF(BH22=0,"",VLOOKUP(BH22,'Tablas Magia'!$D$6:$Z$680,6,FALSE))</f>
        <v>Activa</v>
      </c>
      <c r="BS23" s="6170"/>
      <c r="BT23" s="6169" t="s">
        <v>6892</v>
      </c>
      <c r="BU23" s="6169"/>
      <c r="BV23" s="2454" t="str">
        <f>IF(BH22=0,"",VLOOKUP(BH22,'Tablas Magia'!$D$6:$Z$680,4,FALSE))</f>
        <v>No</v>
      </c>
      <c r="BW23" s="530"/>
      <c r="BX23" s="524"/>
      <c r="BY23" s="524"/>
      <c r="BZ23" s="1060"/>
      <c r="CA23" s="6156" t="s">
        <v>6889</v>
      </c>
      <c r="CB23" s="6172"/>
      <c r="CC23" s="2452" t="s">
        <v>6890</v>
      </c>
      <c r="CD23" s="2452" t="s">
        <v>1783</v>
      </c>
      <c r="CE23" s="2452" t="s">
        <v>3227</v>
      </c>
      <c r="CF23" s="2453" t="s">
        <v>2121</v>
      </c>
      <c r="CG23" s="6170" t="str">
        <f>IF(CA22=0,"",VLOOKUP(CA22,'Tablas Magia'!$D$6:$Z$680,5,FALSE))</f>
        <v>Efecto</v>
      </c>
      <c r="CH23" s="6170"/>
      <c r="CI23" s="6171" t="s">
        <v>6891</v>
      </c>
      <c r="CJ23" s="6171"/>
      <c r="CK23" s="6170" t="str">
        <f>IF(CA22=0,"",VLOOKUP(CA22,'Tablas Magia'!$D$6:$Z$680,6,FALSE))</f>
        <v>Pasiva</v>
      </c>
      <c r="CL23" s="6170"/>
      <c r="CM23" s="6169" t="s">
        <v>6892</v>
      </c>
      <c r="CN23" s="6169"/>
      <c r="CO23" s="2454" t="str">
        <f>IF(CA22=0,"",VLOOKUP(CA22,'Tablas Magia'!$D$6:$Z$680,4,FALSE))</f>
        <v>No</v>
      </c>
      <c r="CP23" s="530"/>
      <c r="CQ23" s="524"/>
    </row>
    <row r="24" spans="1:95" ht="12" customHeight="1" x14ac:dyDescent="0.2">
      <c r="A24" s="524"/>
      <c r="B24" s="1060"/>
      <c r="C24" s="6183" t="s">
        <v>1638</v>
      </c>
      <c r="D24" s="6184"/>
      <c r="E24" s="542">
        <f>IF(C22=0,"",VLOOKUP(C22,'Tablas Magia'!$D$6:$Z$680,7,FALSE))</f>
        <v>5</v>
      </c>
      <c r="F24" s="542">
        <f>IF(C22=0,"",VLOOKUP(C22,'Tablas Magia'!$D$6:$Z$680,11,FALSE))</f>
        <v>30</v>
      </c>
      <c r="G24" s="543" t="str">
        <f>IF(C22=0,"",VLOOKUP(C22,'Tablas Magia'!$D$6:$Z$680,15,FALSE))</f>
        <v>No</v>
      </c>
      <c r="H24" s="6180" t="str">
        <f>IF(C22=0,"",VLOOKUP(C22,'Tablas Magia'!$D$6:$Z$680,19,FALSE))</f>
        <v>RM 80</v>
      </c>
      <c r="I24" s="6181"/>
      <c r="J24" s="6181"/>
      <c r="K24" s="6181"/>
      <c r="L24" s="6181"/>
      <c r="M24" s="6181"/>
      <c r="N24" s="6181"/>
      <c r="O24" s="6181"/>
      <c r="P24" s="6181"/>
      <c r="Q24" s="6182"/>
      <c r="R24" s="530"/>
      <c r="S24" s="524"/>
      <c r="T24" s="524"/>
      <c r="U24" s="1060"/>
      <c r="V24" s="6183" t="s">
        <v>1638</v>
      </c>
      <c r="W24" s="6184"/>
      <c r="X24" s="542">
        <f>IF(V22=0,"",VLOOKUP(V22,'Tablas Magia'!$D$6:$Z$680,7,FALSE))</f>
        <v>6</v>
      </c>
      <c r="Y24" s="542">
        <f>IF(V22=0,"",VLOOKUP(V22,'Tablas Magia'!$D$6:$Z$680,11,FALSE))</f>
        <v>50</v>
      </c>
      <c r="Z24" s="543">
        <f>IF(V22=0,"",VLOOKUP(V22,'Tablas Magia'!$D$6:$Z$680,15,FALSE))</f>
        <v>5</v>
      </c>
      <c r="AA24" s="6180" t="str">
        <f>IF(V22=0,"",VLOOKUP(V22,'Tablas Magia'!$D$6:$Z$680,19,FALSE))</f>
        <v>Pres. máxima 60</v>
      </c>
      <c r="AB24" s="6181"/>
      <c r="AC24" s="6181"/>
      <c r="AD24" s="6181"/>
      <c r="AE24" s="6181"/>
      <c r="AF24" s="6181"/>
      <c r="AG24" s="6181"/>
      <c r="AH24" s="6181"/>
      <c r="AI24" s="6181"/>
      <c r="AJ24" s="6182"/>
      <c r="AK24" s="530"/>
      <c r="AL24" s="524"/>
      <c r="AM24" s="588"/>
      <c r="AN24" s="1060"/>
      <c r="AO24" s="6183" t="s">
        <v>1638</v>
      </c>
      <c r="AP24" s="6184"/>
      <c r="AQ24" s="542">
        <f>IF(AO22=0,"",VLOOKUP(AO22,'Tablas Magia'!$D$6:$Z$680,7,FALSE))</f>
        <v>6</v>
      </c>
      <c r="AR24" s="542">
        <f>IF(AO22=0,"",VLOOKUP(AO22,'Tablas Magia'!$D$6:$Z$680,11,FALSE))</f>
        <v>40</v>
      </c>
      <c r="AS24" s="543" t="str">
        <f>IF(AO22=0,"",VLOOKUP(AO22,'Tablas Magia'!$D$6:$Z$680,15,FALSE))</f>
        <v>No</v>
      </c>
      <c r="AT24" s="6180" t="str">
        <f>IF(AO22=0,"",VLOOKUP(AO22,'Tablas Magia'!$D$6:$Z$680,19,FALSE))</f>
        <v>x2 a los PV Sacrificados</v>
      </c>
      <c r="AU24" s="6181"/>
      <c r="AV24" s="6181"/>
      <c r="AW24" s="6181"/>
      <c r="AX24" s="6181"/>
      <c r="AY24" s="6181"/>
      <c r="AZ24" s="6181"/>
      <c r="BA24" s="6181"/>
      <c r="BB24" s="6181"/>
      <c r="BC24" s="6182"/>
      <c r="BD24" s="530"/>
      <c r="BE24" s="524"/>
      <c r="BF24" s="524"/>
      <c r="BG24" s="1060"/>
      <c r="BH24" s="6183" t="s">
        <v>1638</v>
      </c>
      <c r="BI24" s="6184"/>
      <c r="BJ24" s="542">
        <f>IF(BH22=0,"",VLOOKUP(BH22,'Tablas Magia'!$D$6:$Z$680,7,FALSE))</f>
        <v>8</v>
      </c>
      <c r="BK24" s="542">
        <f>IF(BH22=0,"",VLOOKUP(BH22,'Tablas Magia'!$D$6:$Z$680,11,FALSE))</f>
        <v>150</v>
      </c>
      <c r="BL24" s="543">
        <f>IF(BH22=0,"",VLOOKUP(BH22,'Tablas Magia'!$D$6:$Z$680,15,FALSE))</f>
        <v>10</v>
      </c>
      <c r="BM24" s="6180" t="str">
        <f>IF(BH22=0,"",VLOOKUP(BH22,'Tablas Magia'!$D$6:$Z$680,19,FALSE))</f>
        <v>Drena el 10% de las heridas causadas</v>
      </c>
      <c r="BN24" s="6181"/>
      <c r="BO24" s="6181"/>
      <c r="BP24" s="6181"/>
      <c r="BQ24" s="6181"/>
      <c r="BR24" s="6181"/>
      <c r="BS24" s="6181"/>
      <c r="BT24" s="6181"/>
      <c r="BU24" s="6181"/>
      <c r="BV24" s="6182"/>
      <c r="BW24" s="530"/>
      <c r="BX24" s="524"/>
      <c r="BY24" s="524"/>
      <c r="BZ24" s="1060"/>
      <c r="CA24" s="6183" t="s">
        <v>1638</v>
      </c>
      <c r="CB24" s="6184"/>
      <c r="CC24" s="542">
        <f>IF(CA22=0,"",VLOOKUP(CA22,'Tablas Magia'!$D$6:$Z$680,7,FALSE))</f>
        <v>10</v>
      </c>
      <c r="CD24" s="542">
        <f>IF(CA22=0,"",VLOOKUP(CA22,'Tablas Magia'!$D$6:$Z$680,11,FALSE))</f>
        <v>200</v>
      </c>
      <c r="CE24" s="543">
        <f>IF(CA22=0,"",VLOOKUP(CA22,'Tablas Magia'!$D$6:$Z$680,15,FALSE))</f>
        <v>40</v>
      </c>
      <c r="CF24" s="6180" t="str">
        <f>IF(CA22=0,"",VLOOKUP(CA22,'Tablas Magia'!$D$6:$Z$680,19,FALSE))</f>
        <v>Da +10 a Toda Acción / -5 PV por Turno</v>
      </c>
      <c r="CG24" s="6181"/>
      <c r="CH24" s="6181"/>
      <c r="CI24" s="6181"/>
      <c r="CJ24" s="6181"/>
      <c r="CK24" s="6181"/>
      <c r="CL24" s="6181"/>
      <c r="CM24" s="6181"/>
      <c r="CN24" s="6181"/>
      <c r="CO24" s="6182"/>
      <c r="CP24" s="530"/>
      <c r="CQ24" s="524"/>
    </row>
    <row r="25" spans="1:95" ht="12" customHeight="1" x14ac:dyDescent="0.2">
      <c r="A25" s="524"/>
      <c r="B25" s="1060"/>
      <c r="C25" s="6137" t="s">
        <v>3777</v>
      </c>
      <c r="D25" s="6138"/>
      <c r="E25" s="544">
        <f>IF(C22=0,"",VLOOKUP(C22,'Tablas Magia'!$D$6:$Z$680,8,FALSE))</f>
        <v>8</v>
      </c>
      <c r="F25" s="544">
        <f>IF(C22=0,"",VLOOKUP(C22,'Tablas Magia'!$D$6:$Z$680,12,FALSE))</f>
        <v>60</v>
      </c>
      <c r="G25" s="545" t="str">
        <f>IF(C22=0,"",VLOOKUP(C22,'Tablas Magia'!$D$6:$Z$680,16,FALSE))</f>
        <v>No</v>
      </c>
      <c r="H25" s="6139" t="str">
        <f>IF(C22=0,"",VLOOKUP(C22,'Tablas Magia'!$D$6:$Z$680,20,FALSE))</f>
        <v>RM 100</v>
      </c>
      <c r="I25" s="6140"/>
      <c r="J25" s="6140"/>
      <c r="K25" s="6140"/>
      <c r="L25" s="6140"/>
      <c r="M25" s="6140"/>
      <c r="N25" s="6140"/>
      <c r="O25" s="6140"/>
      <c r="P25" s="6140"/>
      <c r="Q25" s="6141"/>
      <c r="R25" s="530"/>
      <c r="S25" s="524"/>
      <c r="T25" s="524"/>
      <c r="U25" s="1060"/>
      <c r="V25" s="6137" t="s">
        <v>3777</v>
      </c>
      <c r="W25" s="6138"/>
      <c r="X25" s="544">
        <f>IF(V22=0,"",VLOOKUP(V22,'Tablas Magia'!$D$6:$Z$680,8,FALSE))</f>
        <v>9</v>
      </c>
      <c r="Y25" s="544">
        <f>IF(V22=0,"",VLOOKUP(V22,'Tablas Magia'!$D$6:$Z$680,12,FALSE))</f>
        <v>90</v>
      </c>
      <c r="Z25" s="545">
        <f>IF(V22=0,"",VLOOKUP(V22,'Tablas Magia'!$D$6:$Z$680,16,FALSE))</f>
        <v>20</v>
      </c>
      <c r="AA25" s="6139" t="str">
        <f>IF(V22=0,"",VLOOKUP(V22,'Tablas Magia'!$D$6:$Z$680,20,FALSE))</f>
        <v>Pres. máxima 100</v>
      </c>
      <c r="AB25" s="6140"/>
      <c r="AC25" s="6140"/>
      <c r="AD25" s="6140"/>
      <c r="AE25" s="6140"/>
      <c r="AF25" s="6140"/>
      <c r="AG25" s="6140"/>
      <c r="AH25" s="6140"/>
      <c r="AI25" s="6140"/>
      <c r="AJ25" s="6141"/>
      <c r="AK25" s="530"/>
      <c r="AL25" s="524"/>
      <c r="AM25" s="588"/>
      <c r="AN25" s="1060"/>
      <c r="AO25" s="6137" t="s">
        <v>3777</v>
      </c>
      <c r="AP25" s="6138"/>
      <c r="AQ25" s="544">
        <f>IF(AO22=0,"",VLOOKUP(AO22,'Tablas Magia'!$D$6:$Z$680,8,FALSE))</f>
        <v>8</v>
      </c>
      <c r="AR25" s="544">
        <f>IF(AO22=0,"",VLOOKUP(AO22,'Tablas Magia'!$D$6:$Z$680,12,FALSE))</f>
        <v>60</v>
      </c>
      <c r="AS25" s="545" t="str">
        <f>IF(AO22=0,"",VLOOKUP(AO22,'Tablas Magia'!$D$6:$Z$680,16,FALSE))</f>
        <v>No</v>
      </c>
      <c r="AT25" s="6139" t="str">
        <f>IF(AO22=0,"",VLOOKUP(AO22,'Tablas Magia'!$D$6:$Z$680,20,FALSE))</f>
        <v>x5 a los PV Sacrificados</v>
      </c>
      <c r="AU25" s="6140"/>
      <c r="AV25" s="6140"/>
      <c r="AW25" s="6140"/>
      <c r="AX25" s="6140"/>
      <c r="AY25" s="6140"/>
      <c r="AZ25" s="6140"/>
      <c r="BA25" s="6140"/>
      <c r="BB25" s="6140"/>
      <c r="BC25" s="6141"/>
      <c r="BD25" s="530"/>
      <c r="BE25" s="524"/>
      <c r="BF25" s="524"/>
      <c r="BG25" s="1060"/>
      <c r="BH25" s="6137" t="s">
        <v>3777</v>
      </c>
      <c r="BI25" s="6138"/>
      <c r="BJ25" s="544">
        <f>IF(BH22=0,"",VLOOKUP(BH22,'Tablas Magia'!$D$6:$Z$680,8,FALSE))</f>
        <v>10</v>
      </c>
      <c r="BK25" s="544">
        <f>IF(BH22=0,"",VLOOKUP(BH22,'Tablas Magia'!$D$6:$Z$680,12,FALSE))</f>
        <v>200</v>
      </c>
      <c r="BL25" s="545">
        <f>IF(BH22=0,"",VLOOKUP(BH22,'Tablas Magia'!$D$6:$Z$680,16,FALSE))</f>
        <v>10</v>
      </c>
      <c r="BM25" s="6139" t="str">
        <f>IF(BH22=0,"",VLOOKUP(BH22,'Tablas Magia'!$D$6:$Z$680,20,FALSE))</f>
        <v>Drena el 20% de las heridas causadas</v>
      </c>
      <c r="BN25" s="6140"/>
      <c r="BO25" s="6140"/>
      <c r="BP25" s="6140"/>
      <c r="BQ25" s="6140"/>
      <c r="BR25" s="6140"/>
      <c r="BS25" s="6140"/>
      <c r="BT25" s="6140"/>
      <c r="BU25" s="6140"/>
      <c r="BV25" s="6141"/>
      <c r="BW25" s="530"/>
      <c r="BX25" s="524"/>
      <c r="BY25" s="524"/>
      <c r="BZ25" s="1060"/>
      <c r="CA25" s="6137" t="s">
        <v>3777</v>
      </c>
      <c r="CB25" s="6138"/>
      <c r="CC25" s="544">
        <f>IF(CA22=0,"",VLOOKUP(CA22,'Tablas Magia'!$D$6:$Z$680,8,FALSE))</f>
        <v>12</v>
      </c>
      <c r="CD25" s="544">
        <f>IF(CA22=0,"",VLOOKUP(CA22,'Tablas Magia'!$D$6:$Z$680,12,FALSE))</f>
        <v>240</v>
      </c>
      <c r="CE25" s="545">
        <f>IF(CA22=0,"",VLOOKUP(CA22,'Tablas Magia'!$D$6:$Z$680,16,FALSE))</f>
        <v>50</v>
      </c>
      <c r="CF25" s="6139" t="str">
        <f>IF(CA22=0,"",VLOOKUP(CA22,'Tablas Magia'!$D$6:$Z$680,20,FALSE))</f>
        <v>Da +20 a Toda Acción / -15 PV por Turno</v>
      </c>
      <c r="CG25" s="6140"/>
      <c r="CH25" s="6140"/>
      <c r="CI25" s="6140"/>
      <c r="CJ25" s="6140"/>
      <c r="CK25" s="6140"/>
      <c r="CL25" s="6140"/>
      <c r="CM25" s="6140"/>
      <c r="CN25" s="6140"/>
      <c r="CO25" s="6141"/>
      <c r="CP25" s="530"/>
      <c r="CQ25" s="524"/>
    </row>
    <row r="26" spans="1:95" ht="12" customHeight="1" x14ac:dyDescent="0.2">
      <c r="A26" s="524"/>
      <c r="B26" s="1060"/>
      <c r="C26" s="6132" t="s">
        <v>3778</v>
      </c>
      <c r="D26" s="6133"/>
      <c r="E26" s="542">
        <f>IF(C22=0,"",VLOOKUP(C22,'Tablas Magia'!$D$6:$Z$680,9,FALSE))</f>
        <v>10</v>
      </c>
      <c r="F26" s="542">
        <f>IF(C22=0,"",VLOOKUP(C22,'Tablas Magia'!$D$6:$Z$680,13,FALSE))</f>
        <v>100</v>
      </c>
      <c r="G26" s="543" t="str">
        <f>IF(C22=0,"",VLOOKUP(C22,'Tablas Magia'!$D$6:$Z$680,17,FALSE))</f>
        <v>No</v>
      </c>
      <c r="H26" s="6134" t="str">
        <f>IF(C22=0,"",VLOOKUP(C22,'Tablas Magia'!$D$6:$Z$680,21,FALSE))</f>
        <v>RM 120</v>
      </c>
      <c r="I26" s="6135"/>
      <c r="J26" s="6135"/>
      <c r="K26" s="6135"/>
      <c r="L26" s="6135"/>
      <c r="M26" s="6135"/>
      <c r="N26" s="6135"/>
      <c r="O26" s="6135"/>
      <c r="P26" s="6135"/>
      <c r="Q26" s="6136"/>
      <c r="R26" s="530"/>
      <c r="S26" s="524"/>
      <c r="T26" s="524"/>
      <c r="U26" s="1060"/>
      <c r="V26" s="6132" t="s">
        <v>3778</v>
      </c>
      <c r="W26" s="6133"/>
      <c r="X26" s="542">
        <f>IF(V22=0,"",VLOOKUP(V22,'Tablas Magia'!$D$6:$Z$680,9,FALSE))</f>
        <v>12</v>
      </c>
      <c r="Y26" s="542">
        <f>IF(V22=0,"",VLOOKUP(V22,'Tablas Magia'!$D$6:$Z$680,13,FALSE))</f>
        <v>120</v>
      </c>
      <c r="Z26" s="543">
        <f>IF(V22=0,"",VLOOKUP(V22,'Tablas Magia'!$D$6:$Z$680,17,FALSE))</f>
        <v>25</v>
      </c>
      <c r="AA26" s="6134" t="str">
        <f>IF(V22=0,"",VLOOKUP(V22,'Tablas Magia'!$D$6:$Z$680,21,FALSE))</f>
        <v>Pres. máxima 180</v>
      </c>
      <c r="AB26" s="6135"/>
      <c r="AC26" s="6135"/>
      <c r="AD26" s="6135"/>
      <c r="AE26" s="6135"/>
      <c r="AF26" s="6135"/>
      <c r="AG26" s="6135"/>
      <c r="AH26" s="6135"/>
      <c r="AI26" s="6135"/>
      <c r="AJ26" s="6136"/>
      <c r="AK26" s="530"/>
      <c r="AL26" s="524"/>
      <c r="AM26" s="588"/>
      <c r="AN26" s="1060"/>
      <c r="AO26" s="6132" t="s">
        <v>3778</v>
      </c>
      <c r="AP26" s="6133"/>
      <c r="AQ26" s="542">
        <f>IF(AO22=0,"",VLOOKUP(AO22,'Tablas Magia'!$D$6:$Z$680,9,FALSE))</f>
        <v>10</v>
      </c>
      <c r="AR26" s="542">
        <f>IF(AO22=0,"",VLOOKUP(AO22,'Tablas Magia'!$D$6:$Z$680,13,FALSE))</f>
        <v>80</v>
      </c>
      <c r="AS26" s="543" t="str">
        <f>IF(AO22=0,"",VLOOKUP(AO22,'Tablas Magia'!$D$6:$Z$680,17,FALSE))</f>
        <v>No</v>
      </c>
      <c r="AT26" s="6134" t="str">
        <f>IF(AO22=0,"",VLOOKUP(AO22,'Tablas Magia'!$D$6:$Z$680,21,FALSE))</f>
        <v>x10 a los PV Sacrificados</v>
      </c>
      <c r="AU26" s="6135"/>
      <c r="AV26" s="6135"/>
      <c r="AW26" s="6135"/>
      <c r="AX26" s="6135"/>
      <c r="AY26" s="6135"/>
      <c r="AZ26" s="6135"/>
      <c r="BA26" s="6135"/>
      <c r="BB26" s="6135"/>
      <c r="BC26" s="6136"/>
      <c r="BD26" s="530"/>
      <c r="BE26" s="524"/>
      <c r="BF26" s="524"/>
      <c r="BG26" s="1060"/>
      <c r="BH26" s="6132" t="s">
        <v>3778</v>
      </c>
      <c r="BI26" s="6133"/>
      <c r="BJ26" s="542">
        <f>IF(BH22=0,"",VLOOKUP(BH22,'Tablas Magia'!$D$6:$Z$680,9,FALSE))</f>
        <v>12</v>
      </c>
      <c r="BK26" s="542">
        <f>IF(BH22=0,"",VLOOKUP(BH22,'Tablas Magia'!$D$6:$Z$680,13,FALSE))</f>
        <v>250</v>
      </c>
      <c r="BL26" s="543">
        <f>IF(BH22=0,"",VLOOKUP(BH22,'Tablas Magia'!$D$6:$Z$680,17,FALSE))</f>
        <v>15</v>
      </c>
      <c r="BM26" s="6134" t="str">
        <f>IF(BH22=0,"",VLOOKUP(BH22,'Tablas Magia'!$D$6:$Z$680,21,FALSE))</f>
        <v>Drena el 30% de las heridas causadas</v>
      </c>
      <c r="BN26" s="6135"/>
      <c r="BO26" s="6135"/>
      <c r="BP26" s="6135"/>
      <c r="BQ26" s="6135"/>
      <c r="BR26" s="6135"/>
      <c r="BS26" s="6135"/>
      <c r="BT26" s="6135"/>
      <c r="BU26" s="6135"/>
      <c r="BV26" s="6136"/>
      <c r="BW26" s="530"/>
      <c r="BX26" s="524"/>
      <c r="BY26" s="524"/>
      <c r="BZ26" s="1060"/>
      <c r="CA26" s="6132" t="s">
        <v>3778</v>
      </c>
      <c r="CB26" s="6133"/>
      <c r="CC26" s="542">
        <f>IF(CA22=0,"",VLOOKUP(CA22,'Tablas Magia'!$D$6:$Z$680,9,FALSE))</f>
        <v>15</v>
      </c>
      <c r="CD26" s="542">
        <f>IF(CA22=0,"",VLOOKUP(CA22,'Tablas Magia'!$D$6:$Z$680,13,FALSE))</f>
        <v>300</v>
      </c>
      <c r="CE26" s="543">
        <f>IF(CA22=0,"",VLOOKUP(CA22,'Tablas Magia'!$D$6:$Z$680,17,FALSE))</f>
        <v>60</v>
      </c>
      <c r="CF26" s="6134" t="str">
        <f>IF(CA22=0,"",VLOOKUP(CA22,'Tablas Magia'!$D$6:$Z$680,21,FALSE))</f>
        <v>Da +40 a Toda Acción / -30 PV por Turno</v>
      </c>
      <c r="CG26" s="6135"/>
      <c r="CH26" s="6135"/>
      <c r="CI26" s="6135"/>
      <c r="CJ26" s="6135"/>
      <c r="CK26" s="6135"/>
      <c r="CL26" s="6135"/>
      <c r="CM26" s="6135"/>
      <c r="CN26" s="6135"/>
      <c r="CO26" s="6136"/>
      <c r="CP26" s="530"/>
      <c r="CQ26" s="524"/>
    </row>
    <row r="27" spans="1:95" ht="12" customHeight="1" thickBot="1" x14ac:dyDescent="0.25">
      <c r="A27" s="524"/>
      <c r="B27" s="1060"/>
      <c r="C27" s="6142" t="s">
        <v>3779</v>
      </c>
      <c r="D27" s="6143"/>
      <c r="E27" s="546">
        <f>IF(C22=0,"",VLOOKUP(C22,'Tablas Magia'!$D$6:$Z$680,10,FALSE))</f>
        <v>13</v>
      </c>
      <c r="F27" s="546">
        <f>IF(C22=0,"",VLOOKUP(C22,'Tablas Magia'!$D$6:$Z$680,14,FALSE))</f>
        <v>150</v>
      </c>
      <c r="G27" s="547" t="str">
        <f>IF(C22=0,"",VLOOKUP(C22,'Tablas Magia'!$D$6:$Z$680,18,FALSE))</f>
        <v>No</v>
      </c>
      <c r="H27" s="6144" t="str">
        <f>IF(C22=0,"",VLOOKUP(C22,'Tablas Magia'!$D$6:$Z$680,22,FALSE))</f>
        <v>RM 160</v>
      </c>
      <c r="I27" s="6145"/>
      <c r="J27" s="6145"/>
      <c r="K27" s="6145"/>
      <c r="L27" s="6145"/>
      <c r="M27" s="6145"/>
      <c r="N27" s="6145"/>
      <c r="O27" s="6145"/>
      <c r="P27" s="6145"/>
      <c r="Q27" s="6146"/>
      <c r="R27" s="530"/>
      <c r="S27" s="524"/>
      <c r="T27" s="524"/>
      <c r="U27" s="1060"/>
      <c r="V27" s="6142" t="s">
        <v>3779</v>
      </c>
      <c r="W27" s="6143"/>
      <c r="X27" s="546">
        <f>IF(V22=0,"",VLOOKUP(V22,'Tablas Magia'!$D$6:$Z$680,10,FALSE))</f>
        <v>15</v>
      </c>
      <c r="Y27" s="546">
        <f>IF(V22=0,"",VLOOKUP(V22,'Tablas Magia'!$D$6:$Z$680,14,FALSE))</f>
        <v>150</v>
      </c>
      <c r="Z27" s="547">
        <f>IF(V22=0,"",VLOOKUP(V22,'Tablas Magia'!$D$6:$Z$680,18,FALSE))</f>
        <v>30</v>
      </c>
      <c r="AA27" s="6144" t="str">
        <f>IF(V22=0,"",VLOOKUP(V22,'Tablas Magia'!$D$6:$Z$680,22,FALSE))</f>
        <v>Pres. máxima 300</v>
      </c>
      <c r="AB27" s="6145"/>
      <c r="AC27" s="6145"/>
      <c r="AD27" s="6145"/>
      <c r="AE27" s="6145"/>
      <c r="AF27" s="6145"/>
      <c r="AG27" s="6145"/>
      <c r="AH27" s="6145"/>
      <c r="AI27" s="6145"/>
      <c r="AJ27" s="6146"/>
      <c r="AK27" s="530"/>
      <c r="AL27" s="524"/>
      <c r="AM27" s="588"/>
      <c r="AN27" s="1060"/>
      <c r="AO27" s="6142" t="s">
        <v>3779</v>
      </c>
      <c r="AP27" s="6143"/>
      <c r="AQ27" s="546">
        <f>IF(AO22=0,"",VLOOKUP(AO22,'Tablas Magia'!$D$6:$Z$680,10,FALSE))</f>
        <v>12</v>
      </c>
      <c r="AR27" s="546">
        <f>IF(AO22=0,"",VLOOKUP(AO22,'Tablas Magia'!$D$6:$Z$680,14,FALSE))</f>
        <v>100</v>
      </c>
      <c r="AS27" s="547" t="str">
        <f>IF(AO22=0,"",VLOOKUP(AO22,'Tablas Magia'!$D$6:$Z$680,18,FALSE))</f>
        <v>No</v>
      </c>
      <c r="AT27" s="6144" t="str">
        <f>IF(AO22=0,"",VLOOKUP(AO22,'Tablas Magia'!$D$6:$Z$680,22,FALSE))</f>
        <v>x20 a los PV Sacrificados</v>
      </c>
      <c r="AU27" s="6145"/>
      <c r="AV27" s="6145"/>
      <c r="AW27" s="6145"/>
      <c r="AX27" s="6145"/>
      <c r="AY27" s="6145"/>
      <c r="AZ27" s="6145"/>
      <c r="BA27" s="6145"/>
      <c r="BB27" s="6145"/>
      <c r="BC27" s="6146"/>
      <c r="BD27" s="530"/>
      <c r="BE27" s="524"/>
      <c r="BF27" s="524"/>
      <c r="BG27" s="1060"/>
      <c r="BH27" s="6142" t="s">
        <v>3779</v>
      </c>
      <c r="BI27" s="6143"/>
      <c r="BJ27" s="546">
        <f>IF(BH22=0,"",VLOOKUP(BH22,'Tablas Magia'!$D$6:$Z$680,10,FALSE))</f>
        <v>15</v>
      </c>
      <c r="BK27" s="546">
        <f>IF(BH22=0,"",VLOOKUP(BH22,'Tablas Magia'!$D$6:$Z$680,14,FALSE))</f>
        <v>300</v>
      </c>
      <c r="BL27" s="547">
        <f>IF(BH22=0,"",VLOOKUP(BH22,'Tablas Magia'!$D$6:$Z$680,18,FALSE))</f>
        <v>15</v>
      </c>
      <c r="BM27" s="6144" t="str">
        <f>IF(BH22=0,"",VLOOKUP(BH22,'Tablas Magia'!$D$6:$Z$680,22,FALSE))</f>
        <v>Drena el 40% de las heridas causadas</v>
      </c>
      <c r="BN27" s="6145"/>
      <c r="BO27" s="6145"/>
      <c r="BP27" s="6145"/>
      <c r="BQ27" s="6145"/>
      <c r="BR27" s="6145"/>
      <c r="BS27" s="6145"/>
      <c r="BT27" s="6145"/>
      <c r="BU27" s="6145"/>
      <c r="BV27" s="6146"/>
      <c r="BW27" s="530"/>
      <c r="BX27" s="524"/>
      <c r="BY27" s="524"/>
      <c r="BZ27" s="1060"/>
      <c r="CA27" s="6142" t="s">
        <v>3779</v>
      </c>
      <c r="CB27" s="6143"/>
      <c r="CC27" s="546">
        <f>IF(CA22=0,"",VLOOKUP(CA22,'Tablas Magia'!$D$6:$Z$680,10,FALSE))</f>
        <v>17</v>
      </c>
      <c r="CD27" s="546">
        <f>IF(CA22=0,"",VLOOKUP(CA22,'Tablas Magia'!$D$6:$Z$680,14,FALSE))</f>
        <v>340</v>
      </c>
      <c r="CE27" s="547">
        <f>IF(CA22=0,"",VLOOKUP(CA22,'Tablas Magia'!$D$6:$Z$680,18,FALSE))</f>
        <v>70</v>
      </c>
      <c r="CF27" s="6144" t="str">
        <f>IF(CA22=0,"",VLOOKUP(CA22,'Tablas Magia'!$D$6:$Z$680,22,FALSE))</f>
        <v>Da +60 a Toda Acción / -50 PV por Turno</v>
      </c>
      <c r="CG27" s="6145"/>
      <c r="CH27" s="6145"/>
      <c r="CI27" s="6145"/>
      <c r="CJ27" s="6145"/>
      <c r="CK27" s="6145"/>
      <c r="CL27" s="6145"/>
      <c r="CM27" s="6145"/>
      <c r="CN27" s="6145"/>
      <c r="CO27" s="6146"/>
      <c r="CP27" s="530"/>
      <c r="CQ27" s="524"/>
    </row>
    <row r="28" spans="1:95" ht="12" customHeight="1" x14ac:dyDescent="0.2">
      <c r="A28" s="524"/>
      <c r="B28" s="1060"/>
      <c r="C28" s="6147"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48"/>
      <c r="E28" s="6148"/>
      <c r="F28" s="6148"/>
      <c r="G28" s="6148"/>
      <c r="H28" s="6148"/>
      <c r="I28" s="6148"/>
      <c r="J28" s="6148"/>
      <c r="K28" s="6148"/>
      <c r="L28" s="6148"/>
      <c r="M28" s="6148"/>
      <c r="N28" s="6148"/>
      <c r="O28" s="6148"/>
      <c r="P28" s="6148"/>
      <c r="Q28" s="6149"/>
      <c r="R28" s="530"/>
      <c r="S28" s="524"/>
      <c r="T28" s="524"/>
      <c r="U28" s="1060"/>
      <c r="V28" s="6147"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48"/>
      <c r="X28" s="6148"/>
      <c r="Y28" s="6148"/>
      <c r="Z28" s="6148"/>
      <c r="AA28" s="6148"/>
      <c r="AB28" s="6148"/>
      <c r="AC28" s="6148"/>
      <c r="AD28" s="6148"/>
      <c r="AE28" s="6148"/>
      <c r="AF28" s="6148"/>
      <c r="AG28" s="6148"/>
      <c r="AH28" s="6148"/>
      <c r="AI28" s="6148"/>
      <c r="AJ28" s="6149"/>
      <c r="AK28" s="530"/>
      <c r="AL28" s="524"/>
      <c r="AM28" s="588"/>
      <c r="AN28" s="1060"/>
      <c r="AO28" s="6147"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48"/>
      <c r="AQ28" s="6148"/>
      <c r="AR28" s="6148"/>
      <c r="AS28" s="6148"/>
      <c r="AT28" s="6148"/>
      <c r="AU28" s="6148"/>
      <c r="AV28" s="6148"/>
      <c r="AW28" s="6148"/>
      <c r="AX28" s="6148"/>
      <c r="AY28" s="6148"/>
      <c r="AZ28" s="6148"/>
      <c r="BA28" s="6148"/>
      <c r="BB28" s="6148"/>
      <c r="BC28" s="6149"/>
      <c r="BD28" s="530"/>
      <c r="BE28" s="524"/>
      <c r="BF28" s="524"/>
      <c r="BG28" s="1060"/>
      <c r="BH28" s="6147"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48"/>
      <c r="BJ28" s="6148"/>
      <c r="BK28" s="6148"/>
      <c r="BL28" s="6148"/>
      <c r="BM28" s="6148"/>
      <c r="BN28" s="6148"/>
      <c r="BO28" s="6148"/>
      <c r="BP28" s="6148"/>
      <c r="BQ28" s="6148"/>
      <c r="BR28" s="6148"/>
      <c r="BS28" s="6148"/>
      <c r="BT28" s="6148"/>
      <c r="BU28" s="6148"/>
      <c r="BV28" s="6149"/>
      <c r="BW28" s="530"/>
      <c r="BX28" s="524"/>
      <c r="BY28" s="524"/>
      <c r="BZ28" s="1060"/>
      <c r="CA28" s="6147"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48"/>
      <c r="CC28" s="6148"/>
      <c r="CD28" s="6148"/>
      <c r="CE28" s="6148"/>
      <c r="CF28" s="6148"/>
      <c r="CG28" s="6148"/>
      <c r="CH28" s="6148"/>
      <c r="CI28" s="6148"/>
      <c r="CJ28" s="6148"/>
      <c r="CK28" s="6148"/>
      <c r="CL28" s="6148"/>
      <c r="CM28" s="6148"/>
      <c r="CN28" s="6148"/>
      <c r="CO28" s="6149"/>
      <c r="CP28" s="530"/>
      <c r="CQ28" s="524"/>
    </row>
    <row r="29" spans="1:95" ht="12" customHeight="1" x14ac:dyDescent="0.2">
      <c r="A29" s="524"/>
      <c r="B29" s="1060"/>
      <c r="C29" s="6150"/>
      <c r="D29" s="6151"/>
      <c r="E29" s="6151"/>
      <c r="F29" s="6151"/>
      <c r="G29" s="6151"/>
      <c r="H29" s="6151"/>
      <c r="I29" s="6151"/>
      <c r="J29" s="6151"/>
      <c r="K29" s="6151"/>
      <c r="L29" s="6151"/>
      <c r="M29" s="6151"/>
      <c r="N29" s="6151"/>
      <c r="O29" s="6151"/>
      <c r="P29" s="6151"/>
      <c r="Q29" s="6152"/>
      <c r="R29" s="530"/>
      <c r="S29" s="524"/>
      <c r="T29" s="524"/>
      <c r="U29" s="1060"/>
      <c r="V29" s="6150"/>
      <c r="W29" s="6151"/>
      <c r="X29" s="6151"/>
      <c r="Y29" s="6151"/>
      <c r="Z29" s="6151"/>
      <c r="AA29" s="6151"/>
      <c r="AB29" s="6151"/>
      <c r="AC29" s="6151"/>
      <c r="AD29" s="6151"/>
      <c r="AE29" s="6151"/>
      <c r="AF29" s="6151"/>
      <c r="AG29" s="6151"/>
      <c r="AH29" s="6151"/>
      <c r="AI29" s="6151"/>
      <c r="AJ29" s="6152"/>
      <c r="AK29" s="530"/>
      <c r="AL29" s="524"/>
      <c r="AM29" s="588"/>
      <c r="AN29" s="1060"/>
      <c r="AO29" s="6150"/>
      <c r="AP29" s="6151"/>
      <c r="AQ29" s="6151"/>
      <c r="AR29" s="6151"/>
      <c r="AS29" s="6151"/>
      <c r="AT29" s="6151"/>
      <c r="AU29" s="6151"/>
      <c r="AV29" s="6151"/>
      <c r="AW29" s="6151"/>
      <c r="AX29" s="6151"/>
      <c r="AY29" s="6151"/>
      <c r="AZ29" s="6151"/>
      <c r="BA29" s="6151"/>
      <c r="BB29" s="6151"/>
      <c r="BC29" s="6152"/>
      <c r="BD29" s="530"/>
      <c r="BE29" s="524"/>
      <c r="BF29" s="524"/>
      <c r="BG29" s="1060"/>
      <c r="BH29" s="6150"/>
      <c r="BI29" s="6151"/>
      <c r="BJ29" s="6151"/>
      <c r="BK29" s="6151"/>
      <c r="BL29" s="6151"/>
      <c r="BM29" s="6151"/>
      <c r="BN29" s="6151"/>
      <c r="BO29" s="6151"/>
      <c r="BP29" s="6151"/>
      <c r="BQ29" s="6151"/>
      <c r="BR29" s="6151"/>
      <c r="BS29" s="6151"/>
      <c r="BT29" s="6151"/>
      <c r="BU29" s="6151"/>
      <c r="BV29" s="6152"/>
      <c r="BW29" s="530"/>
      <c r="BX29" s="524"/>
      <c r="BY29" s="524"/>
      <c r="BZ29" s="1060"/>
      <c r="CA29" s="6150"/>
      <c r="CB29" s="6151"/>
      <c r="CC29" s="6151"/>
      <c r="CD29" s="6151"/>
      <c r="CE29" s="6151"/>
      <c r="CF29" s="6151"/>
      <c r="CG29" s="6151"/>
      <c r="CH29" s="6151"/>
      <c r="CI29" s="6151"/>
      <c r="CJ29" s="6151"/>
      <c r="CK29" s="6151"/>
      <c r="CL29" s="6151"/>
      <c r="CM29" s="6151"/>
      <c r="CN29" s="6151"/>
      <c r="CO29" s="6152"/>
      <c r="CP29" s="530"/>
      <c r="CQ29" s="524"/>
    </row>
    <row r="30" spans="1:95" ht="12" customHeight="1" x14ac:dyDescent="0.2">
      <c r="A30" s="524"/>
      <c r="B30" s="1060"/>
      <c r="C30" s="6150"/>
      <c r="D30" s="6151"/>
      <c r="E30" s="6151"/>
      <c r="F30" s="6151"/>
      <c r="G30" s="6151"/>
      <c r="H30" s="6151"/>
      <c r="I30" s="6151"/>
      <c r="J30" s="6151"/>
      <c r="K30" s="6151"/>
      <c r="L30" s="6151"/>
      <c r="M30" s="6151"/>
      <c r="N30" s="6151"/>
      <c r="O30" s="6151"/>
      <c r="P30" s="6151"/>
      <c r="Q30" s="6152"/>
      <c r="R30" s="530"/>
      <c r="S30" s="524"/>
      <c r="T30" s="524"/>
      <c r="U30" s="1060"/>
      <c r="V30" s="6150"/>
      <c r="W30" s="6151"/>
      <c r="X30" s="6151"/>
      <c r="Y30" s="6151"/>
      <c r="Z30" s="6151"/>
      <c r="AA30" s="6151"/>
      <c r="AB30" s="6151"/>
      <c r="AC30" s="6151"/>
      <c r="AD30" s="6151"/>
      <c r="AE30" s="6151"/>
      <c r="AF30" s="6151"/>
      <c r="AG30" s="6151"/>
      <c r="AH30" s="6151"/>
      <c r="AI30" s="6151"/>
      <c r="AJ30" s="6152"/>
      <c r="AK30" s="530"/>
      <c r="AL30" s="524"/>
      <c r="AM30" s="588"/>
      <c r="AN30" s="1060"/>
      <c r="AO30" s="6150"/>
      <c r="AP30" s="6151"/>
      <c r="AQ30" s="6151"/>
      <c r="AR30" s="6151"/>
      <c r="AS30" s="6151"/>
      <c r="AT30" s="6151"/>
      <c r="AU30" s="6151"/>
      <c r="AV30" s="6151"/>
      <c r="AW30" s="6151"/>
      <c r="AX30" s="6151"/>
      <c r="AY30" s="6151"/>
      <c r="AZ30" s="6151"/>
      <c r="BA30" s="6151"/>
      <c r="BB30" s="6151"/>
      <c r="BC30" s="6152"/>
      <c r="BD30" s="530"/>
      <c r="BE30" s="524"/>
      <c r="BF30" s="524"/>
      <c r="BG30" s="1060"/>
      <c r="BH30" s="6150"/>
      <c r="BI30" s="6151"/>
      <c r="BJ30" s="6151"/>
      <c r="BK30" s="6151"/>
      <c r="BL30" s="6151"/>
      <c r="BM30" s="6151"/>
      <c r="BN30" s="6151"/>
      <c r="BO30" s="6151"/>
      <c r="BP30" s="6151"/>
      <c r="BQ30" s="6151"/>
      <c r="BR30" s="6151"/>
      <c r="BS30" s="6151"/>
      <c r="BT30" s="6151"/>
      <c r="BU30" s="6151"/>
      <c r="BV30" s="6152"/>
      <c r="BW30" s="530"/>
      <c r="BX30" s="524"/>
      <c r="BY30" s="524"/>
      <c r="BZ30" s="1060"/>
      <c r="CA30" s="6150"/>
      <c r="CB30" s="6151"/>
      <c r="CC30" s="6151"/>
      <c r="CD30" s="6151"/>
      <c r="CE30" s="6151"/>
      <c r="CF30" s="6151"/>
      <c r="CG30" s="6151"/>
      <c r="CH30" s="6151"/>
      <c r="CI30" s="6151"/>
      <c r="CJ30" s="6151"/>
      <c r="CK30" s="6151"/>
      <c r="CL30" s="6151"/>
      <c r="CM30" s="6151"/>
      <c r="CN30" s="6151"/>
      <c r="CO30" s="6152"/>
      <c r="CP30" s="530"/>
      <c r="CQ30" s="524"/>
    </row>
    <row r="31" spans="1:95" ht="12" customHeight="1" thickBot="1" x14ac:dyDescent="0.25">
      <c r="A31" s="524"/>
      <c r="B31" s="1060"/>
      <c r="C31" s="6153"/>
      <c r="D31" s="6154"/>
      <c r="E31" s="6154"/>
      <c r="F31" s="6154"/>
      <c r="G31" s="6154"/>
      <c r="H31" s="6154"/>
      <c r="I31" s="6154"/>
      <c r="J31" s="6154"/>
      <c r="K31" s="6154"/>
      <c r="L31" s="6154"/>
      <c r="M31" s="6154"/>
      <c r="N31" s="6154"/>
      <c r="O31" s="6154"/>
      <c r="P31" s="6154"/>
      <c r="Q31" s="6155"/>
      <c r="R31" s="530"/>
      <c r="S31" s="524"/>
      <c r="T31" s="524"/>
      <c r="U31" s="1060"/>
      <c r="V31" s="6153"/>
      <c r="W31" s="6154"/>
      <c r="X31" s="6154"/>
      <c r="Y31" s="6154"/>
      <c r="Z31" s="6154"/>
      <c r="AA31" s="6154"/>
      <c r="AB31" s="6154"/>
      <c r="AC31" s="6154"/>
      <c r="AD31" s="6154"/>
      <c r="AE31" s="6154"/>
      <c r="AF31" s="6154"/>
      <c r="AG31" s="6154"/>
      <c r="AH31" s="6154"/>
      <c r="AI31" s="6154"/>
      <c r="AJ31" s="6155"/>
      <c r="AK31" s="530"/>
      <c r="AL31" s="524"/>
      <c r="AM31" s="588"/>
      <c r="AN31" s="1060"/>
      <c r="AO31" s="6153"/>
      <c r="AP31" s="6154"/>
      <c r="AQ31" s="6154"/>
      <c r="AR31" s="6154"/>
      <c r="AS31" s="6154"/>
      <c r="AT31" s="6154"/>
      <c r="AU31" s="6154"/>
      <c r="AV31" s="6154"/>
      <c r="AW31" s="6154"/>
      <c r="AX31" s="6154"/>
      <c r="AY31" s="6154"/>
      <c r="AZ31" s="6154"/>
      <c r="BA31" s="6154"/>
      <c r="BB31" s="6154"/>
      <c r="BC31" s="6155"/>
      <c r="BD31" s="530"/>
      <c r="BE31" s="524"/>
      <c r="BF31" s="524"/>
      <c r="BG31" s="1060"/>
      <c r="BH31" s="6153"/>
      <c r="BI31" s="6154"/>
      <c r="BJ31" s="6154"/>
      <c r="BK31" s="6154"/>
      <c r="BL31" s="6154"/>
      <c r="BM31" s="6154"/>
      <c r="BN31" s="6154"/>
      <c r="BO31" s="6154"/>
      <c r="BP31" s="6154"/>
      <c r="BQ31" s="6154"/>
      <c r="BR31" s="6154"/>
      <c r="BS31" s="6154"/>
      <c r="BT31" s="6154"/>
      <c r="BU31" s="6154"/>
      <c r="BV31" s="6155"/>
      <c r="BW31" s="530"/>
      <c r="BX31" s="524"/>
      <c r="BY31" s="524"/>
      <c r="BZ31" s="1060"/>
      <c r="CA31" s="6153"/>
      <c r="CB31" s="6154"/>
      <c r="CC31" s="6154"/>
      <c r="CD31" s="6154"/>
      <c r="CE31" s="6154"/>
      <c r="CF31" s="6154"/>
      <c r="CG31" s="6154"/>
      <c r="CH31" s="6154"/>
      <c r="CI31" s="6154"/>
      <c r="CJ31" s="6154"/>
      <c r="CK31" s="6154"/>
      <c r="CL31" s="6154"/>
      <c r="CM31" s="6154"/>
      <c r="CN31" s="6154"/>
      <c r="CO31" s="6155"/>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7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79"/>
      <c r="E33" s="6179"/>
      <c r="F33" s="6179"/>
      <c r="G33" s="6176"/>
      <c r="H33" s="537" t="s">
        <v>1597</v>
      </c>
      <c r="I33" s="538">
        <f>B33</f>
        <v>6</v>
      </c>
      <c r="J33" s="6173" t="s">
        <v>6888</v>
      </c>
      <c r="K33" s="6173"/>
      <c r="L33" s="6173"/>
      <c r="M33" s="6161" t="str">
        <f>IF(C33=0,"",VLOOKUP(C33,'Tablas Magia'!$D$6:$Z$680,2,FALSE))</f>
        <v>Agua</v>
      </c>
      <c r="N33" s="6161"/>
      <c r="O33" s="2428"/>
      <c r="P33" s="6177" t="str">
        <f>IFERROR(IF(M33="Libre Acceso","Aprendido",IF(IFERROR(VLOOKUP(M33,Místicos!$C$15:$H$25,6,0)&gt;=I33,FALSE),"Aprendido",IF(IFERROR(VLOOKUP(M33,Místicos!$E$15:$H$25,4,0)&gt;=I33,FALSE),"Aprendido",""))),"")</f>
        <v/>
      </c>
      <c r="Q33" s="6178"/>
      <c r="R33" s="530"/>
      <c r="S33" s="524"/>
      <c r="T33" s="524"/>
      <c r="U33" s="1060">
        <f>U22+2</f>
        <v>26</v>
      </c>
      <c r="V33" s="617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79"/>
      <c r="X33" s="6179"/>
      <c r="Y33" s="6179"/>
      <c r="Z33" s="6176"/>
      <c r="AA33" s="537" t="s">
        <v>1597</v>
      </c>
      <c r="AB33" s="538">
        <f>U33</f>
        <v>26</v>
      </c>
      <c r="AC33" s="6173" t="s">
        <v>6888</v>
      </c>
      <c r="AD33" s="6173"/>
      <c r="AE33" s="6173"/>
      <c r="AF33" s="6161" t="str">
        <f>IF(V33=0,"",VLOOKUP(V33,'Tablas Magia'!$D$6:$Z$680,2,FALSE))</f>
        <v>Agua</v>
      </c>
      <c r="AG33" s="6161"/>
      <c r="AH33" s="2428"/>
      <c r="AI33" s="6177" t="str">
        <f>IFERROR(IF(AF33="Libre Acceso","Aprendido",IF(IFERROR(VLOOKUP(AF33,Místicos!$C$15:$H$25,6,0)&gt;=AB33,FALSE),"Aprendido",IF(IFERROR(VLOOKUP(AF33,Místicos!$E$15:$H$25,4,0)&gt;=AB33,FALSE),"Aprendido",""))),"")</f>
        <v/>
      </c>
      <c r="AJ33" s="6178"/>
      <c r="AK33" s="530"/>
      <c r="AL33" s="524"/>
      <c r="AM33" s="588"/>
      <c r="AN33" s="1060">
        <f>AN22+2</f>
        <v>46</v>
      </c>
      <c r="AO33" s="617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79"/>
      <c r="AQ33" s="6179"/>
      <c r="AR33" s="6179"/>
      <c r="AS33" s="6176"/>
      <c r="AT33" s="537" t="s">
        <v>1597</v>
      </c>
      <c r="AU33" s="538">
        <f>AN33</f>
        <v>46</v>
      </c>
      <c r="AV33" s="6173" t="s">
        <v>6888</v>
      </c>
      <c r="AW33" s="6173"/>
      <c r="AX33" s="6173"/>
      <c r="AY33" s="6161" t="str">
        <f>IF(AO33=0,"",VLOOKUP(AO33,'Tablas Magia'!$D$6:$Z$680,2,FALSE))</f>
        <v>Agua</v>
      </c>
      <c r="AZ33" s="6161"/>
      <c r="BA33" s="2428"/>
      <c r="BB33" s="6177" t="str">
        <f>IFERROR(IF(AY33="Libre Acceso","Aprendido",IF(IFERROR(VLOOKUP(AY33,Místicos!$C$15:$H$25,6,0)&gt;=AU33,FALSE),"Aprendido",IF(IFERROR(VLOOKUP(AY33,Místicos!$E$15:$H$25,4,0)&gt;=AU33,FALSE),"Aprendido",""))),"")</f>
        <v/>
      </c>
      <c r="BC33" s="6178"/>
      <c r="BD33" s="530"/>
      <c r="BE33" s="524"/>
      <c r="BF33" s="524"/>
      <c r="BG33" s="1060">
        <f>BG22+2</f>
        <v>66</v>
      </c>
      <c r="BH33" s="617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79"/>
      <c r="BJ33" s="6179"/>
      <c r="BK33" s="6179"/>
      <c r="BL33" s="6176"/>
      <c r="BM33" s="537" t="s">
        <v>1597</v>
      </c>
      <c r="BN33" s="538">
        <f>BG33</f>
        <v>66</v>
      </c>
      <c r="BO33" s="6173" t="s">
        <v>6888</v>
      </c>
      <c r="BP33" s="6173"/>
      <c r="BQ33" s="6173"/>
      <c r="BR33" s="6161" t="str">
        <f>IF(BH33=0,"",VLOOKUP(BH33,'Tablas Magia'!$D$6:$Z$680,2,FALSE))</f>
        <v>Agua</v>
      </c>
      <c r="BS33" s="6161"/>
      <c r="BT33" s="2428"/>
      <c r="BU33" s="6177" t="str">
        <f>IFERROR(IF(BR33="Libre Acceso","Aprendido",IF(IFERROR(VLOOKUP(BR33,Místicos!$C$15:$H$25,6,0)&gt;=BN33,FALSE),"Aprendido",IF(IFERROR(VLOOKUP(BR33,Místicos!$E$15:$H$25,4,0)&gt;=BN33,FALSE),"Aprendido",""))),"")</f>
        <v/>
      </c>
      <c r="BV33" s="6178"/>
      <c r="BW33" s="530"/>
      <c r="BX33" s="524"/>
      <c r="BY33" s="524"/>
      <c r="BZ33" s="1060">
        <f>BZ22+2</f>
        <v>86</v>
      </c>
      <c r="CA33" s="617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79"/>
      <c r="CC33" s="6179"/>
      <c r="CD33" s="6179"/>
      <c r="CE33" s="6176"/>
      <c r="CF33" s="537" t="s">
        <v>1597</v>
      </c>
      <c r="CG33" s="538">
        <f>BZ33</f>
        <v>86</v>
      </c>
      <c r="CH33" s="6173" t="s">
        <v>6888</v>
      </c>
      <c r="CI33" s="6173"/>
      <c r="CJ33" s="6173"/>
      <c r="CK33" s="6161" t="str">
        <f>IF(CA33=0,"",VLOOKUP(CA33,'Tablas Magia'!$D$6:$Z$680,2,FALSE))</f>
        <v>Agua</v>
      </c>
      <c r="CL33" s="6161"/>
      <c r="CM33" s="2428"/>
      <c r="CN33" s="6177" t="str">
        <f>IFERROR(IF(CK33="Libre Acceso","Aprendido",IF(IFERROR(VLOOKUP(CK33,Místicos!$C$15:$H$25,6,0)&gt;=CG33,FALSE),"Aprendido",IF(IFERROR(VLOOKUP(CK33,Místicos!$E$15:$H$25,4,0)&gt;=CG33,FALSE),"Aprendido",""))),"")</f>
        <v/>
      </c>
      <c r="CO33" s="6178"/>
      <c r="CP33" s="530"/>
      <c r="CQ33" s="524"/>
    </row>
    <row r="34" spans="1:95" ht="12" customHeight="1" x14ac:dyDescent="0.2">
      <c r="A34" s="524"/>
      <c r="B34" s="1060"/>
      <c r="C34" s="6156" t="s">
        <v>6889</v>
      </c>
      <c r="D34" s="6172"/>
      <c r="E34" s="2452" t="s">
        <v>6890</v>
      </c>
      <c r="F34" s="2452" t="s">
        <v>1783</v>
      </c>
      <c r="G34" s="2452" t="s">
        <v>3227</v>
      </c>
      <c r="H34" s="2453" t="s">
        <v>2121</v>
      </c>
      <c r="I34" s="6170" t="str">
        <f>IF(C33=0,"",VLOOKUP(C33,'Tablas Magia'!$D$6:$Z$680,5,FALSE))</f>
        <v>Efecto</v>
      </c>
      <c r="J34" s="6170"/>
      <c r="K34" s="6171" t="s">
        <v>6891</v>
      </c>
      <c r="L34" s="6171"/>
      <c r="M34" s="6170" t="str">
        <f>IF(C33=0,"",VLOOKUP(C33,'Tablas Magia'!$D$6:$Z$680,6,FALSE))</f>
        <v>Activa</v>
      </c>
      <c r="N34" s="6170"/>
      <c r="O34" s="6169" t="s">
        <v>6892</v>
      </c>
      <c r="P34" s="6169"/>
      <c r="Q34" s="2454" t="str">
        <f>IF(C33=0,"",VLOOKUP(C33,'Tablas Magia'!$D$6:$Z$680,4,FALSE))</f>
        <v>Si</v>
      </c>
      <c r="R34" s="530"/>
      <c r="S34" s="524"/>
      <c r="T34" s="524"/>
      <c r="U34" s="1060"/>
      <c r="V34" s="6156" t="s">
        <v>6889</v>
      </c>
      <c r="W34" s="6172"/>
      <c r="X34" s="2452" t="s">
        <v>6890</v>
      </c>
      <c r="Y34" s="2452" t="s">
        <v>1783</v>
      </c>
      <c r="Z34" s="2452" t="s">
        <v>3227</v>
      </c>
      <c r="AA34" s="2453" t="s">
        <v>2121</v>
      </c>
      <c r="AB34" s="6170" t="str">
        <f>IF(V33=0,"",VLOOKUP(V33,'Tablas Magia'!$D$6:$Z$680,5,FALSE))</f>
        <v>Efecto</v>
      </c>
      <c r="AC34" s="6170"/>
      <c r="AD34" s="6171" t="s">
        <v>6891</v>
      </c>
      <c r="AE34" s="6171"/>
      <c r="AF34" s="6170" t="str">
        <f>IF(V33=0,"",VLOOKUP(V33,'Tablas Magia'!$D$6:$Z$680,6,FALSE))</f>
        <v>Activa</v>
      </c>
      <c r="AG34" s="6170"/>
      <c r="AH34" s="6169" t="s">
        <v>6892</v>
      </c>
      <c r="AI34" s="6169"/>
      <c r="AJ34" s="2454" t="str">
        <f>IF(V33=0,"",VLOOKUP(V33,'Tablas Magia'!$D$6:$Z$680,4,FALSE))</f>
        <v>No</v>
      </c>
      <c r="AK34" s="530"/>
      <c r="AL34" s="524"/>
      <c r="AM34" s="588"/>
      <c r="AN34" s="1060"/>
      <c r="AO34" s="6156" t="s">
        <v>6889</v>
      </c>
      <c r="AP34" s="6172"/>
      <c r="AQ34" s="2452" t="s">
        <v>6890</v>
      </c>
      <c r="AR34" s="2452" t="s">
        <v>1783</v>
      </c>
      <c r="AS34" s="2452" t="s">
        <v>3227</v>
      </c>
      <c r="AT34" s="2453" t="s">
        <v>2121</v>
      </c>
      <c r="AU34" s="6170" t="str">
        <f>IF(AO33=0,"",VLOOKUP(AO33,'Tablas Magia'!$D$6:$Z$680,5,FALSE))</f>
        <v>Animico</v>
      </c>
      <c r="AV34" s="6170"/>
      <c r="AW34" s="6171" t="s">
        <v>6891</v>
      </c>
      <c r="AX34" s="6171"/>
      <c r="AY34" s="6170" t="str">
        <f>IF(AO33=0,"",VLOOKUP(AO33,'Tablas Magia'!$D$6:$Z$680,6,FALSE))</f>
        <v>Activa</v>
      </c>
      <c r="AZ34" s="6170"/>
      <c r="BA34" s="6169" t="s">
        <v>6892</v>
      </c>
      <c r="BB34" s="6169"/>
      <c r="BC34" s="2454" t="str">
        <f>IF(AO33=0,"",VLOOKUP(AO33,'Tablas Magia'!$D$6:$Z$680,4,FALSE))</f>
        <v>No</v>
      </c>
      <c r="BD34" s="530"/>
      <c r="BE34" s="524"/>
      <c r="BF34" s="524"/>
      <c r="BG34" s="1060"/>
      <c r="BH34" s="6156" t="s">
        <v>6889</v>
      </c>
      <c r="BI34" s="6172"/>
      <c r="BJ34" s="2452" t="s">
        <v>6890</v>
      </c>
      <c r="BK34" s="2452" t="s">
        <v>1783</v>
      </c>
      <c r="BL34" s="2452" t="s">
        <v>3227</v>
      </c>
      <c r="BM34" s="2453" t="s">
        <v>2121</v>
      </c>
      <c r="BN34" s="6170" t="str">
        <f>IF(BH33=0,"",VLOOKUP(BH33,'Tablas Magia'!$D$6:$Z$680,5,FALSE))</f>
        <v>Auto</v>
      </c>
      <c r="BO34" s="6170"/>
      <c r="BP34" s="6171" t="s">
        <v>6891</v>
      </c>
      <c r="BQ34" s="6171"/>
      <c r="BR34" s="6170" t="str">
        <f>IF(BH33=0,"",VLOOKUP(BH33,'Tablas Magia'!$D$6:$Z$680,6,FALSE))</f>
        <v>Activa</v>
      </c>
      <c r="BS34" s="6170"/>
      <c r="BT34" s="6169" t="s">
        <v>6892</v>
      </c>
      <c r="BU34" s="6169"/>
      <c r="BV34" s="2454" t="str">
        <f>IF(BH33=0,"",VLOOKUP(BH33,'Tablas Magia'!$D$6:$Z$680,4,FALSE))</f>
        <v>No</v>
      </c>
      <c r="BW34" s="530"/>
      <c r="BX34" s="524"/>
      <c r="BY34" s="524"/>
      <c r="BZ34" s="1060"/>
      <c r="CA34" s="6156" t="s">
        <v>6889</v>
      </c>
      <c r="CB34" s="6172"/>
      <c r="CC34" s="2452" t="s">
        <v>6890</v>
      </c>
      <c r="CD34" s="2452" t="s">
        <v>1783</v>
      </c>
      <c r="CE34" s="2452" t="s">
        <v>3227</v>
      </c>
      <c r="CF34" s="2453" t="s">
        <v>2121</v>
      </c>
      <c r="CG34" s="6170" t="str">
        <f>IF(CA33=0,"",VLOOKUP(CA33,'Tablas Magia'!$D$6:$Z$680,5,FALSE))</f>
        <v>Efecto</v>
      </c>
      <c r="CH34" s="6170"/>
      <c r="CI34" s="6171" t="s">
        <v>6891</v>
      </c>
      <c r="CJ34" s="6171"/>
      <c r="CK34" s="6170" t="str">
        <f>IF(CA33=0,"",VLOOKUP(CA33,'Tablas Magia'!$D$6:$Z$680,6,FALSE))</f>
        <v>Pasiva</v>
      </c>
      <c r="CL34" s="6170"/>
      <c r="CM34" s="6169" t="s">
        <v>6892</v>
      </c>
      <c r="CN34" s="6169"/>
      <c r="CO34" s="2454" t="str">
        <f>IF(CA33=0,"",VLOOKUP(CA33,'Tablas Magia'!$D$6:$Z$680,4,FALSE))</f>
        <v>Si</v>
      </c>
      <c r="CP34" s="530"/>
      <c r="CQ34" s="524"/>
    </row>
    <row r="35" spans="1:95" ht="12" customHeight="1" x14ac:dyDescent="0.2">
      <c r="A35" s="524"/>
      <c r="B35" s="1060"/>
      <c r="C35" s="6183" t="s">
        <v>1638</v>
      </c>
      <c r="D35" s="6184"/>
      <c r="E35" s="542">
        <f>IF(C33=0,"",VLOOKUP(C33,'Tablas Magia'!$D$6:$Z$680,7,FALSE))</f>
        <v>5</v>
      </c>
      <c r="F35" s="542">
        <f>IF(C33=0,"",VLOOKUP(C33,'Tablas Magia'!$D$6:$Z$680,11,FALSE))</f>
        <v>30</v>
      </c>
      <c r="G35" s="543">
        <f>IF(C33=0,"",VLOOKUP(C33,'Tablas Magia'!$D$6:$Z$680,15,FALSE))</f>
        <v>5</v>
      </c>
      <c r="H35" s="6180" t="str">
        <f>IF(C33=0,"",VLOOKUP(C33,'Tablas Magia'!$D$6:$Z$680,19,FALSE))</f>
        <v>1 Intensidad.</v>
      </c>
      <c r="I35" s="6181"/>
      <c r="J35" s="6181"/>
      <c r="K35" s="6181"/>
      <c r="L35" s="6181"/>
      <c r="M35" s="6181"/>
      <c r="N35" s="6181"/>
      <c r="O35" s="6181"/>
      <c r="P35" s="6181"/>
      <c r="Q35" s="6182"/>
      <c r="R35" s="530"/>
      <c r="S35" s="524"/>
      <c r="T35" s="524"/>
      <c r="U35" s="1060"/>
      <c r="V35" s="6183" t="s">
        <v>1638</v>
      </c>
      <c r="W35" s="6184"/>
      <c r="X35" s="542">
        <f>IF(V33=0,"",VLOOKUP(V33,'Tablas Magia'!$D$6:$Z$680,7,FALSE))</f>
        <v>6</v>
      </c>
      <c r="Y35" s="542">
        <f>IF(V33=0,"",VLOOKUP(V33,'Tablas Magia'!$D$6:$Z$680,11,FALSE))</f>
        <v>60</v>
      </c>
      <c r="Z35" s="543">
        <f>IF(V33=0,"",VLOOKUP(V33,'Tablas Magia'!$D$6:$Z$680,15,FALSE))</f>
        <v>5</v>
      </c>
      <c r="AA35" s="6180" t="str">
        <f>IF(V33=0,"",VLOOKUP(V33,'Tablas Magia'!$D$6:$Z$680,19,FALSE))</f>
        <v>Afecta a estados naturales.</v>
      </c>
      <c r="AB35" s="6181"/>
      <c r="AC35" s="6181"/>
      <c r="AD35" s="6181"/>
      <c r="AE35" s="6181"/>
      <c r="AF35" s="6181"/>
      <c r="AG35" s="6181"/>
      <c r="AH35" s="6181"/>
      <c r="AI35" s="6181"/>
      <c r="AJ35" s="6182"/>
      <c r="AK35" s="530"/>
      <c r="AL35" s="524"/>
      <c r="AM35" s="588"/>
      <c r="AN35" s="1060"/>
      <c r="AO35" s="6183" t="s">
        <v>1638</v>
      </c>
      <c r="AP35" s="6184"/>
      <c r="AQ35" s="542">
        <f>IF(AO33=0,"",VLOOKUP(AO33,'Tablas Magia'!$D$6:$Z$680,7,FALSE))</f>
        <v>8</v>
      </c>
      <c r="AR35" s="542">
        <f>IF(AO33=0,"",VLOOKUP(AO33,'Tablas Magia'!$D$6:$Z$680,11,FALSE))</f>
        <v>80</v>
      </c>
      <c r="AS35" s="543">
        <f>IF(AO33=0,"",VLOOKUP(AO33,'Tablas Magia'!$D$6:$Z$680,15,FALSE))</f>
        <v>5</v>
      </c>
      <c r="AT35" s="6180" t="str">
        <f>IF(AO33=0,"",VLOOKUP(AO33,'Tablas Magia'!$D$6:$Z$680,19,FALSE))</f>
        <v>RM o RF 140.</v>
      </c>
      <c r="AU35" s="6181"/>
      <c r="AV35" s="6181"/>
      <c r="AW35" s="6181"/>
      <c r="AX35" s="6181"/>
      <c r="AY35" s="6181"/>
      <c r="AZ35" s="6181"/>
      <c r="BA35" s="6181"/>
      <c r="BB35" s="6181"/>
      <c r="BC35" s="6182"/>
      <c r="BD35" s="530"/>
      <c r="BE35" s="524"/>
      <c r="BF35" s="524"/>
      <c r="BG35" s="1060"/>
      <c r="BH35" s="6183" t="s">
        <v>1638</v>
      </c>
      <c r="BI35" s="6184"/>
      <c r="BJ35" s="542">
        <f>IF(BH33=0,"",VLOOKUP(BH33,'Tablas Magia'!$D$6:$Z$680,7,FALSE))</f>
        <v>7</v>
      </c>
      <c r="BK35" s="542">
        <f>IF(BH33=0,"",VLOOKUP(BH33,'Tablas Magia'!$D$6:$Z$680,11,FALSE))</f>
        <v>140</v>
      </c>
      <c r="BL35" s="543">
        <f>IF(BH33=0,"",VLOOKUP(BH33,'Tablas Magia'!$D$6:$Z$680,15,FALSE))</f>
        <v>10</v>
      </c>
      <c r="BM35" s="6180" t="str">
        <f>IF(BH33=0,"",VLOOKUP(BH33,'Tablas Magia'!$D$6:$Z$680,19,FALSE))</f>
        <v>10 metros cúbicos.</v>
      </c>
      <c r="BN35" s="6181"/>
      <c r="BO35" s="6181"/>
      <c r="BP35" s="6181"/>
      <c r="BQ35" s="6181"/>
      <c r="BR35" s="6181"/>
      <c r="BS35" s="6181"/>
      <c r="BT35" s="6181"/>
      <c r="BU35" s="6181"/>
      <c r="BV35" s="6182"/>
      <c r="BW35" s="530"/>
      <c r="BX35" s="524"/>
      <c r="BY35" s="524"/>
      <c r="BZ35" s="1060"/>
      <c r="CA35" s="6183" t="s">
        <v>1638</v>
      </c>
      <c r="CB35" s="6184"/>
      <c r="CC35" s="542">
        <f>IF(CA33=0,"",VLOOKUP(CA33,'Tablas Magia'!$D$6:$Z$680,7,FALSE))</f>
        <v>9</v>
      </c>
      <c r="CD35" s="542">
        <f>IF(CA33=0,"",VLOOKUP(CA33,'Tablas Magia'!$D$6:$Z$680,11,FALSE))</f>
        <v>250</v>
      </c>
      <c r="CE35" s="543">
        <f>IF(CA33=0,"",VLOOKUP(CA33,'Tablas Magia'!$D$6:$Z$680,15,FALSE))</f>
        <v>50</v>
      </c>
      <c r="CF35" s="6180" t="str">
        <f>IF(CA33=0,"",VLOOKUP(CA33,'Tablas Magia'!$D$6:$Z$680,19,FALSE))</f>
        <v>Valor zeónico máximo 150.</v>
      </c>
      <c r="CG35" s="6181"/>
      <c r="CH35" s="6181"/>
      <c r="CI35" s="6181"/>
      <c r="CJ35" s="6181"/>
      <c r="CK35" s="6181"/>
      <c r="CL35" s="6181"/>
      <c r="CM35" s="6181"/>
      <c r="CN35" s="6181"/>
      <c r="CO35" s="6182"/>
      <c r="CP35" s="530"/>
      <c r="CQ35" s="524"/>
    </row>
    <row r="36" spans="1:95" ht="12" customHeight="1" x14ac:dyDescent="0.2">
      <c r="A36" s="524"/>
      <c r="B36" s="1060"/>
      <c r="C36" s="6137" t="s">
        <v>3777</v>
      </c>
      <c r="D36" s="6138"/>
      <c r="E36" s="544">
        <f>IF(C33=0,"",VLOOKUP(C33,'Tablas Magia'!$D$6:$Z$680,8,FALSE))</f>
        <v>7</v>
      </c>
      <c r="F36" s="544">
        <f>IF(C33=0,"",VLOOKUP(C33,'Tablas Magia'!$D$6:$Z$680,12,FALSE))</f>
        <v>50</v>
      </c>
      <c r="G36" s="545">
        <f>IF(C33=0,"",VLOOKUP(C33,'Tablas Magia'!$D$6:$Z$680,16,FALSE))</f>
        <v>5</v>
      </c>
      <c r="H36" s="6139" t="str">
        <f>IF(C33=0,"",VLOOKUP(C33,'Tablas Magia'!$D$6:$Z$680,20,FALSE))</f>
        <v>3 Intensidades.</v>
      </c>
      <c r="I36" s="6140"/>
      <c r="J36" s="6140"/>
      <c r="K36" s="6140"/>
      <c r="L36" s="6140"/>
      <c r="M36" s="6140"/>
      <c r="N36" s="6140"/>
      <c r="O36" s="6140"/>
      <c r="P36" s="6140"/>
      <c r="Q36" s="6141"/>
      <c r="R36" s="530"/>
      <c r="S36" s="524"/>
      <c r="T36" s="524"/>
      <c r="U36" s="1060"/>
      <c r="V36" s="6137" t="s">
        <v>3777</v>
      </c>
      <c r="W36" s="6138"/>
      <c r="X36" s="544">
        <f>IF(V33=0,"",VLOOKUP(V33,'Tablas Magia'!$D$6:$Z$680,8,FALSE))</f>
        <v>9</v>
      </c>
      <c r="Y36" s="544">
        <f>IF(V33=0,"",VLOOKUP(V33,'Tablas Magia'!$D$6:$Z$680,12,FALSE))</f>
        <v>90</v>
      </c>
      <c r="Z36" s="545">
        <f>IF(V33=0,"",VLOOKUP(V33,'Tablas Magia'!$D$6:$Z$680,16,FALSE))</f>
        <v>5</v>
      </c>
      <c r="AA36" s="6139" t="str">
        <f>IF(V33=0,"",VLOOKUP(V33,'Tablas Magia'!$D$6:$Z$680,20,FALSE))</f>
        <v>Como en grado base, pero el afectado deja de sentir también dolor.</v>
      </c>
      <c r="AB36" s="6140"/>
      <c r="AC36" s="6140"/>
      <c r="AD36" s="6140"/>
      <c r="AE36" s="6140"/>
      <c r="AF36" s="6140"/>
      <c r="AG36" s="6140"/>
      <c r="AH36" s="6140"/>
      <c r="AI36" s="6140"/>
      <c r="AJ36" s="6141"/>
      <c r="AK36" s="530"/>
      <c r="AL36" s="524"/>
      <c r="AM36" s="588"/>
      <c r="AN36" s="1060"/>
      <c r="AO36" s="6137" t="s">
        <v>3777</v>
      </c>
      <c r="AP36" s="6138"/>
      <c r="AQ36" s="544">
        <f>IF(AO33=0,"",VLOOKUP(AO33,'Tablas Magia'!$D$6:$Z$680,8,FALSE))</f>
        <v>10</v>
      </c>
      <c r="AR36" s="544">
        <f>IF(AO33=0,"",VLOOKUP(AO33,'Tablas Magia'!$D$6:$Z$680,12,FALSE))</f>
        <v>120</v>
      </c>
      <c r="AS36" s="545">
        <f>IF(AO33=0,"",VLOOKUP(AO33,'Tablas Magia'!$D$6:$Z$680,16,FALSE))</f>
        <v>10</v>
      </c>
      <c r="AT36" s="6139" t="str">
        <f>IF(AO33=0,"",VLOOKUP(AO33,'Tablas Magia'!$D$6:$Z$680,20,FALSE))</f>
        <v>RM o RF 160.</v>
      </c>
      <c r="AU36" s="6140"/>
      <c r="AV36" s="6140"/>
      <c r="AW36" s="6140"/>
      <c r="AX36" s="6140"/>
      <c r="AY36" s="6140"/>
      <c r="AZ36" s="6140"/>
      <c r="BA36" s="6140"/>
      <c r="BB36" s="6140"/>
      <c r="BC36" s="6141"/>
      <c r="BD36" s="530"/>
      <c r="BE36" s="524"/>
      <c r="BF36" s="524"/>
      <c r="BG36" s="1060"/>
      <c r="BH36" s="6137" t="s">
        <v>3777</v>
      </c>
      <c r="BI36" s="6138"/>
      <c r="BJ36" s="544">
        <f>IF(BH33=0,"",VLOOKUP(BH33,'Tablas Magia'!$D$6:$Z$680,8,FALSE))</f>
        <v>10</v>
      </c>
      <c r="BK36" s="544">
        <f>IF(BH33=0,"",VLOOKUP(BH33,'Tablas Magia'!$D$6:$Z$680,12,FALSE))</f>
        <v>200</v>
      </c>
      <c r="BL36" s="545">
        <f>IF(BH33=0,"",VLOOKUP(BH33,'Tablas Magia'!$D$6:$Z$680,16,FALSE))</f>
        <v>10</v>
      </c>
      <c r="BM36" s="6139" t="str">
        <f>IF(BH33=0,"",VLOOKUP(BH33,'Tablas Magia'!$D$6:$Z$680,20,FALSE))</f>
        <v>50 metros cúbicos.</v>
      </c>
      <c r="BN36" s="6140"/>
      <c r="BO36" s="6140"/>
      <c r="BP36" s="6140"/>
      <c r="BQ36" s="6140"/>
      <c r="BR36" s="6140"/>
      <c r="BS36" s="6140"/>
      <c r="BT36" s="6140"/>
      <c r="BU36" s="6140"/>
      <c r="BV36" s="6141"/>
      <c r="BW36" s="530"/>
      <c r="BX36" s="524"/>
      <c r="BY36" s="524"/>
      <c r="BZ36" s="1060"/>
      <c r="CA36" s="6137" t="s">
        <v>3777</v>
      </c>
      <c r="CB36" s="6138"/>
      <c r="CC36" s="544">
        <f>IF(CA33=0,"",VLOOKUP(CA33,'Tablas Magia'!$D$6:$Z$680,8,FALSE))</f>
        <v>12</v>
      </c>
      <c r="CD36" s="544">
        <f>IF(CA33=0,"",VLOOKUP(CA33,'Tablas Magia'!$D$6:$Z$680,12,FALSE))</f>
        <v>400</v>
      </c>
      <c r="CE36" s="545">
        <f>IF(CA33=0,"",VLOOKUP(CA33,'Tablas Magia'!$D$6:$Z$680,16,FALSE))</f>
        <v>75</v>
      </c>
      <c r="CF36" s="6139" t="str">
        <f>IF(CA33=0,"",VLOOKUP(CA33,'Tablas Magia'!$D$6:$Z$680,20,FALSE))</f>
        <v>Valor zeónico máximo 250.</v>
      </c>
      <c r="CG36" s="6140"/>
      <c r="CH36" s="6140"/>
      <c r="CI36" s="6140"/>
      <c r="CJ36" s="6140"/>
      <c r="CK36" s="6140"/>
      <c r="CL36" s="6140"/>
      <c r="CM36" s="6140"/>
      <c r="CN36" s="6140"/>
      <c r="CO36" s="6141"/>
      <c r="CP36" s="530"/>
      <c r="CQ36" s="524"/>
    </row>
    <row r="37" spans="1:95" ht="12" customHeight="1" x14ac:dyDescent="0.2">
      <c r="A37" s="524"/>
      <c r="B37" s="1060"/>
      <c r="C37" s="6132" t="s">
        <v>3778</v>
      </c>
      <c r="D37" s="6133"/>
      <c r="E37" s="542">
        <f>IF(C33=0,"",VLOOKUP(C33,'Tablas Magia'!$D$6:$Z$680,9,FALSE))</f>
        <v>10</v>
      </c>
      <c r="F37" s="542">
        <f>IF(C33=0,"",VLOOKUP(C33,'Tablas Magia'!$D$6:$Z$680,13,FALSE))</f>
        <v>90</v>
      </c>
      <c r="G37" s="543">
        <f>IF(C33=0,"",VLOOKUP(C33,'Tablas Magia'!$D$6:$Z$680,17,FALSE))</f>
        <v>10</v>
      </c>
      <c r="H37" s="6134" t="str">
        <f>IF(C33=0,"",VLOOKUP(C33,'Tablas Magia'!$D$6:$Z$680,21,FALSE))</f>
        <v>5 Intensidades.</v>
      </c>
      <c r="I37" s="6135"/>
      <c r="J37" s="6135"/>
      <c r="K37" s="6135"/>
      <c r="L37" s="6135"/>
      <c r="M37" s="6135"/>
      <c r="N37" s="6135"/>
      <c r="O37" s="6135"/>
      <c r="P37" s="6135"/>
      <c r="Q37" s="6136"/>
      <c r="R37" s="530"/>
      <c r="S37" s="524"/>
      <c r="T37" s="524"/>
      <c r="U37" s="1060"/>
      <c r="V37" s="6132" t="s">
        <v>3778</v>
      </c>
      <c r="W37" s="6133"/>
      <c r="X37" s="542">
        <f>IF(V33=0,"",VLOOKUP(V33,'Tablas Magia'!$D$6:$Z$680,9,FALSE))</f>
        <v>12</v>
      </c>
      <c r="Y37" s="542">
        <f>IF(V33=0,"",VLOOKUP(V33,'Tablas Magia'!$D$6:$Z$680,13,FALSE))</f>
        <v>120</v>
      </c>
      <c r="Z37" s="543">
        <f>IF(V33=0,"",VLOOKUP(V33,'Tablas Magia'!$D$6:$Z$680,17,FALSE))</f>
        <v>10</v>
      </c>
      <c r="AA37" s="6134" t="str">
        <f>IF(V33=0,"",VLOOKUP(V33,'Tablas Magia'!$D$6:$Z$680,21,FALSE))</f>
        <v>Idem arriba, pero también afecta a todos los estados sobrenaturales.</v>
      </c>
      <c r="AB37" s="6135"/>
      <c r="AC37" s="6135"/>
      <c r="AD37" s="6135"/>
      <c r="AE37" s="6135"/>
      <c r="AF37" s="6135"/>
      <c r="AG37" s="6135"/>
      <c r="AH37" s="6135"/>
      <c r="AI37" s="6135"/>
      <c r="AJ37" s="6136"/>
      <c r="AK37" s="530"/>
      <c r="AL37" s="524"/>
      <c r="AM37" s="588"/>
      <c r="AN37" s="1060"/>
      <c r="AO37" s="6132" t="s">
        <v>3778</v>
      </c>
      <c r="AP37" s="6133"/>
      <c r="AQ37" s="542">
        <f>IF(AO33=0,"",VLOOKUP(AO33,'Tablas Magia'!$D$6:$Z$680,9,FALSE))</f>
        <v>12</v>
      </c>
      <c r="AR37" s="542">
        <f>IF(AO33=0,"",VLOOKUP(AO33,'Tablas Magia'!$D$6:$Z$680,13,FALSE))</f>
        <v>150</v>
      </c>
      <c r="AS37" s="543">
        <f>IF(AO33=0,"",VLOOKUP(AO33,'Tablas Magia'!$D$6:$Z$680,17,FALSE))</f>
        <v>15</v>
      </c>
      <c r="AT37" s="6134" t="str">
        <f>IF(AO33=0,"",VLOOKUP(AO33,'Tablas Magia'!$D$6:$Z$680,21,FALSE))</f>
        <v>RM o RF 180.</v>
      </c>
      <c r="AU37" s="6135"/>
      <c r="AV37" s="6135"/>
      <c r="AW37" s="6135"/>
      <c r="AX37" s="6135"/>
      <c r="AY37" s="6135"/>
      <c r="AZ37" s="6135"/>
      <c r="BA37" s="6135"/>
      <c r="BB37" s="6135"/>
      <c r="BC37" s="6136"/>
      <c r="BD37" s="530"/>
      <c r="BE37" s="524"/>
      <c r="BF37" s="524"/>
      <c r="BG37" s="1060"/>
      <c r="BH37" s="6132" t="s">
        <v>3778</v>
      </c>
      <c r="BI37" s="6133"/>
      <c r="BJ37" s="542">
        <f>IF(BH33=0,"",VLOOKUP(BH33,'Tablas Magia'!$D$6:$Z$680,9,FALSE))</f>
        <v>13</v>
      </c>
      <c r="BK37" s="542">
        <f>IF(BH33=0,"",VLOOKUP(BH33,'Tablas Magia'!$D$6:$Z$680,13,FALSE))</f>
        <v>280</v>
      </c>
      <c r="BL37" s="543">
        <f>IF(BH33=0,"",VLOOKUP(BH33,'Tablas Magia'!$D$6:$Z$680,17,FALSE))</f>
        <v>15</v>
      </c>
      <c r="BM37" s="6134" t="str">
        <f>IF(BH33=0,"",VLOOKUP(BH33,'Tablas Magia'!$D$6:$Z$680,21,FALSE))</f>
        <v>100 metros cúbicos.</v>
      </c>
      <c r="BN37" s="6135"/>
      <c r="BO37" s="6135"/>
      <c r="BP37" s="6135"/>
      <c r="BQ37" s="6135"/>
      <c r="BR37" s="6135"/>
      <c r="BS37" s="6135"/>
      <c r="BT37" s="6135"/>
      <c r="BU37" s="6135"/>
      <c r="BV37" s="6136"/>
      <c r="BW37" s="530"/>
      <c r="BX37" s="524"/>
      <c r="BY37" s="524"/>
      <c r="BZ37" s="1060"/>
      <c r="CA37" s="6132" t="s">
        <v>3778</v>
      </c>
      <c r="CB37" s="6133"/>
      <c r="CC37" s="542">
        <f>IF(CA33=0,"",VLOOKUP(CA33,'Tablas Magia'!$D$6:$Z$680,9,FALSE))</f>
        <v>15</v>
      </c>
      <c r="CD37" s="542">
        <f>IF(CA33=0,"",VLOOKUP(CA33,'Tablas Magia'!$D$6:$Z$680,13,FALSE))</f>
        <v>550</v>
      </c>
      <c r="CE37" s="543">
        <f>IF(CA33=0,"",VLOOKUP(CA33,'Tablas Magia'!$D$6:$Z$680,17,FALSE))</f>
        <v>90</v>
      </c>
      <c r="CF37" s="6134" t="str">
        <f>IF(CA33=0,"",VLOOKUP(CA33,'Tablas Magia'!$D$6:$Z$680,21,FALSE))</f>
        <v>Valor zeónico máximo 300.</v>
      </c>
      <c r="CG37" s="6135"/>
      <c r="CH37" s="6135"/>
      <c r="CI37" s="6135"/>
      <c r="CJ37" s="6135"/>
      <c r="CK37" s="6135"/>
      <c r="CL37" s="6135"/>
      <c r="CM37" s="6135"/>
      <c r="CN37" s="6135"/>
      <c r="CO37" s="6136"/>
      <c r="CP37" s="530"/>
      <c r="CQ37" s="524"/>
    </row>
    <row r="38" spans="1:95" ht="12" customHeight="1" thickBot="1" x14ac:dyDescent="0.25">
      <c r="A38" s="524"/>
      <c r="B38" s="1060"/>
      <c r="C38" s="6142" t="s">
        <v>3779</v>
      </c>
      <c r="D38" s="6143"/>
      <c r="E38" s="546">
        <f>IF(C33=0,"",VLOOKUP(C33,'Tablas Magia'!$D$6:$Z$680,10,FALSE))</f>
        <v>12</v>
      </c>
      <c r="F38" s="546">
        <f>IF(C33=0,"",VLOOKUP(C33,'Tablas Magia'!$D$6:$Z$680,14,FALSE))</f>
        <v>140</v>
      </c>
      <c r="G38" s="547">
        <f>IF(C33=0,"",VLOOKUP(C33,'Tablas Magia'!$D$6:$Z$680,18,FALSE))</f>
        <v>15</v>
      </c>
      <c r="H38" s="6144" t="str">
        <f>IF(C33=0,"",VLOOKUP(C33,'Tablas Magia'!$D$6:$Z$680,22,FALSE))</f>
        <v>8 Intensidades.</v>
      </c>
      <c r="I38" s="6145"/>
      <c r="J38" s="6145"/>
      <c r="K38" s="6145"/>
      <c r="L38" s="6145"/>
      <c r="M38" s="6145"/>
      <c r="N38" s="6145"/>
      <c r="O38" s="6145"/>
      <c r="P38" s="6145"/>
      <c r="Q38" s="6146"/>
      <c r="R38" s="530"/>
      <c r="S38" s="524"/>
      <c r="T38" s="524"/>
      <c r="U38" s="1060"/>
      <c r="V38" s="6142" t="s">
        <v>3779</v>
      </c>
      <c r="W38" s="6143"/>
      <c r="X38" s="546">
        <f>IF(V33=0,"",VLOOKUP(V33,'Tablas Magia'!$D$6:$Z$680,10,FALSE))</f>
        <v>15</v>
      </c>
      <c r="Y38" s="546">
        <f>IF(V33=0,"",VLOOKUP(V33,'Tablas Magia'!$D$6:$Z$680,14,FALSE))</f>
        <v>150</v>
      </c>
      <c r="Z38" s="547">
        <f>IF(V33=0,"",VLOOKUP(V33,'Tablas Magia'!$D$6:$Z$680,18,FALSE))</f>
        <v>10</v>
      </c>
      <c r="AA38" s="6144" t="str">
        <f>IF(V33=0,"",VLOOKUP(V33,'Tablas Magia'!$D$6:$Z$680,22,FALSE))</f>
        <v>Idema arriba, pero el mago puede elegir que sentimientos congelar y cuales no.</v>
      </c>
      <c r="AB38" s="6145"/>
      <c r="AC38" s="6145"/>
      <c r="AD38" s="6145"/>
      <c r="AE38" s="6145"/>
      <c r="AF38" s="6145"/>
      <c r="AG38" s="6145"/>
      <c r="AH38" s="6145"/>
      <c r="AI38" s="6145"/>
      <c r="AJ38" s="6146"/>
      <c r="AK38" s="530"/>
      <c r="AL38" s="524"/>
      <c r="AM38" s="588"/>
      <c r="AN38" s="1060"/>
      <c r="AO38" s="6142" t="s">
        <v>3779</v>
      </c>
      <c r="AP38" s="6143"/>
      <c r="AQ38" s="546">
        <f>IF(AO33=0,"",VLOOKUP(AO33,'Tablas Magia'!$D$6:$Z$680,10,FALSE))</f>
        <v>14</v>
      </c>
      <c r="AR38" s="546">
        <f>IF(AO33=0,"",VLOOKUP(AO33,'Tablas Magia'!$D$6:$Z$680,14,FALSE))</f>
        <v>200</v>
      </c>
      <c r="AS38" s="547">
        <f>IF(AO33=0,"",VLOOKUP(AO33,'Tablas Magia'!$D$6:$Z$680,18,FALSE))</f>
        <v>20</v>
      </c>
      <c r="AT38" s="6144" t="str">
        <f>IF(AO33=0,"",VLOOKUP(AO33,'Tablas Magia'!$D$6:$Z$680,22,FALSE))</f>
        <v>RM o RF 200.</v>
      </c>
      <c r="AU38" s="6145"/>
      <c r="AV38" s="6145"/>
      <c r="AW38" s="6145"/>
      <c r="AX38" s="6145"/>
      <c r="AY38" s="6145"/>
      <c r="AZ38" s="6145"/>
      <c r="BA38" s="6145"/>
      <c r="BB38" s="6145"/>
      <c r="BC38" s="6146"/>
      <c r="BD38" s="530"/>
      <c r="BE38" s="524"/>
      <c r="BF38" s="524"/>
      <c r="BG38" s="1060"/>
      <c r="BH38" s="6142" t="s">
        <v>3779</v>
      </c>
      <c r="BI38" s="6143"/>
      <c r="BJ38" s="546">
        <f>IF(BH33=0,"",VLOOKUP(BH33,'Tablas Magia'!$D$6:$Z$680,10,FALSE))</f>
        <v>16</v>
      </c>
      <c r="BK38" s="546">
        <f>IF(BH33=0,"",VLOOKUP(BH33,'Tablas Magia'!$D$6:$Z$680,14,FALSE))</f>
        <v>350</v>
      </c>
      <c r="BL38" s="547">
        <f>IF(BH33=0,"",VLOOKUP(BH33,'Tablas Magia'!$D$6:$Z$680,18,FALSE))</f>
        <v>20</v>
      </c>
      <c r="BM38" s="6144" t="str">
        <f>IF(BH33=0,"",VLOOKUP(BH33,'Tablas Magia'!$D$6:$Z$680,22,FALSE))</f>
        <v>150 metros cúbicos / El control es contra Fuerza 15.</v>
      </c>
      <c r="BN38" s="6145"/>
      <c r="BO38" s="6145"/>
      <c r="BP38" s="6145"/>
      <c r="BQ38" s="6145"/>
      <c r="BR38" s="6145"/>
      <c r="BS38" s="6145"/>
      <c r="BT38" s="6145"/>
      <c r="BU38" s="6145"/>
      <c r="BV38" s="6146"/>
      <c r="BW38" s="530"/>
      <c r="BX38" s="524"/>
      <c r="BY38" s="524"/>
      <c r="BZ38" s="1060"/>
      <c r="CA38" s="6142" t="s">
        <v>3779</v>
      </c>
      <c r="CB38" s="6143"/>
      <c r="CC38" s="546">
        <f>IF(CA33=0,"",VLOOKUP(CA33,'Tablas Magia'!$D$6:$Z$680,10,FALSE))</f>
        <v>18</v>
      </c>
      <c r="CD38" s="546">
        <f>IF(CA33=0,"",VLOOKUP(CA33,'Tablas Magia'!$D$6:$Z$680,14,FALSE))</f>
        <v>800</v>
      </c>
      <c r="CE38" s="547">
        <f>IF(CA33=0,"",VLOOKUP(CA33,'Tablas Magia'!$D$6:$Z$680,18,FALSE))</f>
        <v>100</v>
      </c>
      <c r="CF38" s="6144" t="str">
        <f>IF(CA33=0,"",VLOOKUP(CA33,'Tablas Magia'!$D$6:$Z$680,22,FALSE))</f>
        <v>Valor zeónico máximo 400.</v>
      </c>
      <c r="CG38" s="6145"/>
      <c r="CH38" s="6145"/>
      <c r="CI38" s="6145"/>
      <c r="CJ38" s="6145"/>
      <c r="CK38" s="6145"/>
      <c r="CL38" s="6145"/>
      <c r="CM38" s="6145"/>
      <c r="CN38" s="6145"/>
      <c r="CO38" s="6146"/>
      <c r="CP38" s="530"/>
      <c r="CQ38" s="524"/>
    </row>
    <row r="39" spans="1:95" ht="12" customHeight="1" x14ac:dyDescent="0.2">
      <c r="A39" s="524"/>
      <c r="B39" s="1060"/>
      <c r="C39" s="6147" t="str">
        <f>IF(C33=0,"",VLOOKUP(C33,'Tablas Magia'!$D$6:$Z$680,23,FALSE))</f>
        <v>Crea intensidades de frío o hielo. Mientras se mantenga el conjuro, la temperatura se conservará.</v>
      </c>
      <c r="D39" s="6148"/>
      <c r="E39" s="6148"/>
      <c r="F39" s="6148"/>
      <c r="G39" s="6148"/>
      <c r="H39" s="6148"/>
      <c r="I39" s="6148"/>
      <c r="J39" s="6148"/>
      <c r="K39" s="6148"/>
      <c r="L39" s="6148"/>
      <c r="M39" s="6148"/>
      <c r="N39" s="6148"/>
      <c r="O39" s="6148"/>
      <c r="P39" s="6148"/>
      <c r="Q39" s="6149"/>
      <c r="R39" s="530"/>
      <c r="S39" s="524"/>
      <c r="T39" s="524"/>
      <c r="U39" s="1060"/>
      <c r="V39" s="6147" t="str">
        <f>IF(V33=0,"",VLOOKUP(V33,'Tablas Magia'!$D$6:$Z$680,23,FALSE))</f>
        <v>Este hechizo hiela los sentimientos de una persona, otorgándole inmunidad psicológica contra todos los estados emocionales.</v>
      </c>
      <c r="W39" s="6148"/>
      <c r="X39" s="6148"/>
      <c r="Y39" s="6148"/>
      <c r="Z39" s="6148"/>
      <c r="AA39" s="6148"/>
      <c r="AB39" s="6148"/>
      <c r="AC39" s="6148"/>
      <c r="AD39" s="6148"/>
      <c r="AE39" s="6148"/>
      <c r="AF39" s="6148"/>
      <c r="AG39" s="6148"/>
      <c r="AH39" s="6148"/>
      <c r="AI39" s="6148"/>
      <c r="AJ39" s="6149"/>
      <c r="AK39" s="530"/>
      <c r="AL39" s="524"/>
      <c r="AM39" s="588"/>
      <c r="AN39" s="1060"/>
      <c r="AO39" s="6147"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48"/>
      <c r="AQ39" s="6148"/>
      <c r="AR39" s="6148"/>
      <c r="AS39" s="6148"/>
      <c r="AT39" s="6148"/>
      <c r="AU39" s="6148"/>
      <c r="AV39" s="6148"/>
      <c r="AW39" s="6148"/>
      <c r="AX39" s="6148"/>
      <c r="AY39" s="6148"/>
      <c r="AZ39" s="6148"/>
      <c r="BA39" s="6148"/>
      <c r="BB39" s="6148"/>
      <c r="BC39" s="6149"/>
      <c r="BD39" s="530"/>
      <c r="BE39" s="524"/>
      <c r="BF39" s="524"/>
      <c r="BG39" s="1060"/>
      <c r="BH39" s="6147"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48"/>
      <c r="BJ39" s="6148"/>
      <c r="BK39" s="6148"/>
      <c r="BL39" s="6148"/>
      <c r="BM39" s="6148"/>
      <c r="BN39" s="6148"/>
      <c r="BO39" s="6148"/>
      <c r="BP39" s="6148"/>
      <c r="BQ39" s="6148"/>
      <c r="BR39" s="6148"/>
      <c r="BS39" s="6148"/>
      <c r="BT39" s="6148"/>
      <c r="BU39" s="6148"/>
      <c r="BV39" s="6149"/>
      <c r="BW39" s="530"/>
      <c r="BX39" s="524"/>
      <c r="BY39" s="524"/>
      <c r="BZ39" s="1060"/>
      <c r="CA39" s="6147"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48"/>
      <c r="CC39" s="6148"/>
      <c r="CD39" s="6148"/>
      <c r="CE39" s="6148"/>
      <c r="CF39" s="6148"/>
      <c r="CG39" s="6148"/>
      <c r="CH39" s="6148"/>
      <c r="CI39" s="6148"/>
      <c r="CJ39" s="6148"/>
      <c r="CK39" s="6148"/>
      <c r="CL39" s="6148"/>
      <c r="CM39" s="6148"/>
      <c r="CN39" s="6148"/>
      <c r="CO39" s="6149"/>
      <c r="CP39" s="530"/>
      <c r="CQ39" s="524"/>
    </row>
    <row r="40" spans="1:95" ht="12" customHeight="1" x14ac:dyDescent="0.2">
      <c r="A40" s="524"/>
      <c r="B40" s="1060"/>
      <c r="C40" s="6150"/>
      <c r="D40" s="6151"/>
      <c r="E40" s="6151"/>
      <c r="F40" s="6151"/>
      <c r="G40" s="6151"/>
      <c r="H40" s="6151"/>
      <c r="I40" s="6151"/>
      <c r="J40" s="6151"/>
      <c r="K40" s="6151"/>
      <c r="L40" s="6151"/>
      <c r="M40" s="6151"/>
      <c r="N40" s="6151"/>
      <c r="O40" s="6151"/>
      <c r="P40" s="6151"/>
      <c r="Q40" s="6152"/>
      <c r="R40" s="530"/>
      <c r="S40" s="524"/>
      <c r="T40" s="524"/>
      <c r="U40" s="1060"/>
      <c r="V40" s="6150"/>
      <c r="W40" s="6151"/>
      <c r="X40" s="6151"/>
      <c r="Y40" s="6151"/>
      <c r="Z40" s="6151"/>
      <c r="AA40" s="6151"/>
      <c r="AB40" s="6151"/>
      <c r="AC40" s="6151"/>
      <c r="AD40" s="6151"/>
      <c r="AE40" s="6151"/>
      <c r="AF40" s="6151"/>
      <c r="AG40" s="6151"/>
      <c r="AH40" s="6151"/>
      <c r="AI40" s="6151"/>
      <c r="AJ40" s="6152"/>
      <c r="AK40" s="530"/>
      <c r="AL40" s="524"/>
      <c r="AM40" s="588"/>
      <c r="AN40" s="1060"/>
      <c r="AO40" s="6150"/>
      <c r="AP40" s="6151"/>
      <c r="AQ40" s="6151"/>
      <c r="AR40" s="6151"/>
      <c r="AS40" s="6151"/>
      <c r="AT40" s="6151"/>
      <c r="AU40" s="6151"/>
      <c r="AV40" s="6151"/>
      <c r="AW40" s="6151"/>
      <c r="AX40" s="6151"/>
      <c r="AY40" s="6151"/>
      <c r="AZ40" s="6151"/>
      <c r="BA40" s="6151"/>
      <c r="BB40" s="6151"/>
      <c r="BC40" s="6152"/>
      <c r="BD40" s="530"/>
      <c r="BE40" s="524"/>
      <c r="BF40" s="524"/>
      <c r="BG40" s="1060"/>
      <c r="BH40" s="6150"/>
      <c r="BI40" s="6151"/>
      <c r="BJ40" s="6151"/>
      <c r="BK40" s="6151"/>
      <c r="BL40" s="6151"/>
      <c r="BM40" s="6151"/>
      <c r="BN40" s="6151"/>
      <c r="BO40" s="6151"/>
      <c r="BP40" s="6151"/>
      <c r="BQ40" s="6151"/>
      <c r="BR40" s="6151"/>
      <c r="BS40" s="6151"/>
      <c r="BT40" s="6151"/>
      <c r="BU40" s="6151"/>
      <c r="BV40" s="6152"/>
      <c r="BW40" s="530"/>
      <c r="BX40" s="524"/>
      <c r="BY40" s="524"/>
      <c r="BZ40" s="1060"/>
      <c r="CA40" s="6150"/>
      <c r="CB40" s="6151"/>
      <c r="CC40" s="6151"/>
      <c r="CD40" s="6151"/>
      <c r="CE40" s="6151"/>
      <c r="CF40" s="6151"/>
      <c r="CG40" s="6151"/>
      <c r="CH40" s="6151"/>
      <c r="CI40" s="6151"/>
      <c r="CJ40" s="6151"/>
      <c r="CK40" s="6151"/>
      <c r="CL40" s="6151"/>
      <c r="CM40" s="6151"/>
      <c r="CN40" s="6151"/>
      <c r="CO40" s="6152"/>
      <c r="CP40" s="530"/>
      <c r="CQ40" s="524"/>
    </row>
    <row r="41" spans="1:95" ht="12" customHeight="1" x14ac:dyDescent="0.2">
      <c r="A41" s="524"/>
      <c r="B41" s="1060"/>
      <c r="C41" s="6150"/>
      <c r="D41" s="6151"/>
      <c r="E41" s="6151"/>
      <c r="F41" s="6151"/>
      <c r="G41" s="6151"/>
      <c r="H41" s="6151"/>
      <c r="I41" s="6151"/>
      <c r="J41" s="6151"/>
      <c r="K41" s="6151"/>
      <c r="L41" s="6151"/>
      <c r="M41" s="6151"/>
      <c r="N41" s="6151"/>
      <c r="O41" s="6151"/>
      <c r="P41" s="6151"/>
      <c r="Q41" s="6152"/>
      <c r="R41" s="530"/>
      <c r="S41" s="524"/>
      <c r="T41" s="524"/>
      <c r="U41" s="1060"/>
      <c r="V41" s="6150"/>
      <c r="W41" s="6151"/>
      <c r="X41" s="6151"/>
      <c r="Y41" s="6151"/>
      <c r="Z41" s="6151"/>
      <c r="AA41" s="6151"/>
      <c r="AB41" s="6151"/>
      <c r="AC41" s="6151"/>
      <c r="AD41" s="6151"/>
      <c r="AE41" s="6151"/>
      <c r="AF41" s="6151"/>
      <c r="AG41" s="6151"/>
      <c r="AH41" s="6151"/>
      <c r="AI41" s="6151"/>
      <c r="AJ41" s="6152"/>
      <c r="AK41" s="530"/>
      <c r="AL41" s="524"/>
      <c r="AM41" s="588"/>
      <c r="AN41" s="1060"/>
      <c r="AO41" s="6150"/>
      <c r="AP41" s="6151"/>
      <c r="AQ41" s="6151"/>
      <c r="AR41" s="6151"/>
      <c r="AS41" s="6151"/>
      <c r="AT41" s="6151"/>
      <c r="AU41" s="6151"/>
      <c r="AV41" s="6151"/>
      <c r="AW41" s="6151"/>
      <c r="AX41" s="6151"/>
      <c r="AY41" s="6151"/>
      <c r="AZ41" s="6151"/>
      <c r="BA41" s="6151"/>
      <c r="BB41" s="6151"/>
      <c r="BC41" s="6152"/>
      <c r="BD41" s="530"/>
      <c r="BE41" s="524"/>
      <c r="BF41" s="524"/>
      <c r="BG41" s="1060"/>
      <c r="BH41" s="6150"/>
      <c r="BI41" s="6151"/>
      <c r="BJ41" s="6151"/>
      <c r="BK41" s="6151"/>
      <c r="BL41" s="6151"/>
      <c r="BM41" s="6151"/>
      <c r="BN41" s="6151"/>
      <c r="BO41" s="6151"/>
      <c r="BP41" s="6151"/>
      <c r="BQ41" s="6151"/>
      <c r="BR41" s="6151"/>
      <c r="BS41" s="6151"/>
      <c r="BT41" s="6151"/>
      <c r="BU41" s="6151"/>
      <c r="BV41" s="6152"/>
      <c r="BW41" s="530"/>
      <c r="BX41" s="524"/>
      <c r="BY41" s="524"/>
      <c r="BZ41" s="1060"/>
      <c r="CA41" s="6150"/>
      <c r="CB41" s="6151"/>
      <c r="CC41" s="6151"/>
      <c r="CD41" s="6151"/>
      <c r="CE41" s="6151"/>
      <c r="CF41" s="6151"/>
      <c r="CG41" s="6151"/>
      <c r="CH41" s="6151"/>
      <c r="CI41" s="6151"/>
      <c r="CJ41" s="6151"/>
      <c r="CK41" s="6151"/>
      <c r="CL41" s="6151"/>
      <c r="CM41" s="6151"/>
      <c r="CN41" s="6151"/>
      <c r="CO41" s="6152"/>
      <c r="CP41" s="530"/>
      <c r="CQ41" s="524"/>
    </row>
    <row r="42" spans="1:95" ht="12" customHeight="1" thickBot="1" x14ac:dyDescent="0.25">
      <c r="A42" s="524"/>
      <c r="B42" s="1060"/>
      <c r="C42" s="6153"/>
      <c r="D42" s="6154"/>
      <c r="E42" s="6154"/>
      <c r="F42" s="6154"/>
      <c r="G42" s="6154"/>
      <c r="H42" s="6154"/>
      <c r="I42" s="6154"/>
      <c r="J42" s="6154"/>
      <c r="K42" s="6154"/>
      <c r="L42" s="6154"/>
      <c r="M42" s="6154"/>
      <c r="N42" s="6154"/>
      <c r="O42" s="6154"/>
      <c r="P42" s="6154"/>
      <c r="Q42" s="6155"/>
      <c r="R42" s="530"/>
      <c r="S42" s="524"/>
      <c r="T42" s="524"/>
      <c r="U42" s="1060"/>
      <c r="V42" s="6153"/>
      <c r="W42" s="6154"/>
      <c r="X42" s="6154"/>
      <c r="Y42" s="6154"/>
      <c r="Z42" s="6154"/>
      <c r="AA42" s="6154"/>
      <c r="AB42" s="6154"/>
      <c r="AC42" s="6154"/>
      <c r="AD42" s="6154"/>
      <c r="AE42" s="6154"/>
      <c r="AF42" s="6154"/>
      <c r="AG42" s="6154"/>
      <c r="AH42" s="6154"/>
      <c r="AI42" s="6154"/>
      <c r="AJ42" s="6155"/>
      <c r="AK42" s="530"/>
      <c r="AL42" s="524"/>
      <c r="AM42" s="588"/>
      <c r="AN42" s="1060"/>
      <c r="AO42" s="6153"/>
      <c r="AP42" s="6154"/>
      <c r="AQ42" s="6154"/>
      <c r="AR42" s="6154"/>
      <c r="AS42" s="6154"/>
      <c r="AT42" s="6154"/>
      <c r="AU42" s="6154"/>
      <c r="AV42" s="6154"/>
      <c r="AW42" s="6154"/>
      <c r="AX42" s="6154"/>
      <c r="AY42" s="6154"/>
      <c r="AZ42" s="6154"/>
      <c r="BA42" s="6154"/>
      <c r="BB42" s="6154"/>
      <c r="BC42" s="6155"/>
      <c r="BD42" s="530"/>
      <c r="BE42" s="524"/>
      <c r="BF42" s="524"/>
      <c r="BG42" s="1060"/>
      <c r="BH42" s="6153"/>
      <c r="BI42" s="6154"/>
      <c r="BJ42" s="6154"/>
      <c r="BK42" s="6154"/>
      <c r="BL42" s="6154"/>
      <c r="BM42" s="6154"/>
      <c r="BN42" s="6154"/>
      <c r="BO42" s="6154"/>
      <c r="BP42" s="6154"/>
      <c r="BQ42" s="6154"/>
      <c r="BR42" s="6154"/>
      <c r="BS42" s="6154"/>
      <c r="BT42" s="6154"/>
      <c r="BU42" s="6154"/>
      <c r="BV42" s="6155"/>
      <c r="BW42" s="530"/>
      <c r="BX42" s="524"/>
      <c r="BY42" s="524"/>
      <c r="BZ42" s="1060"/>
      <c r="CA42" s="6153"/>
      <c r="CB42" s="6154"/>
      <c r="CC42" s="6154"/>
      <c r="CD42" s="6154"/>
      <c r="CE42" s="6154"/>
      <c r="CF42" s="6154"/>
      <c r="CG42" s="6154"/>
      <c r="CH42" s="6154"/>
      <c r="CI42" s="6154"/>
      <c r="CJ42" s="6154"/>
      <c r="CK42" s="6154"/>
      <c r="CL42" s="6154"/>
      <c r="CM42" s="6154"/>
      <c r="CN42" s="6154"/>
      <c r="CO42" s="6155"/>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7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79"/>
      <c r="E44" s="6179"/>
      <c r="F44" s="6179"/>
      <c r="G44" s="6176"/>
      <c r="H44" s="537" t="s">
        <v>1597</v>
      </c>
      <c r="I44" s="538">
        <f>B44</f>
        <v>8</v>
      </c>
      <c r="J44" s="6173" t="s">
        <v>6888</v>
      </c>
      <c r="K44" s="6173"/>
      <c r="L44" s="6173"/>
      <c r="M44" s="6161" t="e">
        <f>IF(C44=0,"",VLOOKUP(C44,'Tablas Magia'!$D$6:$Z$680,2,FALSE))</f>
        <v>#N/A</v>
      </c>
      <c r="N44" s="6161"/>
      <c r="O44" s="2428"/>
      <c r="P44" s="6177" t="str">
        <f>IFERROR(IF(M44="Libre Acceso","Aprendido",IF(IFERROR(VLOOKUP(M44,Místicos!$C$15:$H$25,6,0)&gt;=I44,FALSE),"Aprendido",IF(IFERROR(VLOOKUP(M44,Místicos!$E$15:$H$25,4,0)&gt;=I44,FALSE),"Aprendido",""))),"")</f>
        <v/>
      </c>
      <c r="Q44" s="6178"/>
      <c r="R44" s="530"/>
      <c r="S44" s="524"/>
      <c r="T44" s="524"/>
      <c r="U44" s="1060">
        <f>U33+2</f>
        <v>28</v>
      </c>
      <c r="V44" s="617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79"/>
      <c r="X44" s="6179"/>
      <c r="Y44" s="6179"/>
      <c r="Z44" s="6176"/>
      <c r="AA44" s="537" t="s">
        <v>1597</v>
      </c>
      <c r="AB44" s="538">
        <f>U44</f>
        <v>28</v>
      </c>
      <c r="AC44" s="6173" t="s">
        <v>6888</v>
      </c>
      <c r="AD44" s="6173"/>
      <c r="AE44" s="6173"/>
      <c r="AF44" s="6161" t="e">
        <f>IF(V44=0,"",VLOOKUP(V44,'Tablas Magia'!$D$6:$Z$680,2,FALSE))</f>
        <v>#N/A</v>
      </c>
      <c r="AG44" s="6161"/>
      <c r="AH44" s="2428"/>
      <c r="AI44" s="6177" t="str">
        <f>IFERROR(IF(AF44="Libre Acceso","Aprendido",IF(IFERROR(VLOOKUP(AF44,Místicos!$C$15:$H$25,6,0)&gt;=AB44,FALSE),"Aprendido",IF(IFERROR(VLOOKUP(AF44,Místicos!$E$15:$H$25,4,0)&gt;=AB44,FALSE),"Aprendido",""))),"")</f>
        <v/>
      </c>
      <c r="AJ44" s="6178"/>
      <c r="AK44" s="530"/>
      <c r="AL44" s="524"/>
      <c r="AM44" s="588"/>
      <c r="AN44" s="1060">
        <f>AN33+2</f>
        <v>48</v>
      </c>
      <c r="AO44" s="617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79"/>
      <c r="AQ44" s="6179"/>
      <c r="AR44" s="6179"/>
      <c r="AS44" s="6176"/>
      <c r="AT44" s="537" t="s">
        <v>1597</v>
      </c>
      <c r="AU44" s="538">
        <f>AN44</f>
        <v>48</v>
      </c>
      <c r="AV44" s="6173" t="s">
        <v>6888</v>
      </c>
      <c r="AW44" s="6173"/>
      <c r="AX44" s="6173"/>
      <c r="AY44" s="6161" t="e">
        <f>IF(AO44=0,"",VLOOKUP(AO44,'Tablas Magia'!$D$6:$Z$680,2,FALSE))</f>
        <v>#N/A</v>
      </c>
      <c r="AZ44" s="6161"/>
      <c r="BA44" s="2428"/>
      <c r="BB44" s="6177" t="str">
        <f>IFERROR(IF(AY44="Libre Acceso","Aprendido",IF(IFERROR(VLOOKUP(AY44,Místicos!$C$15:$H$25,6,0)&gt;=AU44,FALSE),"Aprendido",IF(IFERROR(VLOOKUP(AY44,Místicos!$E$15:$H$25,4,0)&gt;=AU44,FALSE),"Aprendido",""))),"")</f>
        <v/>
      </c>
      <c r="BC44" s="6178"/>
      <c r="BD44" s="530"/>
      <c r="BE44" s="524"/>
      <c r="BF44" s="524"/>
      <c r="BG44" s="1060">
        <f>BG33+2</f>
        <v>68</v>
      </c>
      <c r="BH44" s="617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79"/>
      <c r="BJ44" s="6179"/>
      <c r="BK44" s="6179"/>
      <c r="BL44" s="6176"/>
      <c r="BM44" s="537" t="s">
        <v>1597</v>
      </c>
      <c r="BN44" s="538">
        <f>BG44</f>
        <v>68</v>
      </c>
      <c r="BO44" s="6173" t="s">
        <v>6888</v>
      </c>
      <c r="BP44" s="6173"/>
      <c r="BQ44" s="6173"/>
      <c r="BR44" s="6161" t="e">
        <f>IF(BH44=0,"",VLOOKUP(BH44,'Tablas Magia'!$D$6:$Z$680,2,FALSE))</f>
        <v>#N/A</v>
      </c>
      <c r="BS44" s="6161"/>
      <c r="BT44" s="2428"/>
      <c r="BU44" s="6177" t="str">
        <f>IFERROR(IF(BR44="Libre Acceso","Aprendido",IF(IFERROR(VLOOKUP(BR44,Místicos!$C$15:$H$25,6,0)&gt;=BN44,FALSE),"Aprendido",IF(IFERROR(VLOOKUP(BR44,Místicos!$E$15:$H$25,4,0)&gt;=BN44,FALSE),"Aprendido",""))),"")</f>
        <v/>
      </c>
      <c r="BV44" s="6178"/>
      <c r="BW44" s="530"/>
      <c r="BX44" s="524"/>
      <c r="BY44" s="524"/>
      <c r="BZ44" s="1060">
        <f>BZ33+2</f>
        <v>88</v>
      </c>
      <c r="CA44" s="617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79"/>
      <c r="CC44" s="6179"/>
      <c r="CD44" s="6179"/>
      <c r="CE44" s="6176"/>
      <c r="CF44" s="537" t="s">
        <v>1597</v>
      </c>
      <c r="CG44" s="538">
        <f>BZ44</f>
        <v>88</v>
      </c>
      <c r="CH44" s="6173" t="s">
        <v>6888</v>
      </c>
      <c r="CI44" s="6173"/>
      <c r="CJ44" s="6173"/>
      <c r="CK44" s="6161" t="e">
        <f>IF(CA44=0,"",VLOOKUP(CA44,'Tablas Magia'!$D$6:$Z$680,2,FALSE))</f>
        <v>#N/A</v>
      </c>
      <c r="CL44" s="6161"/>
      <c r="CM44" s="2428"/>
      <c r="CN44" s="6177" t="str">
        <f>IFERROR(IF(CK44="Libre Acceso","Aprendido",IF(IFERROR(VLOOKUP(CK44,Místicos!$C$15:$H$25,6,0)&gt;=CG44,FALSE),"Aprendido",IF(IFERROR(VLOOKUP(CK44,Místicos!$E$15:$H$25,4,0)&gt;=CG44,FALSE),"Aprendido",""))),"")</f>
        <v/>
      </c>
      <c r="CO44" s="6178"/>
      <c r="CP44" s="530"/>
      <c r="CQ44" s="524"/>
    </row>
    <row r="45" spans="1:95" ht="12" customHeight="1" x14ac:dyDescent="0.2">
      <c r="A45" s="524"/>
      <c r="B45" s="1060"/>
      <c r="C45" s="6156" t="s">
        <v>6889</v>
      </c>
      <c r="D45" s="6172"/>
      <c r="E45" s="2452" t="s">
        <v>6890</v>
      </c>
      <c r="F45" s="2452" t="s">
        <v>1783</v>
      </c>
      <c r="G45" s="2452" t="s">
        <v>3227</v>
      </c>
      <c r="H45" s="2453" t="s">
        <v>2121</v>
      </c>
      <c r="I45" s="6170" t="e">
        <f>IF(C44=0,"",VLOOKUP(C44,'Tablas Magia'!$D$6:$Z$680,5,FALSE))</f>
        <v>#N/A</v>
      </c>
      <c r="J45" s="6170"/>
      <c r="K45" s="6171" t="s">
        <v>6891</v>
      </c>
      <c r="L45" s="6171"/>
      <c r="M45" s="6170" t="e">
        <f>IF(C44=0,"",VLOOKUP(C44,'Tablas Magia'!$D$6:$Z$680,6,FALSE))</f>
        <v>#N/A</v>
      </c>
      <c r="N45" s="6170"/>
      <c r="O45" s="6169" t="s">
        <v>6892</v>
      </c>
      <c r="P45" s="6169"/>
      <c r="Q45" s="2454" t="e">
        <f>IF(C44=0,"",VLOOKUP(C44,'Tablas Magia'!$D$6:$Z$680,4,FALSE))</f>
        <v>#N/A</v>
      </c>
      <c r="R45" s="530"/>
      <c r="S45" s="524"/>
      <c r="T45" s="524"/>
      <c r="U45" s="1060"/>
      <c r="V45" s="6156" t="s">
        <v>6889</v>
      </c>
      <c r="W45" s="6172"/>
      <c r="X45" s="2452" t="s">
        <v>6890</v>
      </c>
      <c r="Y45" s="2452" t="s">
        <v>1783</v>
      </c>
      <c r="Z45" s="2452" t="s">
        <v>3227</v>
      </c>
      <c r="AA45" s="2453" t="s">
        <v>2121</v>
      </c>
      <c r="AB45" s="6170" t="e">
        <f>IF(V44=0,"",VLOOKUP(V44,'Tablas Magia'!$D$6:$Z$680,5,FALSE))</f>
        <v>#N/A</v>
      </c>
      <c r="AC45" s="6170"/>
      <c r="AD45" s="6171" t="s">
        <v>6891</v>
      </c>
      <c r="AE45" s="6171"/>
      <c r="AF45" s="6170" t="e">
        <f>IF(V44=0,"",VLOOKUP(V44,'Tablas Magia'!$D$6:$Z$680,6,FALSE))</f>
        <v>#N/A</v>
      </c>
      <c r="AG45" s="6170"/>
      <c r="AH45" s="6169" t="s">
        <v>6892</v>
      </c>
      <c r="AI45" s="6169"/>
      <c r="AJ45" s="2454" t="e">
        <f>IF(V44=0,"",VLOOKUP(V44,'Tablas Magia'!$D$6:$Z$680,4,FALSE))</f>
        <v>#N/A</v>
      </c>
      <c r="AK45" s="530"/>
      <c r="AL45" s="524"/>
      <c r="AM45" s="588"/>
      <c r="AN45" s="1060"/>
      <c r="AO45" s="6156" t="s">
        <v>6889</v>
      </c>
      <c r="AP45" s="6172"/>
      <c r="AQ45" s="2452" t="s">
        <v>6890</v>
      </c>
      <c r="AR45" s="2452" t="s">
        <v>1783</v>
      </c>
      <c r="AS45" s="2452" t="s">
        <v>3227</v>
      </c>
      <c r="AT45" s="2453" t="s">
        <v>2121</v>
      </c>
      <c r="AU45" s="6170" t="e">
        <f>IF(AO44=0,"",VLOOKUP(AO44,'Tablas Magia'!$D$6:$Z$680,5,FALSE))</f>
        <v>#N/A</v>
      </c>
      <c r="AV45" s="6170"/>
      <c r="AW45" s="6171" t="s">
        <v>6891</v>
      </c>
      <c r="AX45" s="6171"/>
      <c r="AY45" s="6170" t="e">
        <f>IF(AO44=0,"",VLOOKUP(AO44,'Tablas Magia'!$D$6:$Z$680,6,FALSE))</f>
        <v>#N/A</v>
      </c>
      <c r="AZ45" s="6170"/>
      <c r="BA45" s="6169" t="s">
        <v>6892</v>
      </c>
      <c r="BB45" s="6169"/>
      <c r="BC45" s="2454" t="e">
        <f>IF(AO44=0,"",VLOOKUP(AO44,'Tablas Magia'!$D$6:$Z$680,4,FALSE))</f>
        <v>#N/A</v>
      </c>
      <c r="BD45" s="530"/>
      <c r="BE45" s="524"/>
      <c r="BF45" s="524"/>
      <c r="BG45" s="1060"/>
      <c r="BH45" s="6156" t="s">
        <v>6889</v>
      </c>
      <c r="BI45" s="6172"/>
      <c r="BJ45" s="2452" t="s">
        <v>6890</v>
      </c>
      <c r="BK45" s="2452" t="s">
        <v>1783</v>
      </c>
      <c r="BL45" s="2452" t="s">
        <v>3227</v>
      </c>
      <c r="BM45" s="2453" t="s">
        <v>2121</v>
      </c>
      <c r="BN45" s="6170" t="e">
        <f>IF(BH44=0,"",VLOOKUP(BH44,'Tablas Magia'!$D$6:$Z$680,5,FALSE))</f>
        <v>#N/A</v>
      </c>
      <c r="BO45" s="6170"/>
      <c r="BP45" s="6171" t="s">
        <v>6891</v>
      </c>
      <c r="BQ45" s="6171"/>
      <c r="BR45" s="6170" t="e">
        <f>IF(BH44=0,"",VLOOKUP(BH44,'Tablas Magia'!$D$6:$Z$680,6,FALSE))</f>
        <v>#N/A</v>
      </c>
      <c r="BS45" s="6170"/>
      <c r="BT45" s="6169" t="s">
        <v>6892</v>
      </c>
      <c r="BU45" s="6169"/>
      <c r="BV45" s="2454" t="e">
        <f>IF(BH44=0,"",VLOOKUP(BH44,'Tablas Magia'!$D$6:$Z$680,4,FALSE))</f>
        <v>#N/A</v>
      </c>
      <c r="BW45" s="530"/>
      <c r="BX45" s="524"/>
      <c r="BY45" s="524"/>
      <c r="BZ45" s="1060"/>
      <c r="CA45" s="6156" t="s">
        <v>6889</v>
      </c>
      <c r="CB45" s="6172"/>
      <c r="CC45" s="2452" t="s">
        <v>6890</v>
      </c>
      <c r="CD45" s="2452" t="s">
        <v>1783</v>
      </c>
      <c r="CE45" s="2452" t="s">
        <v>3227</v>
      </c>
      <c r="CF45" s="2453" t="s">
        <v>2121</v>
      </c>
      <c r="CG45" s="6170" t="e">
        <f>IF(CA44=0,"",VLOOKUP(CA44,'Tablas Magia'!$D$6:$Z$680,5,FALSE))</f>
        <v>#N/A</v>
      </c>
      <c r="CH45" s="6170"/>
      <c r="CI45" s="6171" t="s">
        <v>6891</v>
      </c>
      <c r="CJ45" s="6171"/>
      <c r="CK45" s="6170" t="e">
        <f>IF(CA44=0,"",VLOOKUP(CA44,'Tablas Magia'!$D$6:$Z$680,6,FALSE))</f>
        <v>#N/A</v>
      </c>
      <c r="CL45" s="6170"/>
      <c r="CM45" s="6169" t="s">
        <v>6892</v>
      </c>
      <c r="CN45" s="6169"/>
      <c r="CO45" s="2454" t="e">
        <f>IF(CA44=0,"",VLOOKUP(CA44,'Tablas Magia'!$D$6:$Z$680,4,FALSE))</f>
        <v>#N/A</v>
      </c>
      <c r="CP45" s="530"/>
      <c r="CQ45" s="524"/>
    </row>
    <row r="46" spans="1:95" ht="12" customHeight="1" x14ac:dyDescent="0.2">
      <c r="A46" s="524"/>
      <c r="B46" s="1060"/>
      <c r="C46" s="6183" t="s">
        <v>1638</v>
      </c>
      <c r="D46" s="6184"/>
      <c r="E46" s="542" t="e">
        <f>IF(C44=0,"",VLOOKUP(C44,'Tablas Magia'!$D$6:$Z$680,7,FALSE))</f>
        <v>#N/A</v>
      </c>
      <c r="F46" s="542" t="e">
        <f>IF(C44=0,"",VLOOKUP(C44,'Tablas Magia'!$D$6:$Z$680,11,FALSE))</f>
        <v>#N/A</v>
      </c>
      <c r="G46" s="543" t="e">
        <f>IF(C44=0,"",VLOOKUP(C44,'Tablas Magia'!$D$6:$Z$680,15,FALSE))</f>
        <v>#N/A</v>
      </c>
      <c r="H46" s="6180" t="e">
        <f>IF(C44=0,"",VLOOKUP(C44,'Tablas Magia'!$D$6:$Z$680,19,FALSE))</f>
        <v>#N/A</v>
      </c>
      <c r="I46" s="6181"/>
      <c r="J46" s="6181"/>
      <c r="K46" s="6181"/>
      <c r="L46" s="6181"/>
      <c r="M46" s="6181"/>
      <c r="N46" s="6181"/>
      <c r="O46" s="6181"/>
      <c r="P46" s="6181"/>
      <c r="Q46" s="6182"/>
      <c r="R46" s="530"/>
      <c r="S46" s="524"/>
      <c r="T46" s="524"/>
      <c r="U46" s="1060"/>
      <c r="V46" s="6183" t="s">
        <v>1638</v>
      </c>
      <c r="W46" s="6184"/>
      <c r="X46" s="542" t="e">
        <f>IF(V44=0,"",VLOOKUP(V44,'Tablas Magia'!$D$6:$Z$680,7,FALSE))</f>
        <v>#N/A</v>
      </c>
      <c r="Y46" s="542" t="e">
        <f>IF(V44=0,"",VLOOKUP(V44,'Tablas Magia'!$D$6:$Z$680,11,FALSE))</f>
        <v>#N/A</v>
      </c>
      <c r="Z46" s="543" t="e">
        <f>IF(V44=0,"",VLOOKUP(V44,'Tablas Magia'!$D$6:$Z$680,15,FALSE))</f>
        <v>#N/A</v>
      </c>
      <c r="AA46" s="6180" t="e">
        <f>IF(V44=0,"",VLOOKUP(V44,'Tablas Magia'!$D$6:$Z$680,19,FALSE))</f>
        <v>#N/A</v>
      </c>
      <c r="AB46" s="6181"/>
      <c r="AC46" s="6181"/>
      <c r="AD46" s="6181"/>
      <c r="AE46" s="6181"/>
      <c r="AF46" s="6181"/>
      <c r="AG46" s="6181"/>
      <c r="AH46" s="6181"/>
      <c r="AI46" s="6181"/>
      <c r="AJ46" s="6182"/>
      <c r="AK46" s="530"/>
      <c r="AL46" s="524"/>
      <c r="AM46" s="588"/>
      <c r="AN46" s="1060"/>
      <c r="AO46" s="6183" t="s">
        <v>1638</v>
      </c>
      <c r="AP46" s="6184"/>
      <c r="AQ46" s="542" t="e">
        <f>IF(AO44=0,"",VLOOKUP(AO44,'Tablas Magia'!$D$6:$Z$680,7,FALSE))</f>
        <v>#N/A</v>
      </c>
      <c r="AR46" s="542" t="e">
        <f>IF(AO44=0,"",VLOOKUP(AO44,'Tablas Magia'!$D$6:$Z$680,11,FALSE))</f>
        <v>#N/A</v>
      </c>
      <c r="AS46" s="543" t="e">
        <f>IF(AO44=0,"",VLOOKUP(AO44,'Tablas Magia'!$D$6:$Z$680,15,FALSE))</f>
        <v>#N/A</v>
      </c>
      <c r="AT46" s="6180" t="e">
        <f>IF(AO44=0,"",VLOOKUP(AO44,'Tablas Magia'!$D$6:$Z$680,19,FALSE))</f>
        <v>#N/A</v>
      </c>
      <c r="AU46" s="6181"/>
      <c r="AV46" s="6181"/>
      <c r="AW46" s="6181"/>
      <c r="AX46" s="6181"/>
      <c r="AY46" s="6181"/>
      <c r="AZ46" s="6181"/>
      <c r="BA46" s="6181"/>
      <c r="BB46" s="6181"/>
      <c r="BC46" s="6182"/>
      <c r="BD46" s="530"/>
      <c r="BE46" s="524"/>
      <c r="BF46" s="524"/>
      <c r="BG46" s="1060"/>
      <c r="BH46" s="6183" t="s">
        <v>1638</v>
      </c>
      <c r="BI46" s="6184"/>
      <c r="BJ46" s="542" t="e">
        <f>IF(BH44=0,"",VLOOKUP(BH44,'Tablas Magia'!$D$6:$Z$680,7,FALSE))</f>
        <v>#N/A</v>
      </c>
      <c r="BK46" s="542" t="e">
        <f>IF(BH44=0,"",VLOOKUP(BH44,'Tablas Magia'!$D$6:$Z$680,11,FALSE))</f>
        <v>#N/A</v>
      </c>
      <c r="BL46" s="543" t="e">
        <f>IF(BH44=0,"",VLOOKUP(BH44,'Tablas Magia'!$D$6:$Z$680,15,FALSE))</f>
        <v>#N/A</v>
      </c>
      <c r="BM46" s="6180" t="e">
        <f>IF(BH44=0,"",VLOOKUP(BH44,'Tablas Magia'!$D$6:$Z$680,19,FALSE))</f>
        <v>#N/A</v>
      </c>
      <c r="BN46" s="6181"/>
      <c r="BO46" s="6181"/>
      <c r="BP46" s="6181"/>
      <c r="BQ46" s="6181"/>
      <c r="BR46" s="6181"/>
      <c r="BS46" s="6181"/>
      <c r="BT46" s="6181"/>
      <c r="BU46" s="6181"/>
      <c r="BV46" s="6182"/>
      <c r="BW46" s="530"/>
      <c r="BX46" s="524"/>
      <c r="BY46" s="524"/>
      <c r="BZ46" s="1060"/>
      <c r="CA46" s="6183" t="s">
        <v>1638</v>
      </c>
      <c r="CB46" s="6184"/>
      <c r="CC46" s="542" t="e">
        <f>IF(CA44=0,"",VLOOKUP(CA44,'Tablas Magia'!$D$6:$Z$680,7,FALSE))</f>
        <v>#N/A</v>
      </c>
      <c r="CD46" s="542" t="e">
        <f>IF(CA44=0,"",VLOOKUP(CA44,'Tablas Magia'!$D$6:$Z$680,11,FALSE))</f>
        <v>#N/A</v>
      </c>
      <c r="CE46" s="543" t="e">
        <f>IF(CA44=0,"",VLOOKUP(CA44,'Tablas Magia'!$D$6:$Z$680,15,FALSE))</f>
        <v>#N/A</v>
      </c>
      <c r="CF46" s="6180" t="e">
        <f>IF(CA44=0,"",VLOOKUP(CA44,'Tablas Magia'!$D$6:$Z$680,19,FALSE))</f>
        <v>#N/A</v>
      </c>
      <c r="CG46" s="6181"/>
      <c r="CH46" s="6181"/>
      <c r="CI46" s="6181"/>
      <c r="CJ46" s="6181"/>
      <c r="CK46" s="6181"/>
      <c r="CL46" s="6181"/>
      <c r="CM46" s="6181"/>
      <c r="CN46" s="6181"/>
      <c r="CO46" s="6182"/>
      <c r="CP46" s="530"/>
      <c r="CQ46" s="524"/>
    </row>
    <row r="47" spans="1:95" ht="12" customHeight="1" x14ac:dyDescent="0.2">
      <c r="A47" s="524"/>
      <c r="B47" s="1060"/>
      <c r="C47" s="6137" t="s">
        <v>3777</v>
      </c>
      <c r="D47" s="6138"/>
      <c r="E47" s="544" t="e">
        <f>IF(C44=0,"",VLOOKUP(C44,'Tablas Magia'!$D$6:$Z$680,8,FALSE))</f>
        <v>#N/A</v>
      </c>
      <c r="F47" s="544" t="e">
        <f>IF(C44=0,"",VLOOKUP(C44,'Tablas Magia'!$D$6:$Z$680,12,FALSE))</f>
        <v>#N/A</v>
      </c>
      <c r="G47" s="545" t="e">
        <f>IF(C44=0,"",VLOOKUP(C44,'Tablas Magia'!$D$6:$Z$680,16,FALSE))</f>
        <v>#N/A</v>
      </c>
      <c r="H47" s="6139" t="e">
        <f>IF(C44=0,"",VLOOKUP(C44,'Tablas Magia'!$D$6:$Z$680,20,FALSE))</f>
        <v>#N/A</v>
      </c>
      <c r="I47" s="6140"/>
      <c r="J47" s="6140"/>
      <c r="K47" s="6140"/>
      <c r="L47" s="6140"/>
      <c r="M47" s="6140"/>
      <c r="N47" s="6140"/>
      <c r="O47" s="6140"/>
      <c r="P47" s="6140"/>
      <c r="Q47" s="6141"/>
      <c r="R47" s="530"/>
      <c r="S47" s="524"/>
      <c r="T47" s="524"/>
      <c r="U47" s="1060"/>
      <c r="V47" s="6137" t="s">
        <v>3777</v>
      </c>
      <c r="W47" s="6138"/>
      <c r="X47" s="544" t="e">
        <f>IF(V44=0,"",VLOOKUP(V44,'Tablas Magia'!$D$6:$Z$680,8,FALSE))</f>
        <v>#N/A</v>
      </c>
      <c r="Y47" s="544" t="e">
        <f>IF(V44=0,"",VLOOKUP(V44,'Tablas Magia'!$D$6:$Z$680,12,FALSE))</f>
        <v>#N/A</v>
      </c>
      <c r="Z47" s="545" t="e">
        <f>IF(V44=0,"",VLOOKUP(V44,'Tablas Magia'!$D$6:$Z$680,16,FALSE))</f>
        <v>#N/A</v>
      </c>
      <c r="AA47" s="6139" t="e">
        <f>IF(V44=0,"",VLOOKUP(V44,'Tablas Magia'!$D$6:$Z$680,20,FALSE))</f>
        <v>#N/A</v>
      </c>
      <c r="AB47" s="6140"/>
      <c r="AC47" s="6140"/>
      <c r="AD47" s="6140"/>
      <c r="AE47" s="6140"/>
      <c r="AF47" s="6140"/>
      <c r="AG47" s="6140"/>
      <c r="AH47" s="6140"/>
      <c r="AI47" s="6140"/>
      <c r="AJ47" s="6141"/>
      <c r="AK47" s="530"/>
      <c r="AL47" s="524"/>
      <c r="AM47" s="588"/>
      <c r="AN47" s="1060"/>
      <c r="AO47" s="6137" t="s">
        <v>3777</v>
      </c>
      <c r="AP47" s="6138"/>
      <c r="AQ47" s="544" t="e">
        <f>IF(AO44=0,"",VLOOKUP(AO44,'Tablas Magia'!$D$6:$Z$680,8,FALSE))</f>
        <v>#N/A</v>
      </c>
      <c r="AR47" s="544" t="e">
        <f>IF(AO44=0,"",VLOOKUP(AO44,'Tablas Magia'!$D$6:$Z$680,12,FALSE))</f>
        <v>#N/A</v>
      </c>
      <c r="AS47" s="545" t="e">
        <f>IF(AO44=0,"",VLOOKUP(AO44,'Tablas Magia'!$D$6:$Z$680,16,FALSE))</f>
        <v>#N/A</v>
      </c>
      <c r="AT47" s="6139" t="e">
        <f>IF(AO44=0,"",VLOOKUP(AO44,'Tablas Magia'!$D$6:$Z$680,20,FALSE))</f>
        <v>#N/A</v>
      </c>
      <c r="AU47" s="6140"/>
      <c r="AV47" s="6140"/>
      <c r="AW47" s="6140"/>
      <c r="AX47" s="6140"/>
      <c r="AY47" s="6140"/>
      <c r="AZ47" s="6140"/>
      <c r="BA47" s="6140"/>
      <c r="BB47" s="6140"/>
      <c r="BC47" s="6141"/>
      <c r="BD47" s="530"/>
      <c r="BE47" s="524"/>
      <c r="BF47" s="524"/>
      <c r="BG47" s="1060"/>
      <c r="BH47" s="6137" t="s">
        <v>3777</v>
      </c>
      <c r="BI47" s="6138"/>
      <c r="BJ47" s="544" t="e">
        <f>IF(BH44=0,"",VLOOKUP(BH44,'Tablas Magia'!$D$6:$Z$680,8,FALSE))</f>
        <v>#N/A</v>
      </c>
      <c r="BK47" s="544" t="e">
        <f>IF(BH44=0,"",VLOOKUP(BH44,'Tablas Magia'!$D$6:$Z$680,12,FALSE))</f>
        <v>#N/A</v>
      </c>
      <c r="BL47" s="545" t="e">
        <f>IF(BH44=0,"",VLOOKUP(BH44,'Tablas Magia'!$D$6:$Z$680,16,FALSE))</f>
        <v>#N/A</v>
      </c>
      <c r="BM47" s="6139" t="e">
        <f>IF(BH44=0,"",VLOOKUP(BH44,'Tablas Magia'!$D$6:$Z$680,20,FALSE))</f>
        <v>#N/A</v>
      </c>
      <c r="BN47" s="6140"/>
      <c r="BO47" s="6140"/>
      <c r="BP47" s="6140"/>
      <c r="BQ47" s="6140"/>
      <c r="BR47" s="6140"/>
      <c r="BS47" s="6140"/>
      <c r="BT47" s="6140"/>
      <c r="BU47" s="6140"/>
      <c r="BV47" s="6141"/>
      <c r="BW47" s="530"/>
      <c r="BX47" s="524"/>
      <c r="BY47" s="524"/>
      <c r="BZ47" s="1060"/>
      <c r="CA47" s="6137" t="s">
        <v>3777</v>
      </c>
      <c r="CB47" s="6138"/>
      <c r="CC47" s="544" t="e">
        <f>IF(CA44=0,"",VLOOKUP(CA44,'Tablas Magia'!$D$6:$Z$680,8,FALSE))</f>
        <v>#N/A</v>
      </c>
      <c r="CD47" s="544" t="e">
        <f>IF(CA44=0,"",VLOOKUP(CA44,'Tablas Magia'!$D$6:$Z$680,12,FALSE))</f>
        <v>#N/A</v>
      </c>
      <c r="CE47" s="545" t="e">
        <f>IF(CA44=0,"",VLOOKUP(CA44,'Tablas Magia'!$D$6:$Z$680,16,FALSE))</f>
        <v>#N/A</v>
      </c>
      <c r="CF47" s="6139" t="e">
        <f>IF(CA44=0,"",VLOOKUP(CA44,'Tablas Magia'!$D$6:$Z$680,20,FALSE))</f>
        <v>#N/A</v>
      </c>
      <c r="CG47" s="6140"/>
      <c r="CH47" s="6140"/>
      <c r="CI47" s="6140"/>
      <c r="CJ47" s="6140"/>
      <c r="CK47" s="6140"/>
      <c r="CL47" s="6140"/>
      <c r="CM47" s="6140"/>
      <c r="CN47" s="6140"/>
      <c r="CO47" s="6141"/>
      <c r="CP47" s="530"/>
      <c r="CQ47" s="524"/>
    </row>
    <row r="48" spans="1:95" ht="12" customHeight="1" x14ac:dyDescent="0.2">
      <c r="A48" s="524"/>
      <c r="B48" s="1060"/>
      <c r="C48" s="6132" t="s">
        <v>3778</v>
      </c>
      <c r="D48" s="6133"/>
      <c r="E48" s="542" t="e">
        <f>IF(C44=0,"",VLOOKUP(C44,'Tablas Magia'!$D$6:$Z$680,9,FALSE))</f>
        <v>#N/A</v>
      </c>
      <c r="F48" s="542" t="e">
        <f>IF(C44=0,"",VLOOKUP(C44,'Tablas Magia'!$D$6:$Z$680,13,FALSE))</f>
        <v>#N/A</v>
      </c>
      <c r="G48" s="543" t="e">
        <f>IF(C44=0,"",VLOOKUP(C44,'Tablas Magia'!$D$6:$Z$680,17,FALSE))</f>
        <v>#N/A</v>
      </c>
      <c r="H48" s="6134" t="e">
        <f>IF(C44=0,"",VLOOKUP(C44,'Tablas Magia'!$D$6:$Z$680,21,FALSE))</f>
        <v>#N/A</v>
      </c>
      <c r="I48" s="6135"/>
      <c r="J48" s="6135"/>
      <c r="K48" s="6135"/>
      <c r="L48" s="6135"/>
      <c r="M48" s="6135"/>
      <c r="N48" s="6135"/>
      <c r="O48" s="6135"/>
      <c r="P48" s="6135"/>
      <c r="Q48" s="6136"/>
      <c r="R48" s="530"/>
      <c r="S48" s="524"/>
      <c r="T48" s="524"/>
      <c r="U48" s="1060"/>
      <c r="V48" s="6132" t="s">
        <v>3778</v>
      </c>
      <c r="W48" s="6133"/>
      <c r="X48" s="542" t="e">
        <f>IF(V44=0,"",VLOOKUP(V44,'Tablas Magia'!$D$6:$Z$680,9,FALSE))</f>
        <v>#N/A</v>
      </c>
      <c r="Y48" s="542" t="e">
        <f>IF(V44=0,"",VLOOKUP(V44,'Tablas Magia'!$D$6:$Z$680,13,FALSE))</f>
        <v>#N/A</v>
      </c>
      <c r="Z48" s="543" t="e">
        <f>IF(V44=0,"",VLOOKUP(V44,'Tablas Magia'!$D$6:$Z$680,17,FALSE))</f>
        <v>#N/A</v>
      </c>
      <c r="AA48" s="6134" t="e">
        <f>IF(V44=0,"",VLOOKUP(V44,'Tablas Magia'!$D$6:$Z$680,21,FALSE))</f>
        <v>#N/A</v>
      </c>
      <c r="AB48" s="6135"/>
      <c r="AC48" s="6135"/>
      <c r="AD48" s="6135"/>
      <c r="AE48" s="6135"/>
      <c r="AF48" s="6135"/>
      <c r="AG48" s="6135"/>
      <c r="AH48" s="6135"/>
      <c r="AI48" s="6135"/>
      <c r="AJ48" s="6136"/>
      <c r="AK48" s="530"/>
      <c r="AL48" s="524"/>
      <c r="AM48" s="588"/>
      <c r="AN48" s="1060"/>
      <c r="AO48" s="6132" t="s">
        <v>3778</v>
      </c>
      <c r="AP48" s="6133"/>
      <c r="AQ48" s="542" t="e">
        <f>IF(AO44=0,"",VLOOKUP(AO44,'Tablas Magia'!$D$6:$Z$680,9,FALSE))</f>
        <v>#N/A</v>
      </c>
      <c r="AR48" s="542" t="e">
        <f>IF(AO44=0,"",VLOOKUP(AO44,'Tablas Magia'!$D$6:$Z$680,13,FALSE))</f>
        <v>#N/A</v>
      </c>
      <c r="AS48" s="543" t="e">
        <f>IF(AO44=0,"",VLOOKUP(AO44,'Tablas Magia'!$D$6:$Z$680,17,FALSE))</f>
        <v>#N/A</v>
      </c>
      <c r="AT48" s="6134" t="e">
        <f>IF(AO44=0,"",VLOOKUP(AO44,'Tablas Magia'!$D$6:$Z$680,21,FALSE))</f>
        <v>#N/A</v>
      </c>
      <c r="AU48" s="6135"/>
      <c r="AV48" s="6135"/>
      <c r="AW48" s="6135"/>
      <c r="AX48" s="6135"/>
      <c r="AY48" s="6135"/>
      <c r="AZ48" s="6135"/>
      <c r="BA48" s="6135"/>
      <c r="BB48" s="6135"/>
      <c r="BC48" s="6136"/>
      <c r="BD48" s="530"/>
      <c r="BE48" s="524"/>
      <c r="BF48" s="524"/>
      <c r="BG48" s="1060"/>
      <c r="BH48" s="6132" t="s">
        <v>3778</v>
      </c>
      <c r="BI48" s="6133"/>
      <c r="BJ48" s="542" t="e">
        <f>IF(BH44=0,"",VLOOKUP(BH44,'Tablas Magia'!$D$6:$Z$680,9,FALSE))</f>
        <v>#N/A</v>
      </c>
      <c r="BK48" s="542" t="e">
        <f>IF(BH44=0,"",VLOOKUP(BH44,'Tablas Magia'!$D$6:$Z$680,13,FALSE))</f>
        <v>#N/A</v>
      </c>
      <c r="BL48" s="543" t="e">
        <f>IF(BH44=0,"",VLOOKUP(BH44,'Tablas Magia'!$D$6:$Z$680,17,FALSE))</f>
        <v>#N/A</v>
      </c>
      <c r="BM48" s="6134" t="e">
        <f>IF(BH44=0,"",VLOOKUP(BH44,'Tablas Magia'!$D$6:$Z$680,21,FALSE))</f>
        <v>#N/A</v>
      </c>
      <c r="BN48" s="6135"/>
      <c r="BO48" s="6135"/>
      <c r="BP48" s="6135"/>
      <c r="BQ48" s="6135"/>
      <c r="BR48" s="6135"/>
      <c r="BS48" s="6135"/>
      <c r="BT48" s="6135"/>
      <c r="BU48" s="6135"/>
      <c r="BV48" s="6136"/>
      <c r="BW48" s="530"/>
      <c r="BX48" s="524"/>
      <c r="BY48" s="524"/>
      <c r="BZ48" s="1060"/>
      <c r="CA48" s="6132" t="s">
        <v>3778</v>
      </c>
      <c r="CB48" s="6133"/>
      <c r="CC48" s="542" t="e">
        <f>IF(CA44=0,"",VLOOKUP(CA44,'Tablas Magia'!$D$6:$Z$680,9,FALSE))</f>
        <v>#N/A</v>
      </c>
      <c r="CD48" s="542" t="e">
        <f>IF(CA44=0,"",VLOOKUP(CA44,'Tablas Magia'!$D$6:$Z$680,13,FALSE))</f>
        <v>#N/A</v>
      </c>
      <c r="CE48" s="543" t="e">
        <f>IF(CA44=0,"",VLOOKUP(CA44,'Tablas Magia'!$D$6:$Z$680,17,FALSE))</f>
        <v>#N/A</v>
      </c>
      <c r="CF48" s="6134" t="e">
        <f>IF(CA44=0,"",VLOOKUP(CA44,'Tablas Magia'!$D$6:$Z$680,21,FALSE))</f>
        <v>#N/A</v>
      </c>
      <c r="CG48" s="6135"/>
      <c r="CH48" s="6135"/>
      <c r="CI48" s="6135"/>
      <c r="CJ48" s="6135"/>
      <c r="CK48" s="6135"/>
      <c r="CL48" s="6135"/>
      <c r="CM48" s="6135"/>
      <c r="CN48" s="6135"/>
      <c r="CO48" s="6136"/>
      <c r="CP48" s="530"/>
      <c r="CQ48" s="524"/>
    </row>
    <row r="49" spans="1:95" ht="12" customHeight="1" thickBot="1" x14ac:dyDescent="0.25">
      <c r="A49" s="524"/>
      <c r="B49" s="1060"/>
      <c r="C49" s="6142" t="s">
        <v>3779</v>
      </c>
      <c r="D49" s="6143"/>
      <c r="E49" s="546" t="e">
        <f>IF(C44=0,"",VLOOKUP(C44,'Tablas Magia'!$D$6:$Z$680,10,FALSE))</f>
        <v>#N/A</v>
      </c>
      <c r="F49" s="546" t="e">
        <f>IF(C44=0,"",VLOOKUP(C44,'Tablas Magia'!$D$6:$Z$680,14,FALSE))</f>
        <v>#N/A</v>
      </c>
      <c r="G49" s="547" t="e">
        <f>IF(C44=0,"",VLOOKUP(C44,'Tablas Magia'!$D$6:$Z$680,18,FALSE))</f>
        <v>#N/A</v>
      </c>
      <c r="H49" s="6144" t="e">
        <f>IF(C44=0,"",VLOOKUP(C44,'Tablas Magia'!$D$6:$Z$680,22,FALSE))</f>
        <v>#N/A</v>
      </c>
      <c r="I49" s="6145"/>
      <c r="J49" s="6145"/>
      <c r="K49" s="6145"/>
      <c r="L49" s="6145"/>
      <c r="M49" s="6145"/>
      <c r="N49" s="6145"/>
      <c r="O49" s="6145"/>
      <c r="P49" s="6145"/>
      <c r="Q49" s="6146"/>
      <c r="R49" s="530"/>
      <c r="S49" s="524"/>
      <c r="T49" s="524"/>
      <c r="U49" s="1060"/>
      <c r="V49" s="6142" t="s">
        <v>3779</v>
      </c>
      <c r="W49" s="6143"/>
      <c r="X49" s="546" t="e">
        <f>IF(V44=0,"",VLOOKUP(V44,'Tablas Magia'!$D$6:$Z$680,10,FALSE))</f>
        <v>#N/A</v>
      </c>
      <c r="Y49" s="546" t="e">
        <f>IF(V44=0,"",VLOOKUP(V44,'Tablas Magia'!$D$6:$Z$680,14,FALSE))</f>
        <v>#N/A</v>
      </c>
      <c r="Z49" s="547" t="e">
        <f>IF(V44=0,"",VLOOKUP(V44,'Tablas Magia'!$D$6:$Z$680,18,FALSE))</f>
        <v>#N/A</v>
      </c>
      <c r="AA49" s="6144" t="e">
        <f>IF(V44=0,"",VLOOKUP(V44,'Tablas Magia'!$D$6:$Z$680,22,FALSE))</f>
        <v>#N/A</v>
      </c>
      <c r="AB49" s="6145"/>
      <c r="AC49" s="6145"/>
      <c r="AD49" s="6145"/>
      <c r="AE49" s="6145"/>
      <c r="AF49" s="6145"/>
      <c r="AG49" s="6145"/>
      <c r="AH49" s="6145"/>
      <c r="AI49" s="6145"/>
      <c r="AJ49" s="6146"/>
      <c r="AK49" s="530"/>
      <c r="AL49" s="524"/>
      <c r="AM49" s="588"/>
      <c r="AN49" s="1060"/>
      <c r="AO49" s="6142" t="s">
        <v>3779</v>
      </c>
      <c r="AP49" s="6143"/>
      <c r="AQ49" s="546" t="e">
        <f>IF(AO44=0,"",VLOOKUP(AO44,'Tablas Magia'!$D$6:$Z$680,10,FALSE))</f>
        <v>#N/A</v>
      </c>
      <c r="AR49" s="546" t="e">
        <f>IF(AO44=0,"",VLOOKUP(AO44,'Tablas Magia'!$D$6:$Z$680,14,FALSE))</f>
        <v>#N/A</v>
      </c>
      <c r="AS49" s="547" t="e">
        <f>IF(AO44=0,"",VLOOKUP(AO44,'Tablas Magia'!$D$6:$Z$680,18,FALSE))</f>
        <v>#N/A</v>
      </c>
      <c r="AT49" s="6144" t="e">
        <f>IF(AO44=0,"",VLOOKUP(AO44,'Tablas Magia'!$D$6:$Z$680,22,FALSE))</f>
        <v>#N/A</v>
      </c>
      <c r="AU49" s="6145"/>
      <c r="AV49" s="6145"/>
      <c r="AW49" s="6145"/>
      <c r="AX49" s="6145"/>
      <c r="AY49" s="6145"/>
      <c r="AZ49" s="6145"/>
      <c r="BA49" s="6145"/>
      <c r="BB49" s="6145"/>
      <c r="BC49" s="6146"/>
      <c r="BD49" s="530"/>
      <c r="BE49" s="524"/>
      <c r="BF49" s="524"/>
      <c r="BG49" s="1060"/>
      <c r="BH49" s="6142" t="s">
        <v>3779</v>
      </c>
      <c r="BI49" s="6143"/>
      <c r="BJ49" s="546" t="e">
        <f>IF(BH44=0,"",VLOOKUP(BH44,'Tablas Magia'!$D$6:$Z$680,10,FALSE))</f>
        <v>#N/A</v>
      </c>
      <c r="BK49" s="546" t="e">
        <f>IF(BH44=0,"",VLOOKUP(BH44,'Tablas Magia'!$D$6:$Z$680,14,FALSE))</f>
        <v>#N/A</v>
      </c>
      <c r="BL49" s="547" t="e">
        <f>IF(BH44=0,"",VLOOKUP(BH44,'Tablas Magia'!$D$6:$Z$680,18,FALSE))</f>
        <v>#N/A</v>
      </c>
      <c r="BM49" s="6144" t="e">
        <f>IF(BH44=0,"",VLOOKUP(BH44,'Tablas Magia'!$D$6:$Z$680,22,FALSE))</f>
        <v>#N/A</v>
      </c>
      <c r="BN49" s="6145"/>
      <c r="BO49" s="6145"/>
      <c r="BP49" s="6145"/>
      <c r="BQ49" s="6145"/>
      <c r="BR49" s="6145"/>
      <c r="BS49" s="6145"/>
      <c r="BT49" s="6145"/>
      <c r="BU49" s="6145"/>
      <c r="BV49" s="6146"/>
      <c r="BW49" s="530"/>
      <c r="BX49" s="524"/>
      <c r="BY49" s="524"/>
      <c r="BZ49" s="1060"/>
      <c r="CA49" s="6142" t="s">
        <v>3779</v>
      </c>
      <c r="CB49" s="6143"/>
      <c r="CC49" s="546" t="e">
        <f>IF(CA44=0,"",VLOOKUP(CA44,'Tablas Magia'!$D$6:$Z$680,10,FALSE))</f>
        <v>#N/A</v>
      </c>
      <c r="CD49" s="546" t="e">
        <f>IF(CA44=0,"",VLOOKUP(CA44,'Tablas Magia'!$D$6:$Z$680,14,FALSE))</f>
        <v>#N/A</v>
      </c>
      <c r="CE49" s="547" t="e">
        <f>IF(CA44=0,"",VLOOKUP(CA44,'Tablas Magia'!$D$6:$Z$680,18,FALSE))</f>
        <v>#N/A</v>
      </c>
      <c r="CF49" s="6144" t="e">
        <f>IF(CA44=0,"",VLOOKUP(CA44,'Tablas Magia'!$D$6:$Z$680,22,FALSE))</f>
        <v>#N/A</v>
      </c>
      <c r="CG49" s="6145"/>
      <c r="CH49" s="6145"/>
      <c r="CI49" s="6145"/>
      <c r="CJ49" s="6145"/>
      <c r="CK49" s="6145"/>
      <c r="CL49" s="6145"/>
      <c r="CM49" s="6145"/>
      <c r="CN49" s="6145"/>
      <c r="CO49" s="6146"/>
      <c r="CP49" s="530"/>
      <c r="CQ49" s="524"/>
    </row>
    <row r="50" spans="1:95" ht="12" customHeight="1" x14ac:dyDescent="0.2">
      <c r="A50" s="524"/>
      <c r="B50" s="1060"/>
      <c r="C50" s="6147" t="e">
        <f>IF(C44=0,"",VLOOKUP(C44,'Tablas Magia'!$D$6:$Z$680,23,FALSE))</f>
        <v>#N/A</v>
      </c>
      <c r="D50" s="6148"/>
      <c r="E50" s="6148"/>
      <c r="F50" s="6148"/>
      <c r="G50" s="6148"/>
      <c r="H50" s="6148"/>
      <c r="I50" s="6148"/>
      <c r="J50" s="6148"/>
      <c r="K50" s="6148"/>
      <c r="L50" s="6148"/>
      <c r="M50" s="6148"/>
      <c r="N50" s="6148"/>
      <c r="O50" s="6148"/>
      <c r="P50" s="6148"/>
      <c r="Q50" s="6149"/>
      <c r="R50" s="530"/>
      <c r="S50" s="524"/>
      <c r="T50" s="524"/>
      <c r="U50" s="1060"/>
      <c r="V50" s="6147" t="e">
        <f>IF(V44=0,"",VLOOKUP(V44,'Tablas Magia'!$D$6:$Z$680,23,FALSE))</f>
        <v>#N/A</v>
      </c>
      <c r="W50" s="6148"/>
      <c r="X50" s="6148"/>
      <c r="Y50" s="6148"/>
      <c r="Z50" s="6148"/>
      <c r="AA50" s="6148"/>
      <c r="AB50" s="6148"/>
      <c r="AC50" s="6148"/>
      <c r="AD50" s="6148"/>
      <c r="AE50" s="6148"/>
      <c r="AF50" s="6148"/>
      <c r="AG50" s="6148"/>
      <c r="AH50" s="6148"/>
      <c r="AI50" s="6148"/>
      <c r="AJ50" s="6149"/>
      <c r="AK50" s="530"/>
      <c r="AL50" s="524"/>
      <c r="AM50" s="588"/>
      <c r="AN50" s="1060"/>
      <c r="AO50" s="6147" t="e">
        <f>IF(AO44=0,"",VLOOKUP(AO44,'Tablas Magia'!$D$6:$Z$680,23,FALSE))</f>
        <v>#N/A</v>
      </c>
      <c r="AP50" s="6148"/>
      <c r="AQ50" s="6148"/>
      <c r="AR50" s="6148"/>
      <c r="AS50" s="6148"/>
      <c r="AT50" s="6148"/>
      <c r="AU50" s="6148"/>
      <c r="AV50" s="6148"/>
      <c r="AW50" s="6148"/>
      <c r="AX50" s="6148"/>
      <c r="AY50" s="6148"/>
      <c r="AZ50" s="6148"/>
      <c r="BA50" s="6148"/>
      <c r="BB50" s="6148"/>
      <c r="BC50" s="6149"/>
      <c r="BD50" s="530"/>
      <c r="BE50" s="524"/>
      <c r="BF50" s="524"/>
      <c r="BG50" s="1060"/>
      <c r="BH50" s="6147" t="e">
        <f>IF(BH44=0,"",VLOOKUP(BH44,'Tablas Magia'!$D$6:$Z$680,23,FALSE))</f>
        <v>#N/A</v>
      </c>
      <c r="BI50" s="6148"/>
      <c r="BJ50" s="6148"/>
      <c r="BK50" s="6148"/>
      <c r="BL50" s="6148"/>
      <c r="BM50" s="6148"/>
      <c r="BN50" s="6148"/>
      <c r="BO50" s="6148"/>
      <c r="BP50" s="6148"/>
      <c r="BQ50" s="6148"/>
      <c r="BR50" s="6148"/>
      <c r="BS50" s="6148"/>
      <c r="BT50" s="6148"/>
      <c r="BU50" s="6148"/>
      <c r="BV50" s="6149"/>
      <c r="BW50" s="530"/>
      <c r="BX50" s="524"/>
      <c r="BY50" s="524"/>
      <c r="BZ50" s="1060"/>
      <c r="CA50" s="6147" t="e">
        <f>IF(CA44=0,"",VLOOKUP(CA44,'Tablas Magia'!$D$6:$Z$680,23,FALSE))</f>
        <v>#N/A</v>
      </c>
      <c r="CB50" s="6148"/>
      <c r="CC50" s="6148"/>
      <c r="CD50" s="6148"/>
      <c r="CE50" s="6148"/>
      <c r="CF50" s="6148"/>
      <c r="CG50" s="6148"/>
      <c r="CH50" s="6148"/>
      <c r="CI50" s="6148"/>
      <c r="CJ50" s="6148"/>
      <c r="CK50" s="6148"/>
      <c r="CL50" s="6148"/>
      <c r="CM50" s="6148"/>
      <c r="CN50" s="6148"/>
      <c r="CO50" s="6149"/>
      <c r="CP50" s="530"/>
      <c r="CQ50" s="524"/>
    </row>
    <row r="51" spans="1:95" ht="12" customHeight="1" x14ac:dyDescent="0.2">
      <c r="A51" s="524"/>
      <c r="B51" s="1060"/>
      <c r="C51" s="6150"/>
      <c r="D51" s="6151"/>
      <c r="E51" s="6151"/>
      <c r="F51" s="6151"/>
      <c r="G51" s="6151"/>
      <c r="H51" s="6151"/>
      <c r="I51" s="6151"/>
      <c r="J51" s="6151"/>
      <c r="K51" s="6151"/>
      <c r="L51" s="6151"/>
      <c r="M51" s="6151"/>
      <c r="N51" s="6151"/>
      <c r="O51" s="6151"/>
      <c r="P51" s="6151"/>
      <c r="Q51" s="6152"/>
      <c r="R51" s="530"/>
      <c r="S51" s="524"/>
      <c r="T51" s="524"/>
      <c r="U51" s="1060"/>
      <c r="V51" s="6150"/>
      <c r="W51" s="6151"/>
      <c r="X51" s="6151"/>
      <c r="Y51" s="6151"/>
      <c r="Z51" s="6151"/>
      <c r="AA51" s="6151"/>
      <c r="AB51" s="6151"/>
      <c r="AC51" s="6151"/>
      <c r="AD51" s="6151"/>
      <c r="AE51" s="6151"/>
      <c r="AF51" s="6151"/>
      <c r="AG51" s="6151"/>
      <c r="AH51" s="6151"/>
      <c r="AI51" s="6151"/>
      <c r="AJ51" s="6152"/>
      <c r="AK51" s="530"/>
      <c r="AL51" s="524"/>
      <c r="AM51" s="588"/>
      <c r="AN51" s="1060"/>
      <c r="AO51" s="6150"/>
      <c r="AP51" s="6151"/>
      <c r="AQ51" s="6151"/>
      <c r="AR51" s="6151"/>
      <c r="AS51" s="6151"/>
      <c r="AT51" s="6151"/>
      <c r="AU51" s="6151"/>
      <c r="AV51" s="6151"/>
      <c r="AW51" s="6151"/>
      <c r="AX51" s="6151"/>
      <c r="AY51" s="6151"/>
      <c r="AZ51" s="6151"/>
      <c r="BA51" s="6151"/>
      <c r="BB51" s="6151"/>
      <c r="BC51" s="6152"/>
      <c r="BD51" s="530"/>
      <c r="BE51" s="524"/>
      <c r="BF51" s="524"/>
      <c r="BG51" s="1060"/>
      <c r="BH51" s="6150"/>
      <c r="BI51" s="6151"/>
      <c r="BJ51" s="6151"/>
      <c r="BK51" s="6151"/>
      <c r="BL51" s="6151"/>
      <c r="BM51" s="6151"/>
      <c r="BN51" s="6151"/>
      <c r="BO51" s="6151"/>
      <c r="BP51" s="6151"/>
      <c r="BQ51" s="6151"/>
      <c r="BR51" s="6151"/>
      <c r="BS51" s="6151"/>
      <c r="BT51" s="6151"/>
      <c r="BU51" s="6151"/>
      <c r="BV51" s="6152"/>
      <c r="BW51" s="530"/>
      <c r="BX51" s="524"/>
      <c r="BY51" s="524"/>
      <c r="BZ51" s="1060"/>
      <c r="CA51" s="6150"/>
      <c r="CB51" s="6151"/>
      <c r="CC51" s="6151"/>
      <c r="CD51" s="6151"/>
      <c r="CE51" s="6151"/>
      <c r="CF51" s="6151"/>
      <c r="CG51" s="6151"/>
      <c r="CH51" s="6151"/>
      <c r="CI51" s="6151"/>
      <c r="CJ51" s="6151"/>
      <c r="CK51" s="6151"/>
      <c r="CL51" s="6151"/>
      <c r="CM51" s="6151"/>
      <c r="CN51" s="6151"/>
      <c r="CO51" s="6152"/>
      <c r="CP51" s="530"/>
      <c r="CQ51" s="524"/>
    </row>
    <row r="52" spans="1:95" ht="12" customHeight="1" x14ac:dyDescent="0.2">
      <c r="A52" s="524"/>
      <c r="B52" s="1060"/>
      <c r="C52" s="6150"/>
      <c r="D52" s="6151"/>
      <c r="E52" s="6151"/>
      <c r="F52" s="6151"/>
      <c r="G52" s="6151"/>
      <c r="H52" s="6151"/>
      <c r="I52" s="6151"/>
      <c r="J52" s="6151"/>
      <c r="K52" s="6151"/>
      <c r="L52" s="6151"/>
      <c r="M52" s="6151"/>
      <c r="N52" s="6151"/>
      <c r="O52" s="6151"/>
      <c r="P52" s="6151"/>
      <c r="Q52" s="6152"/>
      <c r="R52" s="530"/>
      <c r="S52" s="524"/>
      <c r="T52" s="524"/>
      <c r="U52" s="1060"/>
      <c r="V52" s="6150"/>
      <c r="W52" s="6151"/>
      <c r="X52" s="6151"/>
      <c r="Y52" s="6151"/>
      <c r="Z52" s="6151"/>
      <c r="AA52" s="6151"/>
      <c r="AB52" s="6151"/>
      <c r="AC52" s="6151"/>
      <c r="AD52" s="6151"/>
      <c r="AE52" s="6151"/>
      <c r="AF52" s="6151"/>
      <c r="AG52" s="6151"/>
      <c r="AH52" s="6151"/>
      <c r="AI52" s="6151"/>
      <c r="AJ52" s="6152"/>
      <c r="AK52" s="530"/>
      <c r="AL52" s="524"/>
      <c r="AM52" s="588"/>
      <c r="AN52" s="1060"/>
      <c r="AO52" s="6150"/>
      <c r="AP52" s="6151"/>
      <c r="AQ52" s="6151"/>
      <c r="AR52" s="6151"/>
      <c r="AS52" s="6151"/>
      <c r="AT52" s="6151"/>
      <c r="AU52" s="6151"/>
      <c r="AV52" s="6151"/>
      <c r="AW52" s="6151"/>
      <c r="AX52" s="6151"/>
      <c r="AY52" s="6151"/>
      <c r="AZ52" s="6151"/>
      <c r="BA52" s="6151"/>
      <c r="BB52" s="6151"/>
      <c r="BC52" s="6152"/>
      <c r="BD52" s="530"/>
      <c r="BE52" s="524"/>
      <c r="BF52" s="524"/>
      <c r="BG52" s="1060"/>
      <c r="BH52" s="6150"/>
      <c r="BI52" s="6151"/>
      <c r="BJ52" s="6151"/>
      <c r="BK52" s="6151"/>
      <c r="BL52" s="6151"/>
      <c r="BM52" s="6151"/>
      <c r="BN52" s="6151"/>
      <c r="BO52" s="6151"/>
      <c r="BP52" s="6151"/>
      <c r="BQ52" s="6151"/>
      <c r="BR52" s="6151"/>
      <c r="BS52" s="6151"/>
      <c r="BT52" s="6151"/>
      <c r="BU52" s="6151"/>
      <c r="BV52" s="6152"/>
      <c r="BW52" s="530"/>
      <c r="BX52" s="524"/>
      <c r="BY52" s="524"/>
      <c r="BZ52" s="1060"/>
      <c r="CA52" s="6150"/>
      <c r="CB52" s="6151"/>
      <c r="CC52" s="6151"/>
      <c r="CD52" s="6151"/>
      <c r="CE52" s="6151"/>
      <c r="CF52" s="6151"/>
      <c r="CG52" s="6151"/>
      <c r="CH52" s="6151"/>
      <c r="CI52" s="6151"/>
      <c r="CJ52" s="6151"/>
      <c r="CK52" s="6151"/>
      <c r="CL52" s="6151"/>
      <c r="CM52" s="6151"/>
      <c r="CN52" s="6151"/>
      <c r="CO52" s="6152"/>
      <c r="CP52" s="530"/>
      <c r="CQ52" s="524"/>
    </row>
    <row r="53" spans="1:95" ht="12" customHeight="1" thickBot="1" x14ac:dyDescent="0.25">
      <c r="A53" s="524"/>
      <c r="B53" s="1060"/>
      <c r="C53" s="6153"/>
      <c r="D53" s="6154"/>
      <c r="E53" s="6154"/>
      <c r="F53" s="6154"/>
      <c r="G53" s="6154"/>
      <c r="H53" s="6154"/>
      <c r="I53" s="6154"/>
      <c r="J53" s="6154"/>
      <c r="K53" s="6154"/>
      <c r="L53" s="6154"/>
      <c r="M53" s="6154"/>
      <c r="N53" s="6154"/>
      <c r="O53" s="6154"/>
      <c r="P53" s="6154"/>
      <c r="Q53" s="6155"/>
      <c r="R53" s="530"/>
      <c r="S53" s="524"/>
      <c r="T53" s="524"/>
      <c r="U53" s="1060"/>
      <c r="V53" s="6153"/>
      <c r="W53" s="6154"/>
      <c r="X53" s="6154"/>
      <c r="Y53" s="6154"/>
      <c r="Z53" s="6154"/>
      <c r="AA53" s="6154"/>
      <c r="AB53" s="6154"/>
      <c r="AC53" s="6154"/>
      <c r="AD53" s="6154"/>
      <c r="AE53" s="6154"/>
      <c r="AF53" s="6154"/>
      <c r="AG53" s="6154"/>
      <c r="AH53" s="6154"/>
      <c r="AI53" s="6154"/>
      <c r="AJ53" s="6155"/>
      <c r="AK53" s="530"/>
      <c r="AL53" s="524"/>
      <c r="AM53" s="588"/>
      <c r="AN53" s="1060"/>
      <c r="AO53" s="6153"/>
      <c r="AP53" s="6154"/>
      <c r="AQ53" s="6154"/>
      <c r="AR53" s="6154"/>
      <c r="AS53" s="6154"/>
      <c r="AT53" s="6154"/>
      <c r="AU53" s="6154"/>
      <c r="AV53" s="6154"/>
      <c r="AW53" s="6154"/>
      <c r="AX53" s="6154"/>
      <c r="AY53" s="6154"/>
      <c r="AZ53" s="6154"/>
      <c r="BA53" s="6154"/>
      <c r="BB53" s="6154"/>
      <c r="BC53" s="6155"/>
      <c r="BD53" s="530"/>
      <c r="BE53" s="524"/>
      <c r="BF53" s="524"/>
      <c r="BG53" s="1060"/>
      <c r="BH53" s="6153"/>
      <c r="BI53" s="6154"/>
      <c r="BJ53" s="6154"/>
      <c r="BK53" s="6154"/>
      <c r="BL53" s="6154"/>
      <c r="BM53" s="6154"/>
      <c r="BN53" s="6154"/>
      <c r="BO53" s="6154"/>
      <c r="BP53" s="6154"/>
      <c r="BQ53" s="6154"/>
      <c r="BR53" s="6154"/>
      <c r="BS53" s="6154"/>
      <c r="BT53" s="6154"/>
      <c r="BU53" s="6154"/>
      <c r="BV53" s="6155"/>
      <c r="BW53" s="530"/>
      <c r="BX53" s="524"/>
      <c r="BY53" s="524"/>
      <c r="BZ53" s="1060"/>
      <c r="CA53" s="6153"/>
      <c r="CB53" s="6154"/>
      <c r="CC53" s="6154"/>
      <c r="CD53" s="6154"/>
      <c r="CE53" s="6154"/>
      <c r="CF53" s="6154"/>
      <c r="CG53" s="6154"/>
      <c r="CH53" s="6154"/>
      <c r="CI53" s="6154"/>
      <c r="CJ53" s="6154"/>
      <c r="CK53" s="6154"/>
      <c r="CL53" s="6154"/>
      <c r="CM53" s="6154"/>
      <c r="CN53" s="6154"/>
      <c r="CO53" s="6155"/>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7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79"/>
      <c r="E55" s="6179"/>
      <c r="F55" s="6179"/>
      <c r="G55" s="6176"/>
      <c r="H55" s="537" t="s">
        <v>1597</v>
      </c>
      <c r="I55" s="538">
        <f>B55</f>
        <v>10</v>
      </c>
      <c r="J55" s="6173" t="s">
        <v>6888</v>
      </c>
      <c r="K55" s="6173"/>
      <c r="L55" s="6173"/>
      <c r="M55" s="6161" t="str">
        <f>IF(C55=0,"",VLOOKUP(C55,'Tablas Magia'!$D$6:$Z$680,2,FALSE))</f>
        <v>Agua</v>
      </c>
      <c r="N55" s="6161"/>
      <c r="O55" s="2428"/>
      <c r="P55" s="6177" t="str">
        <f>IFERROR(IF(M55="Libre Acceso","Aprendido",IF(IFERROR(VLOOKUP(M55,Místicos!$C$15:$H$25,6,0)&gt;=I55,FALSE),"Aprendido",IF(IFERROR(VLOOKUP(M55,Místicos!$E$15:$H$25,4,0)&gt;=I55,FALSE),"Aprendido",""))),"")</f>
        <v/>
      </c>
      <c r="Q55" s="6178"/>
      <c r="R55" s="530"/>
      <c r="S55" s="524"/>
      <c r="T55" s="524"/>
      <c r="U55" s="1060">
        <f>U44+2</f>
        <v>30</v>
      </c>
      <c r="V55" s="617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79"/>
      <c r="X55" s="6179"/>
      <c r="Y55" s="6179"/>
      <c r="Z55" s="6176"/>
      <c r="AA55" s="537" t="s">
        <v>1597</v>
      </c>
      <c r="AB55" s="538">
        <f>U55</f>
        <v>30</v>
      </c>
      <c r="AC55" s="6173" t="s">
        <v>6888</v>
      </c>
      <c r="AD55" s="6173"/>
      <c r="AE55" s="6173"/>
      <c r="AF55" s="6161" t="str">
        <f>IF(V55=0,"",VLOOKUP(V55,'Tablas Magia'!$D$6:$Z$680,2,FALSE))</f>
        <v>Agua</v>
      </c>
      <c r="AG55" s="6161"/>
      <c r="AH55" s="2428"/>
      <c r="AI55" s="6177" t="str">
        <f>IFERROR(IF(AF55="Libre Acceso","Aprendido",IF(IFERROR(VLOOKUP(AF55,Místicos!$C$15:$H$25,6,0)&gt;=AB55,FALSE),"Aprendido",IF(IFERROR(VLOOKUP(AF55,Místicos!$E$15:$H$25,4,0)&gt;=AB55,FALSE),"Aprendido",""))),"")</f>
        <v/>
      </c>
      <c r="AJ55" s="6178"/>
      <c r="AK55" s="530"/>
      <c r="AL55" s="524"/>
      <c r="AM55" s="588"/>
      <c r="AN55" s="1060">
        <f>AN44+2</f>
        <v>50</v>
      </c>
      <c r="AO55" s="617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79"/>
      <c r="AQ55" s="6179"/>
      <c r="AR55" s="6179"/>
      <c r="AS55" s="6176"/>
      <c r="AT55" s="537" t="s">
        <v>1597</v>
      </c>
      <c r="AU55" s="538">
        <f>AN55</f>
        <v>50</v>
      </c>
      <c r="AV55" s="6173" t="s">
        <v>6888</v>
      </c>
      <c r="AW55" s="6173"/>
      <c r="AX55" s="6173"/>
      <c r="AY55" s="6161" t="str">
        <f>IF(AO55=0,"",VLOOKUP(AO55,'Tablas Magia'!$D$6:$Z$680,2,FALSE))</f>
        <v>Agua</v>
      </c>
      <c r="AZ55" s="6161"/>
      <c r="BA55" s="2428"/>
      <c r="BB55" s="6177" t="str">
        <f>IFERROR(IF(AY55="Libre Acceso","Aprendido",IF(IFERROR(VLOOKUP(AY55,Místicos!$C$15:$H$25,6,0)&gt;=AU55,FALSE),"Aprendido",IF(IFERROR(VLOOKUP(AY55,Místicos!$E$15:$H$25,4,0)&gt;=AU55,FALSE),"Aprendido",""))),"")</f>
        <v/>
      </c>
      <c r="BC55" s="6178"/>
      <c r="BD55" s="530"/>
      <c r="BE55" s="524"/>
      <c r="BF55" s="524"/>
      <c r="BG55" s="1060">
        <f>BG44+2</f>
        <v>70</v>
      </c>
      <c r="BH55" s="617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79"/>
      <c r="BJ55" s="6179"/>
      <c r="BK55" s="6179"/>
      <c r="BL55" s="6176"/>
      <c r="BM55" s="537" t="s">
        <v>1597</v>
      </c>
      <c r="BN55" s="538">
        <f>BG55</f>
        <v>70</v>
      </c>
      <c r="BO55" s="6173" t="s">
        <v>6888</v>
      </c>
      <c r="BP55" s="6173"/>
      <c r="BQ55" s="6173"/>
      <c r="BR55" s="6161" t="str">
        <f>IF(BH55=0,"",VLOOKUP(BH55,'Tablas Magia'!$D$6:$Z$680,2,FALSE))</f>
        <v>Agua</v>
      </c>
      <c r="BS55" s="6161"/>
      <c r="BT55" s="2428"/>
      <c r="BU55" s="6177" t="str">
        <f>IFERROR(IF(BR55="Libre Acceso","Aprendido",IF(IFERROR(VLOOKUP(BR55,Místicos!$C$15:$H$25,6,0)&gt;=BN55,FALSE),"Aprendido",IF(IFERROR(VLOOKUP(BR55,Místicos!$E$15:$H$25,4,0)&gt;=BN55,FALSE),"Aprendido",""))),"")</f>
        <v/>
      </c>
      <c r="BV55" s="6178"/>
      <c r="BW55" s="530"/>
      <c r="BX55" s="524"/>
      <c r="BY55" s="524"/>
      <c r="BZ55" s="1060">
        <f>BZ44+2</f>
        <v>90</v>
      </c>
      <c r="CA55" s="617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79"/>
      <c r="CC55" s="6179"/>
      <c r="CD55" s="6179"/>
      <c r="CE55" s="6176"/>
      <c r="CF55" s="537" t="s">
        <v>1597</v>
      </c>
      <c r="CG55" s="538">
        <f>BZ55</f>
        <v>90</v>
      </c>
      <c r="CH55" s="6173" t="s">
        <v>6888</v>
      </c>
      <c r="CI55" s="6173"/>
      <c r="CJ55" s="6173"/>
      <c r="CK55" s="6161" t="str">
        <f>IF(CA55=0,"",VLOOKUP(CA55,'Tablas Magia'!$D$6:$Z$680,2,FALSE))</f>
        <v>Agua</v>
      </c>
      <c r="CL55" s="6161"/>
      <c r="CM55" s="2428"/>
      <c r="CN55" s="6177" t="str">
        <f>IFERROR(IF(CK55="Libre Acceso","Aprendido",IF(IFERROR(VLOOKUP(CK55,Místicos!$C$15:$H$25,6,0)&gt;=CG55,FALSE),"Aprendido",IF(IFERROR(VLOOKUP(CK55,Místicos!$E$15:$H$25,4,0)&gt;=CG55,FALSE),"Aprendido",""))),"")</f>
        <v/>
      </c>
      <c r="CO55" s="6178"/>
      <c r="CP55" s="530"/>
      <c r="CQ55" s="524"/>
    </row>
    <row r="56" spans="1:95" ht="12" customHeight="1" x14ac:dyDescent="0.2">
      <c r="A56" s="524"/>
      <c r="B56" s="1060"/>
      <c r="C56" s="6156" t="s">
        <v>6889</v>
      </c>
      <c r="D56" s="6172"/>
      <c r="E56" s="2452" t="s">
        <v>6890</v>
      </c>
      <c r="F56" s="2452" t="s">
        <v>1783</v>
      </c>
      <c r="G56" s="2452" t="s">
        <v>3227</v>
      </c>
      <c r="H56" s="2453" t="s">
        <v>2121</v>
      </c>
      <c r="I56" s="6170" t="str">
        <f>IF(C55=0,"",VLOOKUP(C55,'Tablas Magia'!$D$6:$Z$680,5,FALSE))</f>
        <v>Efecto</v>
      </c>
      <c r="J56" s="6170"/>
      <c r="K56" s="6171" t="s">
        <v>6891</v>
      </c>
      <c r="L56" s="6171"/>
      <c r="M56" s="6170" t="str">
        <f>IF(C55=0,"",VLOOKUP(C55,'Tablas Magia'!$D$6:$Z$680,6,FALSE))</f>
        <v>Activa</v>
      </c>
      <c r="N56" s="6170"/>
      <c r="O56" s="6169" t="s">
        <v>6892</v>
      </c>
      <c r="P56" s="6169"/>
      <c r="Q56" s="2454" t="str">
        <f>IF(C55=0,"",VLOOKUP(C55,'Tablas Magia'!$D$6:$Z$680,4,FALSE))</f>
        <v>Si</v>
      </c>
      <c r="R56" s="530"/>
      <c r="S56" s="524"/>
      <c r="T56" s="524"/>
      <c r="U56" s="1060"/>
      <c r="V56" s="6156" t="s">
        <v>6889</v>
      </c>
      <c r="W56" s="6172"/>
      <c r="X56" s="2452" t="s">
        <v>6890</v>
      </c>
      <c r="Y56" s="2452" t="s">
        <v>1783</v>
      </c>
      <c r="Z56" s="2452" t="s">
        <v>3227</v>
      </c>
      <c r="AA56" s="2453" t="s">
        <v>2121</v>
      </c>
      <c r="AB56" s="6170" t="str">
        <f>IF(V55=0,"",VLOOKUP(V55,'Tablas Magia'!$D$6:$Z$680,5,FALSE))</f>
        <v>Animico</v>
      </c>
      <c r="AC56" s="6170"/>
      <c r="AD56" s="6171" t="s">
        <v>6891</v>
      </c>
      <c r="AE56" s="6171"/>
      <c r="AF56" s="6170" t="str">
        <f>IF(V55=0,"",VLOOKUP(V55,'Tablas Magia'!$D$6:$Z$680,6,FALSE))</f>
        <v>Activa</v>
      </c>
      <c r="AG56" s="6170"/>
      <c r="AH56" s="6169" t="s">
        <v>6892</v>
      </c>
      <c r="AI56" s="6169"/>
      <c r="AJ56" s="2454" t="str">
        <f>IF(V55=0,"",VLOOKUP(V55,'Tablas Magia'!$D$6:$Z$680,4,FALSE))</f>
        <v>Si</v>
      </c>
      <c r="AK56" s="530"/>
      <c r="AL56" s="524"/>
      <c r="AM56" s="588"/>
      <c r="AN56" s="1060"/>
      <c r="AO56" s="6156" t="s">
        <v>6889</v>
      </c>
      <c r="AP56" s="6172"/>
      <c r="AQ56" s="2452" t="s">
        <v>6890</v>
      </c>
      <c r="AR56" s="2452" t="s">
        <v>1783</v>
      </c>
      <c r="AS56" s="2452" t="s">
        <v>3227</v>
      </c>
      <c r="AT56" s="2453" t="s">
        <v>2121</v>
      </c>
      <c r="AU56" s="6170" t="str">
        <f>IF(AO55=0,"",VLOOKUP(AO55,'Tablas Magia'!$D$6:$Z$680,5,FALSE))</f>
        <v>Animico</v>
      </c>
      <c r="AV56" s="6170"/>
      <c r="AW56" s="6171" t="s">
        <v>6891</v>
      </c>
      <c r="AX56" s="6171"/>
      <c r="AY56" s="6170" t="str">
        <f>IF(AO55=0,"",VLOOKUP(AO55,'Tablas Magia'!$D$6:$Z$680,6,FALSE))</f>
        <v>Activa</v>
      </c>
      <c r="AZ56" s="6170"/>
      <c r="BA56" s="6169" t="s">
        <v>6892</v>
      </c>
      <c r="BB56" s="6169"/>
      <c r="BC56" s="2454" t="str">
        <f>IF(AO55=0,"",VLOOKUP(AO55,'Tablas Magia'!$D$6:$Z$680,4,FALSE))</f>
        <v>No</v>
      </c>
      <c r="BD56" s="530"/>
      <c r="BE56" s="524"/>
      <c r="BF56" s="524"/>
      <c r="BG56" s="1060"/>
      <c r="BH56" s="6156" t="s">
        <v>6889</v>
      </c>
      <c r="BI56" s="6172"/>
      <c r="BJ56" s="2452" t="s">
        <v>6890</v>
      </c>
      <c r="BK56" s="2452" t="s">
        <v>1783</v>
      </c>
      <c r="BL56" s="2452" t="s">
        <v>3227</v>
      </c>
      <c r="BM56" s="2453" t="s">
        <v>2121</v>
      </c>
      <c r="BN56" s="6170" t="str">
        <f>IF(BH55=0,"",VLOOKUP(BH55,'Tablas Magia'!$D$6:$Z$680,5,FALSE))</f>
        <v>Efecto</v>
      </c>
      <c r="BO56" s="6170"/>
      <c r="BP56" s="6171" t="s">
        <v>6891</v>
      </c>
      <c r="BQ56" s="6171"/>
      <c r="BR56" s="6170" t="str">
        <f>IF(BH55=0,"",VLOOKUP(BH55,'Tablas Magia'!$D$6:$Z$680,6,FALSE))</f>
        <v>Activa</v>
      </c>
      <c r="BS56" s="6170"/>
      <c r="BT56" s="6169" t="s">
        <v>6892</v>
      </c>
      <c r="BU56" s="6169"/>
      <c r="BV56" s="2454" t="str">
        <f>IF(BH55=0,"",VLOOKUP(BH55,'Tablas Magia'!$D$6:$Z$680,4,FALSE))</f>
        <v>Si</v>
      </c>
      <c r="BW56" s="530"/>
      <c r="BX56" s="524"/>
      <c r="BY56" s="524"/>
      <c r="BZ56" s="1060"/>
      <c r="CA56" s="6156" t="s">
        <v>6889</v>
      </c>
      <c r="CB56" s="6172"/>
      <c r="CC56" s="2452" t="s">
        <v>6890</v>
      </c>
      <c r="CD56" s="2452" t="s">
        <v>1783</v>
      </c>
      <c r="CE56" s="2452" t="s">
        <v>3227</v>
      </c>
      <c r="CF56" s="2453" t="s">
        <v>2121</v>
      </c>
      <c r="CG56" s="6170" t="str">
        <f>IF(CA55=0,"",VLOOKUP(CA55,'Tablas Magia'!$D$6:$Z$680,5,FALSE))</f>
        <v>Efecto</v>
      </c>
      <c r="CH56" s="6170"/>
      <c r="CI56" s="6171" t="s">
        <v>6891</v>
      </c>
      <c r="CJ56" s="6171"/>
      <c r="CK56" s="6170" t="str">
        <f>IF(CA55=0,"",VLOOKUP(CA55,'Tablas Magia'!$D$6:$Z$680,6,FALSE))</f>
        <v>Activa</v>
      </c>
      <c r="CL56" s="6170"/>
      <c r="CM56" s="6169" t="s">
        <v>6892</v>
      </c>
      <c r="CN56" s="6169"/>
      <c r="CO56" s="2454" t="str">
        <f>IF(CA55=0,"",VLOOKUP(CA55,'Tablas Magia'!$D$6:$Z$680,4,FALSE))</f>
        <v>Si</v>
      </c>
      <c r="CP56" s="530"/>
      <c r="CQ56" s="524"/>
    </row>
    <row r="57" spans="1:95" ht="12" customHeight="1" x14ac:dyDescent="0.2">
      <c r="A57" s="524"/>
      <c r="B57" s="1060"/>
      <c r="C57" s="6183" t="s">
        <v>1638</v>
      </c>
      <c r="D57" s="6184"/>
      <c r="E57" s="542">
        <f>IF(C55=0,"",VLOOKUP(C55,'Tablas Magia'!$D$6:$Z$680,7,FALSE))</f>
        <v>5</v>
      </c>
      <c r="F57" s="542">
        <f>IF(C55=0,"",VLOOKUP(C55,'Tablas Magia'!$D$6:$Z$680,11,FALSE))</f>
        <v>50</v>
      </c>
      <c r="G57" s="543">
        <f>IF(C55=0,"",VLOOKUP(C55,'Tablas Magia'!$D$6:$Z$680,15,FALSE))</f>
        <v>10</v>
      </c>
      <c r="H57" s="6180" t="str">
        <f>IF(C55=0,"",VLOOKUP(C55,'Tablas Magia'!$D$6:$Z$680,19,FALSE))</f>
        <v>Presencia máxima 50.</v>
      </c>
      <c r="I57" s="6181"/>
      <c r="J57" s="6181"/>
      <c r="K57" s="6181"/>
      <c r="L57" s="6181"/>
      <c r="M57" s="6181"/>
      <c r="N57" s="6181"/>
      <c r="O57" s="6181"/>
      <c r="P57" s="6181"/>
      <c r="Q57" s="6182"/>
      <c r="R57" s="530"/>
      <c r="S57" s="524"/>
      <c r="T57" s="524"/>
      <c r="U57" s="1060"/>
      <c r="V57" s="6183" t="s">
        <v>1638</v>
      </c>
      <c r="W57" s="6184"/>
      <c r="X57" s="542">
        <f>IF(V55=0,"",VLOOKUP(V55,'Tablas Magia'!$D$6:$Z$680,7,FALSE))</f>
        <v>6</v>
      </c>
      <c r="Y57" s="542">
        <f>IF(V55=0,"",VLOOKUP(V55,'Tablas Magia'!$D$6:$Z$680,11,FALSE))</f>
        <v>50</v>
      </c>
      <c r="Z57" s="543">
        <f>IF(V55=0,"",VLOOKUP(V55,'Tablas Magia'!$D$6:$Z$680,15,FALSE))</f>
        <v>5</v>
      </c>
      <c r="AA57" s="6180" t="str">
        <f>IF(V55=0,"",VLOOKUP(V55,'Tablas Magia'!$D$6:$Z$680,19,FALSE))</f>
        <v>RM 100 / 5 intensidades.</v>
      </c>
      <c r="AB57" s="6181"/>
      <c r="AC57" s="6181"/>
      <c r="AD57" s="6181"/>
      <c r="AE57" s="6181"/>
      <c r="AF57" s="6181"/>
      <c r="AG57" s="6181"/>
      <c r="AH57" s="6181"/>
      <c r="AI57" s="6181"/>
      <c r="AJ57" s="6182"/>
      <c r="AK57" s="530"/>
      <c r="AL57" s="524"/>
      <c r="AM57" s="588"/>
      <c r="AN57" s="1060"/>
      <c r="AO57" s="6183" t="s">
        <v>1638</v>
      </c>
      <c r="AP57" s="6184"/>
      <c r="AQ57" s="542">
        <f>IF(AO55=0,"",VLOOKUP(AO55,'Tablas Magia'!$D$6:$Z$680,7,FALSE))</f>
        <v>7</v>
      </c>
      <c r="AR57" s="542">
        <f>IF(AO55=0,"",VLOOKUP(AO55,'Tablas Magia'!$D$6:$Z$680,11,FALSE))</f>
        <v>80</v>
      </c>
      <c r="AS57" s="543">
        <f>IF(AO55=0,"",VLOOKUP(AO55,'Tablas Magia'!$D$6:$Z$680,15,FALSE))</f>
        <v>5</v>
      </c>
      <c r="AT57" s="6180" t="str">
        <f>IF(AO55=0,"",VLOOKUP(AO55,'Tablas Magia'!$D$6:$Z$680,19,FALSE))</f>
        <v>RM 80.</v>
      </c>
      <c r="AU57" s="6181"/>
      <c r="AV57" s="6181"/>
      <c r="AW57" s="6181"/>
      <c r="AX57" s="6181"/>
      <c r="AY57" s="6181"/>
      <c r="AZ57" s="6181"/>
      <c r="BA57" s="6181"/>
      <c r="BB57" s="6181"/>
      <c r="BC57" s="6182"/>
      <c r="BD57" s="530"/>
      <c r="BE57" s="524"/>
      <c r="BF57" s="524"/>
      <c r="BG57" s="1060"/>
      <c r="BH57" s="6183" t="s">
        <v>1638</v>
      </c>
      <c r="BI57" s="6184"/>
      <c r="BJ57" s="542">
        <f>IF(BH55=0,"",VLOOKUP(BH55,'Tablas Magia'!$D$6:$Z$680,7,FALSE))</f>
        <v>10</v>
      </c>
      <c r="BK57" s="542">
        <f>IF(BH55=0,"",VLOOKUP(BH55,'Tablas Magia'!$D$6:$Z$680,11,FALSE))</f>
        <v>200</v>
      </c>
      <c r="BL57" s="543">
        <f>IF(BH55=0,"",VLOOKUP(BH55,'Tablas Magia'!$D$6:$Z$680,15,FALSE))</f>
        <v>40</v>
      </c>
      <c r="BM57" s="6180" t="str">
        <f>IF(BH55=0,"",VLOOKUP(BH55,'Tablas Magia'!$D$6:$Z$680,19,FALSE))</f>
        <v>1 Kilómetro de radio.</v>
      </c>
      <c r="BN57" s="6181"/>
      <c r="BO57" s="6181"/>
      <c r="BP57" s="6181"/>
      <c r="BQ57" s="6181"/>
      <c r="BR57" s="6181"/>
      <c r="BS57" s="6181"/>
      <c r="BT57" s="6181"/>
      <c r="BU57" s="6181"/>
      <c r="BV57" s="6182"/>
      <c r="BW57" s="530"/>
      <c r="BX57" s="524"/>
      <c r="BY57" s="524"/>
      <c r="BZ57" s="1060"/>
      <c r="CA57" s="6183" t="s">
        <v>1638</v>
      </c>
      <c r="CB57" s="6184"/>
      <c r="CC57" s="542">
        <f>IF(CA55=0,"",VLOOKUP(CA55,'Tablas Magia'!$D$6:$Z$680,7,FALSE))</f>
        <v>9</v>
      </c>
      <c r="CD57" s="542">
        <f>IF(CA55=0,"",VLOOKUP(CA55,'Tablas Magia'!$D$6:$Z$680,11,FALSE))</f>
        <v>300</v>
      </c>
      <c r="CE57" s="543">
        <f>IF(CA55=0,"",VLOOKUP(CA55,'Tablas Magia'!$D$6:$Z$680,15,FALSE))</f>
        <v>30</v>
      </c>
      <c r="CF57" s="6180" t="str">
        <f>IF(CA55=0,"",VLOOKUP(CA55,'Tablas Magia'!$D$6:$Z$680,19,FALSE))</f>
        <v>500 metros de radio máximo.</v>
      </c>
      <c r="CG57" s="6181"/>
      <c r="CH57" s="6181"/>
      <c r="CI57" s="6181"/>
      <c r="CJ57" s="6181"/>
      <c r="CK57" s="6181"/>
      <c r="CL57" s="6181"/>
      <c r="CM57" s="6181"/>
      <c r="CN57" s="6181"/>
      <c r="CO57" s="6182"/>
      <c r="CP57" s="530"/>
      <c r="CQ57" s="524"/>
    </row>
    <row r="58" spans="1:95" ht="12" customHeight="1" x14ac:dyDescent="0.2">
      <c r="A58" s="524"/>
      <c r="B58" s="1060"/>
      <c r="C58" s="6137" t="s">
        <v>3777</v>
      </c>
      <c r="D58" s="6138"/>
      <c r="E58" s="544">
        <f>IF(C55=0,"",VLOOKUP(C55,'Tablas Magia'!$D$6:$Z$680,8,FALSE))</f>
        <v>8</v>
      </c>
      <c r="F58" s="544">
        <f>IF(C55=0,"",VLOOKUP(C55,'Tablas Magia'!$D$6:$Z$680,12,FALSE))</f>
        <v>70</v>
      </c>
      <c r="G58" s="545">
        <f>IF(C55=0,"",VLOOKUP(C55,'Tablas Magia'!$D$6:$Z$680,16,FALSE))</f>
        <v>20</v>
      </c>
      <c r="H58" s="6139" t="str">
        <f>IF(C55=0,"",VLOOKUP(C55,'Tablas Magia'!$D$6:$Z$680,20,FALSE))</f>
        <v>Presencia máxima 100.</v>
      </c>
      <c r="I58" s="6140"/>
      <c r="J58" s="6140"/>
      <c r="K58" s="6140"/>
      <c r="L58" s="6140"/>
      <c r="M58" s="6140"/>
      <c r="N58" s="6140"/>
      <c r="O58" s="6140"/>
      <c r="P58" s="6140"/>
      <c r="Q58" s="6141"/>
      <c r="R58" s="530"/>
      <c r="S58" s="524"/>
      <c r="T58" s="524"/>
      <c r="U58" s="1060"/>
      <c r="V58" s="6137" t="s">
        <v>3777</v>
      </c>
      <c r="W58" s="6138"/>
      <c r="X58" s="544">
        <f>IF(V55=0,"",VLOOKUP(V55,'Tablas Magia'!$D$6:$Z$680,8,FALSE))</f>
        <v>9</v>
      </c>
      <c r="Y58" s="544">
        <f>IF(V55=0,"",VLOOKUP(V55,'Tablas Magia'!$D$6:$Z$680,12,FALSE))</f>
        <v>80</v>
      </c>
      <c r="Z58" s="545">
        <f>IF(V55=0,"",VLOOKUP(V55,'Tablas Magia'!$D$6:$Z$680,16,FALSE))</f>
        <v>10</v>
      </c>
      <c r="AA58" s="6139" t="str">
        <f>IF(V55=0,"",VLOOKUP(V55,'Tablas Magia'!$D$6:$Z$680,20,FALSE))</f>
        <v>RM 120 / 8 intensidades.</v>
      </c>
      <c r="AB58" s="6140"/>
      <c r="AC58" s="6140"/>
      <c r="AD58" s="6140"/>
      <c r="AE58" s="6140"/>
      <c r="AF58" s="6140"/>
      <c r="AG58" s="6140"/>
      <c r="AH58" s="6140"/>
      <c r="AI58" s="6140"/>
      <c r="AJ58" s="6141"/>
      <c r="AK58" s="530"/>
      <c r="AL58" s="524"/>
      <c r="AM58" s="588"/>
      <c r="AN58" s="1060"/>
      <c r="AO58" s="6137" t="s">
        <v>3777</v>
      </c>
      <c r="AP58" s="6138"/>
      <c r="AQ58" s="544">
        <f>IF(AO55=0,"",VLOOKUP(AO55,'Tablas Magia'!$D$6:$Z$680,8,FALSE))</f>
        <v>10</v>
      </c>
      <c r="AR58" s="544">
        <f>IF(AO55=0,"",VLOOKUP(AO55,'Tablas Magia'!$D$6:$Z$680,12,FALSE))</f>
        <v>160</v>
      </c>
      <c r="AS58" s="545">
        <f>IF(AO55=0,"",VLOOKUP(AO55,'Tablas Magia'!$D$6:$Z$680,16,FALSE))</f>
        <v>10</v>
      </c>
      <c r="AT58" s="6139" t="str">
        <f>IF(AO55=0,"",VLOOKUP(AO55,'Tablas Magia'!$D$6:$Z$680,20,FALSE))</f>
        <v>RM 130.</v>
      </c>
      <c r="AU58" s="6140"/>
      <c r="AV58" s="6140"/>
      <c r="AW58" s="6140"/>
      <c r="AX58" s="6140"/>
      <c r="AY58" s="6140"/>
      <c r="AZ58" s="6140"/>
      <c r="BA58" s="6140"/>
      <c r="BB58" s="6140"/>
      <c r="BC58" s="6141"/>
      <c r="BD58" s="530"/>
      <c r="BE58" s="524"/>
      <c r="BF58" s="524"/>
      <c r="BG58" s="1060"/>
      <c r="BH58" s="6137" t="s">
        <v>3777</v>
      </c>
      <c r="BI58" s="6138"/>
      <c r="BJ58" s="544">
        <f>IF(BH55=0,"",VLOOKUP(BH55,'Tablas Magia'!$D$6:$Z$680,8,FALSE))</f>
        <v>12</v>
      </c>
      <c r="BK58" s="544">
        <f>IF(BH55=0,"",VLOOKUP(BH55,'Tablas Magia'!$D$6:$Z$680,12,FALSE))</f>
        <v>300</v>
      </c>
      <c r="BL58" s="545">
        <f>IF(BH55=0,"",VLOOKUP(BH55,'Tablas Magia'!$D$6:$Z$680,16,FALSE))</f>
        <v>60</v>
      </c>
      <c r="BM58" s="6139" t="str">
        <f>IF(BH55=0,"",VLOOKUP(BH55,'Tablas Magia'!$D$6:$Z$680,20,FALSE))</f>
        <v>3 Kilómetros de radio.</v>
      </c>
      <c r="BN58" s="6140"/>
      <c r="BO58" s="6140"/>
      <c r="BP58" s="6140"/>
      <c r="BQ58" s="6140"/>
      <c r="BR58" s="6140"/>
      <c r="BS58" s="6140"/>
      <c r="BT58" s="6140"/>
      <c r="BU58" s="6140"/>
      <c r="BV58" s="6141"/>
      <c r="BW58" s="530"/>
      <c r="BX58" s="524"/>
      <c r="BY58" s="524"/>
      <c r="BZ58" s="1060"/>
      <c r="CA58" s="6137" t="s">
        <v>3777</v>
      </c>
      <c r="CB58" s="6138"/>
      <c r="CC58" s="544">
        <f>IF(CA55=0,"",VLOOKUP(CA55,'Tablas Magia'!$D$6:$Z$680,8,FALSE))</f>
        <v>12</v>
      </c>
      <c r="CD58" s="544">
        <f>IF(CA55=0,"",VLOOKUP(CA55,'Tablas Magia'!$D$6:$Z$680,12,FALSE))</f>
        <v>480</v>
      </c>
      <c r="CE58" s="545">
        <f>IF(CA55=0,"",VLOOKUP(CA55,'Tablas Magia'!$D$6:$Z$680,16,FALSE))</f>
        <v>50</v>
      </c>
      <c r="CF58" s="6139" t="str">
        <f>IF(CA55=0,"",VLOOKUP(CA55,'Tablas Magia'!$D$6:$Z$680,20,FALSE))</f>
        <v>2 kilómetros de radio máximo.</v>
      </c>
      <c r="CG58" s="6140"/>
      <c r="CH58" s="6140"/>
      <c r="CI58" s="6140"/>
      <c r="CJ58" s="6140"/>
      <c r="CK58" s="6140"/>
      <c r="CL58" s="6140"/>
      <c r="CM58" s="6140"/>
      <c r="CN58" s="6140"/>
      <c r="CO58" s="6141"/>
      <c r="CP58" s="530"/>
      <c r="CQ58" s="524"/>
    </row>
    <row r="59" spans="1:95" ht="12" customHeight="1" x14ac:dyDescent="0.2">
      <c r="A59" s="524"/>
      <c r="B59" s="1060"/>
      <c r="C59" s="6132" t="s">
        <v>3778</v>
      </c>
      <c r="D59" s="6133"/>
      <c r="E59" s="542">
        <f>IF(C55=0,"",VLOOKUP(C55,'Tablas Magia'!$D$6:$Z$680,9,FALSE))</f>
        <v>10</v>
      </c>
      <c r="F59" s="542">
        <f>IF(C55=0,"",VLOOKUP(C55,'Tablas Magia'!$D$6:$Z$680,13,FALSE))</f>
        <v>100</v>
      </c>
      <c r="G59" s="543">
        <f>IF(C55=0,"",VLOOKUP(C55,'Tablas Magia'!$D$6:$Z$680,17,FALSE))</f>
        <v>20</v>
      </c>
      <c r="H59" s="6134" t="str">
        <f>IF(C55=0,"",VLOOKUP(C55,'Tablas Magia'!$D$6:$Z$680,21,FALSE))</f>
        <v>Presencia máxima 200.</v>
      </c>
      <c r="I59" s="6135"/>
      <c r="J59" s="6135"/>
      <c r="K59" s="6135"/>
      <c r="L59" s="6135"/>
      <c r="M59" s="6135"/>
      <c r="N59" s="6135"/>
      <c r="O59" s="6135"/>
      <c r="P59" s="6135"/>
      <c r="Q59" s="6136"/>
      <c r="R59" s="530"/>
      <c r="S59" s="524"/>
      <c r="T59" s="524"/>
      <c r="U59" s="1060"/>
      <c r="V59" s="6132" t="s">
        <v>3778</v>
      </c>
      <c r="W59" s="6133"/>
      <c r="X59" s="542">
        <f>IF(V55=0,"",VLOOKUP(V55,'Tablas Magia'!$D$6:$Z$680,9,FALSE))</f>
        <v>12</v>
      </c>
      <c r="Y59" s="542">
        <f>IF(V55=0,"",VLOOKUP(V55,'Tablas Magia'!$D$6:$Z$680,13,FALSE))</f>
        <v>120</v>
      </c>
      <c r="Z59" s="543">
        <f>IF(V55=0,"",VLOOKUP(V55,'Tablas Magia'!$D$6:$Z$680,17,FALSE))</f>
        <v>15</v>
      </c>
      <c r="AA59" s="6134" t="str">
        <f>IF(V55=0,"",VLOOKUP(V55,'Tablas Magia'!$D$6:$Z$680,21,FALSE))</f>
        <v>RM 140 / 12 intensidades.</v>
      </c>
      <c r="AB59" s="6135"/>
      <c r="AC59" s="6135"/>
      <c r="AD59" s="6135"/>
      <c r="AE59" s="6135"/>
      <c r="AF59" s="6135"/>
      <c r="AG59" s="6135"/>
      <c r="AH59" s="6135"/>
      <c r="AI59" s="6135"/>
      <c r="AJ59" s="6136"/>
      <c r="AK59" s="530"/>
      <c r="AL59" s="524"/>
      <c r="AM59" s="588"/>
      <c r="AN59" s="1060"/>
      <c r="AO59" s="6132" t="s">
        <v>3778</v>
      </c>
      <c r="AP59" s="6133"/>
      <c r="AQ59" s="542">
        <f>IF(AO55=0,"",VLOOKUP(AO55,'Tablas Magia'!$D$6:$Z$680,9,FALSE))</f>
        <v>13</v>
      </c>
      <c r="AR59" s="542">
        <f>IF(AO55=0,"",VLOOKUP(AO55,'Tablas Magia'!$D$6:$Z$680,13,FALSE))</f>
        <v>240</v>
      </c>
      <c r="AS59" s="543">
        <f>IF(AO55=0,"",VLOOKUP(AO55,'Tablas Magia'!$D$6:$Z$680,17,FALSE))</f>
        <v>15</v>
      </c>
      <c r="AT59" s="6134" t="str">
        <f>IF(AO55=0,"",VLOOKUP(AO55,'Tablas Magia'!$D$6:$Z$680,21,FALSE))</f>
        <v>RM 160.</v>
      </c>
      <c r="AU59" s="6135"/>
      <c r="AV59" s="6135"/>
      <c r="AW59" s="6135"/>
      <c r="AX59" s="6135"/>
      <c r="AY59" s="6135"/>
      <c r="AZ59" s="6135"/>
      <c r="BA59" s="6135"/>
      <c r="BB59" s="6135"/>
      <c r="BC59" s="6136"/>
      <c r="BD59" s="530"/>
      <c r="BE59" s="524"/>
      <c r="BF59" s="524"/>
      <c r="BG59" s="1060"/>
      <c r="BH59" s="6132" t="s">
        <v>3778</v>
      </c>
      <c r="BI59" s="6133"/>
      <c r="BJ59" s="542">
        <f>IF(BH55=0,"",VLOOKUP(BH55,'Tablas Magia'!$D$6:$Z$680,9,FALSE))</f>
        <v>14</v>
      </c>
      <c r="BK59" s="542">
        <f>IF(BH55=0,"",VLOOKUP(BH55,'Tablas Magia'!$D$6:$Z$680,13,FALSE))</f>
        <v>400</v>
      </c>
      <c r="BL59" s="543">
        <f>IF(BH55=0,"",VLOOKUP(BH55,'Tablas Magia'!$D$6:$Z$680,17,FALSE))</f>
        <v>80</v>
      </c>
      <c r="BM59" s="6134" t="str">
        <f>IF(BH55=0,"",VLOOKUP(BH55,'Tablas Magia'!$D$6:$Z$680,21,FALSE))</f>
        <v>5 Kilómetros de radio.</v>
      </c>
      <c r="BN59" s="6135"/>
      <c r="BO59" s="6135"/>
      <c r="BP59" s="6135"/>
      <c r="BQ59" s="6135"/>
      <c r="BR59" s="6135"/>
      <c r="BS59" s="6135"/>
      <c r="BT59" s="6135"/>
      <c r="BU59" s="6135"/>
      <c r="BV59" s="6136"/>
      <c r="BW59" s="530"/>
      <c r="BX59" s="524"/>
      <c r="BY59" s="524"/>
      <c r="BZ59" s="1060"/>
      <c r="CA59" s="6132" t="s">
        <v>3778</v>
      </c>
      <c r="CB59" s="6133"/>
      <c r="CC59" s="542">
        <f>IF(CA55=0,"",VLOOKUP(CA55,'Tablas Magia'!$D$6:$Z$680,9,FALSE))</f>
        <v>15</v>
      </c>
      <c r="CD59" s="542">
        <f>IF(CA55=0,"",VLOOKUP(CA55,'Tablas Magia'!$D$6:$Z$680,13,FALSE))</f>
        <v>600</v>
      </c>
      <c r="CE59" s="543">
        <f>IF(CA55=0,"",VLOOKUP(CA55,'Tablas Magia'!$D$6:$Z$680,17,FALSE))</f>
        <v>60</v>
      </c>
      <c r="CF59" s="6134" t="str">
        <f>IF(CA55=0,"",VLOOKUP(CA55,'Tablas Magia'!$D$6:$Z$680,21,FALSE))</f>
        <v>5 kilómetros de radio máximo.</v>
      </c>
      <c r="CG59" s="6135"/>
      <c r="CH59" s="6135"/>
      <c r="CI59" s="6135"/>
      <c r="CJ59" s="6135"/>
      <c r="CK59" s="6135"/>
      <c r="CL59" s="6135"/>
      <c r="CM59" s="6135"/>
      <c r="CN59" s="6135"/>
      <c r="CO59" s="6136"/>
      <c r="CP59" s="530"/>
      <c r="CQ59" s="524"/>
    </row>
    <row r="60" spans="1:95" ht="12" customHeight="1" thickBot="1" x14ac:dyDescent="0.25">
      <c r="A60" s="524"/>
      <c r="B60" s="1060"/>
      <c r="C60" s="6142" t="s">
        <v>3779</v>
      </c>
      <c r="D60" s="6143"/>
      <c r="E60" s="546">
        <f>IF(C55=0,"",VLOOKUP(C55,'Tablas Magia'!$D$6:$Z$680,10,FALSE))</f>
        <v>12</v>
      </c>
      <c r="F60" s="546">
        <f>IF(C55=0,"",VLOOKUP(C55,'Tablas Magia'!$D$6:$Z$680,14,FALSE))</f>
        <v>140</v>
      </c>
      <c r="G60" s="547">
        <f>IF(C55=0,"",VLOOKUP(C55,'Tablas Magia'!$D$6:$Z$680,18,FALSE))</f>
        <v>25</v>
      </c>
      <c r="H60" s="6144" t="str">
        <f>IF(C55=0,"",VLOOKUP(C55,'Tablas Magia'!$D$6:$Z$680,22,FALSE))</f>
        <v>Presencia máxima 350.</v>
      </c>
      <c r="I60" s="6145"/>
      <c r="J60" s="6145"/>
      <c r="K60" s="6145"/>
      <c r="L60" s="6145"/>
      <c r="M60" s="6145"/>
      <c r="N60" s="6145"/>
      <c r="O60" s="6145"/>
      <c r="P60" s="6145"/>
      <c r="Q60" s="6146"/>
      <c r="R60" s="530"/>
      <c r="S60" s="524"/>
      <c r="T60" s="524"/>
      <c r="U60" s="1060"/>
      <c r="V60" s="6142" t="s">
        <v>3779</v>
      </c>
      <c r="W60" s="6143"/>
      <c r="X60" s="546">
        <f>IF(V55=0,"",VLOOKUP(V55,'Tablas Magia'!$D$6:$Z$680,10,FALSE))</f>
        <v>15</v>
      </c>
      <c r="Y60" s="546">
        <f>IF(V55=0,"",VLOOKUP(V55,'Tablas Magia'!$D$6:$Z$680,14,FALSE))</f>
        <v>180</v>
      </c>
      <c r="Z60" s="547">
        <f>IF(V55=0,"",VLOOKUP(V55,'Tablas Magia'!$D$6:$Z$680,18,FALSE))</f>
        <v>20</v>
      </c>
      <c r="AA60" s="6144" t="str">
        <f>IF(V55=0,"",VLOOKUP(V55,'Tablas Magia'!$D$6:$Z$680,22,FALSE))</f>
        <v>RM 180 / 15 intensidades.</v>
      </c>
      <c r="AB60" s="6145"/>
      <c r="AC60" s="6145"/>
      <c r="AD60" s="6145"/>
      <c r="AE60" s="6145"/>
      <c r="AF60" s="6145"/>
      <c r="AG60" s="6145"/>
      <c r="AH60" s="6145"/>
      <c r="AI60" s="6145"/>
      <c r="AJ60" s="6146"/>
      <c r="AK60" s="530"/>
      <c r="AL60" s="524"/>
      <c r="AM60" s="588"/>
      <c r="AN60" s="1060"/>
      <c r="AO60" s="6142" t="s">
        <v>3779</v>
      </c>
      <c r="AP60" s="6143"/>
      <c r="AQ60" s="546">
        <f>IF(AO55=0,"",VLOOKUP(AO55,'Tablas Magia'!$D$6:$Z$680,10,FALSE))</f>
        <v>15</v>
      </c>
      <c r="AR60" s="546">
        <f>IF(AO55=0,"",VLOOKUP(AO55,'Tablas Magia'!$D$6:$Z$680,14,FALSE))</f>
        <v>350</v>
      </c>
      <c r="AS60" s="547">
        <f>IF(AO55=0,"",VLOOKUP(AO55,'Tablas Magia'!$D$6:$Z$680,18,FALSE))</f>
        <v>20</v>
      </c>
      <c r="AT60" s="6144" t="str">
        <f>IF(AO55=0,"",VLOOKUP(AO55,'Tablas Magia'!$D$6:$Z$680,22,FALSE))</f>
        <v>RM 200.</v>
      </c>
      <c r="AU60" s="6145"/>
      <c r="AV60" s="6145"/>
      <c r="AW60" s="6145"/>
      <c r="AX60" s="6145"/>
      <c r="AY60" s="6145"/>
      <c r="AZ60" s="6145"/>
      <c r="BA60" s="6145"/>
      <c r="BB60" s="6145"/>
      <c r="BC60" s="6146"/>
      <c r="BD60" s="530"/>
      <c r="BE60" s="524"/>
      <c r="BF60" s="524"/>
      <c r="BG60" s="1060"/>
      <c r="BH60" s="6142" t="s">
        <v>3779</v>
      </c>
      <c r="BI60" s="6143"/>
      <c r="BJ60" s="546">
        <f>IF(BH55=0,"",VLOOKUP(BH55,'Tablas Magia'!$D$6:$Z$680,10,FALSE))</f>
        <v>16</v>
      </c>
      <c r="BK60" s="546">
        <f>IF(BH55=0,"",VLOOKUP(BH55,'Tablas Magia'!$D$6:$Z$680,14,FALSE))</f>
        <v>500</v>
      </c>
      <c r="BL60" s="547">
        <f>IF(BH55=0,"",VLOOKUP(BH55,'Tablas Magia'!$D$6:$Z$680,18,FALSE))</f>
        <v>100</v>
      </c>
      <c r="BM60" s="6144" t="str">
        <f>IF(BH55=0,"",VLOOKUP(BH55,'Tablas Magia'!$D$6:$Z$680,22,FALSE))</f>
        <v>10 Kilómetros de radio.</v>
      </c>
      <c r="BN60" s="6145"/>
      <c r="BO60" s="6145"/>
      <c r="BP60" s="6145"/>
      <c r="BQ60" s="6145"/>
      <c r="BR60" s="6145"/>
      <c r="BS60" s="6145"/>
      <c r="BT60" s="6145"/>
      <c r="BU60" s="6145"/>
      <c r="BV60" s="6146"/>
      <c r="BW60" s="530"/>
      <c r="BX60" s="524"/>
      <c r="BY60" s="524"/>
      <c r="BZ60" s="1060"/>
      <c r="CA60" s="6142" t="s">
        <v>3779</v>
      </c>
      <c r="CB60" s="6143"/>
      <c r="CC60" s="546">
        <f>IF(CA55=0,"",VLOOKUP(CA55,'Tablas Magia'!$D$6:$Z$680,10,FALSE))</f>
        <v>17</v>
      </c>
      <c r="CD60" s="546">
        <f>IF(CA55=0,"",VLOOKUP(CA55,'Tablas Magia'!$D$6:$Z$680,14,FALSE))</f>
        <v>800</v>
      </c>
      <c r="CE60" s="547">
        <f>IF(CA55=0,"",VLOOKUP(CA55,'Tablas Magia'!$D$6:$Z$680,18,FALSE))</f>
        <v>70</v>
      </c>
      <c r="CF60" s="6144" t="str">
        <f>IF(CA55=0,"",VLOOKUP(CA55,'Tablas Magia'!$D$6:$Z$680,22,FALSE))</f>
        <v>10 kilómetros de radio máximo / Se pueden imitar seres de hasta presencia 30.</v>
      </c>
      <c r="CG60" s="6145"/>
      <c r="CH60" s="6145"/>
      <c r="CI60" s="6145"/>
      <c r="CJ60" s="6145"/>
      <c r="CK60" s="6145"/>
      <c r="CL60" s="6145"/>
      <c r="CM60" s="6145"/>
      <c r="CN60" s="6145"/>
      <c r="CO60" s="6146"/>
      <c r="CP60" s="530"/>
      <c r="CQ60" s="524"/>
    </row>
    <row r="61" spans="1:95" ht="12" customHeight="1" x14ac:dyDescent="0.2">
      <c r="A61" s="524"/>
      <c r="B61" s="1060"/>
      <c r="C61" s="6147"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48"/>
      <c r="E61" s="6148"/>
      <c r="F61" s="6148"/>
      <c r="G61" s="6148"/>
      <c r="H61" s="6148"/>
      <c r="I61" s="6148"/>
      <c r="J61" s="6148"/>
      <c r="K61" s="6148"/>
      <c r="L61" s="6148"/>
      <c r="M61" s="6148"/>
      <c r="N61" s="6148"/>
      <c r="O61" s="6148"/>
      <c r="P61" s="6148"/>
      <c r="Q61" s="6149"/>
      <c r="R61" s="530"/>
      <c r="S61" s="524"/>
      <c r="T61" s="524"/>
      <c r="U61" s="1060"/>
      <c r="V61" s="6147"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48"/>
      <c r="X61" s="6148"/>
      <c r="Y61" s="6148"/>
      <c r="Z61" s="6148"/>
      <c r="AA61" s="6148"/>
      <c r="AB61" s="6148"/>
      <c r="AC61" s="6148"/>
      <c r="AD61" s="6148"/>
      <c r="AE61" s="6148"/>
      <c r="AF61" s="6148"/>
      <c r="AG61" s="6148"/>
      <c r="AH61" s="6148"/>
      <c r="AI61" s="6148"/>
      <c r="AJ61" s="6149"/>
      <c r="AK61" s="530"/>
      <c r="AL61" s="524"/>
      <c r="AM61" s="588"/>
      <c r="AN61" s="1060"/>
      <c r="AO61" s="6147"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48"/>
      <c r="AQ61" s="6148"/>
      <c r="AR61" s="6148"/>
      <c r="AS61" s="6148"/>
      <c r="AT61" s="6148"/>
      <c r="AU61" s="6148"/>
      <c r="AV61" s="6148"/>
      <c r="AW61" s="6148"/>
      <c r="AX61" s="6148"/>
      <c r="AY61" s="6148"/>
      <c r="AZ61" s="6148"/>
      <c r="BA61" s="6148"/>
      <c r="BB61" s="6148"/>
      <c r="BC61" s="6149"/>
      <c r="BD61" s="530"/>
      <c r="BE61" s="524"/>
      <c r="BF61" s="524"/>
      <c r="BG61" s="1060"/>
      <c r="BH61" s="6147"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48"/>
      <c r="BJ61" s="6148"/>
      <c r="BK61" s="6148"/>
      <c r="BL61" s="6148"/>
      <c r="BM61" s="6148"/>
      <c r="BN61" s="6148"/>
      <c r="BO61" s="6148"/>
      <c r="BP61" s="6148"/>
      <c r="BQ61" s="6148"/>
      <c r="BR61" s="6148"/>
      <c r="BS61" s="6148"/>
      <c r="BT61" s="6148"/>
      <c r="BU61" s="6148"/>
      <c r="BV61" s="6149"/>
      <c r="BW61" s="530"/>
      <c r="BX61" s="524"/>
      <c r="BY61" s="524"/>
      <c r="BZ61" s="1060"/>
      <c r="CA61" s="6147"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48"/>
      <c r="CC61" s="6148"/>
      <c r="CD61" s="6148"/>
      <c r="CE61" s="6148"/>
      <c r="CF61" s="6148"/>
      <c r="CG61" s="6148"/>
      <c r="CH61" s="6148"/>
      <c r="CI61" s="6148"/>
      <c r="CJ61" s="6148"/>
      <c r="CK61" s="6148"/>
      <c r="CL61" s="6148"/>
      <c r="CM61" s="6148"/>
      <c r="CN61" s="6148"/>
      <c r="CO61" s="6149"/>
      <c r="CP61" s="530"/>
      <c r="CQ61" s="524"/>
    </row>
    <row r="62" spans="1:95" ht="12" customHeight="1" x14ac:dyDescent="0.2">
      <c r="A62" s="524"/>
      <c r="B62" s="1060"/>
      <c r="C62" s="6150"/>
      <c r="D62" s="6151"/>
      <c r="E62" s="6151"/>
      <c r="F62" s="6151"/>
      <c r="G62" s="6151"/>
      <c r="H62" s="6151"/>
      <c r="I62" s="6151"/>
      <c r="J62" s="6151"/>
      <c r="K62" s="6151"/>
      <c r="L62" s="6151"/>
      <c r="M62" s="6151"/>
      <c r="N62" s="6151"/>
      <c r="O62" s="6151"/>
      <c r="P62" s="6151"/>
      <c r="Q62" s="6152"/>
      <c r="R62" s="530"/>
      <c r="S62" s="524"/>
      <c r="T62" s="524"/>
      <c r="U62" s="1060"/>
      <c r="V62" s="6150"/>
      <c r="W62" s="6151"/>
      <c r="X62" s="6151"/>
      <c r="Y62" s="6151"/>
      <c r="Z62" s="6151"/>
      <c r="AA62" s="6151"/>
      <c r="AB62" s="6151"/>
      <c r="AC62" s="6151"/>
      <c r="AD62" s="6151"/>
      <c r="AE62" s="6151"/>
      <c r="AF62" s="6151"/>
      <c r="AG62" s="6151"/>
      <c r="AH62" s="6151"/>
      <c r="AI62" s="6151"/>
      <c r="AJ62" s="6152"/>
      <c r="AK62" s="530"/>
      <c r="AL62" s="524"/>
      <c r="AM62" s="588"/>
      <c r="AN62" s="1060"/>
      <c r="AO62" s="6150"/>
      <c r="AP62" s="6151"/>
      <c r="AQ62" s="6151"/>
      <c r="AR62" s="6151"/>
      <c r="AS62" s="6151"/>
      <c r="AT62" s="6151"/>
      <c r="AU62" s="6151"/>
      <c r="AV62" s="6151"/>
      <c r="AW62" s="6151"/>
      <c r="AX62" s="6151"/>
      <c r="AY62" s="6151"/>
      <c r="AZ62" s="6151"/>
      <c r="BA62" s="6151"/>
      <c r="BB62" s="6151"/>
      <c r="BC62" s="6152"/>
      <c r="BD62" s="530"/>
      <c r="BE62" s="524"/>
      <c r="BF62" s="524"/>
      <c r="BG62" s="1060"/>
      <c r="BH62" s="6150"/>
      <c r="BI62" s="6151"/>
      <c r="BJ62" s="6151"/>
      <c r="BK62" s="6151"/>
      <c r="BL62" s="6151"/>
      <c r="BM62" s="6151"/>
      <c r="BN62" s="6151"/>
      <c r="BO62" s="6151"/>
      <c r="BP62" s="6151"/>
      <c r="BQ62" s="6151"/>
      <c r="BR62" s="6151"/>
      <c r="BS62" s="6151"/>
      <c r="BT62" s="6151"/>
      <c r="BU62" s="6151"/>
      <c r="BV62" s="6152"/>
      <c r="BW62" s="530"/>
      <c r="BX62" s="524"/>
      <c r="BY62" s="524"/>
      <c r="BZ62" s="1060"/>
      <c r="CA62" s="6150"/>
      <c r="CB62" s="6151"/>
      <c r="CC62" s="6151"/>
      <c r="CD62" s="6151"/>
      <c r="CE62" s="6151"/>
      <c r="CF62" s="6151"/>
      <c r="CG62" s="6151"/>
      <c r="CH62" s="6151"/>
      <c r="CI62" s="6151"/>
      <c r="CJ62" s="6151"/>
      <c r="CK62" s="6151"/>
      <c r="CL62" s="6151"/>
      <c r="CM62" s="6151"/>
      <c r="CN62" s="6151"/>
      <c r="CO62" s="6152"/>
      <c r="CP62" s="530"/>
      <c r="CQ62" s="524"/>
    </row>
    <row r="63" spans="1:95" ht="12" customHeight="1" x14ac:dyDescent="0.2">
      <c r="A63" s="524"/>
      <c r="B63" s="1060"/>
      <c r="C63" s="6150"/>
      <c r="D63" s="6151"/>
      <c r="E63" s="6151"/>
      <c r="F63" s="6151"/>
      <c r="G63" s="6151"/>
      <c r="H63" s="6151"/>
      <c r="I63" s="6151"/>
      <c r="J63" s="6151"/>
      <c r="K63" s="6151"/>
      <c r="L63" s="6151"/>
      <c r="M63" s="6151"/>
      <c r="N63" s="6151"/>
      <c r="O63" s="6151"/>
      <c r="P63" s="6151"/>
      <c r="Q63" s="6152"/>
      <c r="R63" s="530"/>
      <c r="S63" s="524"/>
      <c r="T63" s="524"/>
      <c r="U63" s="1060"/>
      <c r="V63" s="6150"/>
      <c r="W63" s="6151"/>
      <c r="X63" s="6151"/>
      <c r="Y63" s="6151"/>
      <c r="Z63" s="6151"/>
      <c r="AA63" s="6151"/>
      <c r="AB63" s="6151"/>
      <c r="AC63" s="6151"/>
      <c r="AD63" s="6151"/>
      <c r="AE63" s="6151"/>
      <c r="AF63" s="6151"/>
      <c r="AG63" s="6151"/>
      <c r="AH63" s="6151"/>
      <c r="AI63" s="6151"/>
      <c r="AJ63" s="6152"/>
      <c r="AK63" s="530"/>
      <c r="AL63" s="524"/>
      <c r="AM63" s="588"/>
      <c r="AN63" s="1060"/>
      <c r="AO63" s="6150"/>
      <c r="AP63" s="6151"/>
      <c r="AQ63" s="6151"/>
      <c r="AR63" s="6151"/>
      <c r="AS63" s="6151"/>
      <c r="AT63" s="6151"/>
      <c r="AU63" s="6151"/>
      <c r="AV63" s="6151"/>
      <c r="AW63" s="6151"/>
      <c r="AX63" s="6151"/>
      <c r="AY63" s="6151"/>
      <c r="AZ63" s="6151"/>
      <c r="BA63" s="6151"/>
      <c r="BB63" s="6151"/>
      <c r="BC63" s="6152"/>
      <c r="BD63" s="530"/>
      <c r="BE63" s="524"/>
      <c r="BF63" s="524"/>
      <c r="BG63" s="1060"/>
      <c r="BH63" s="6150"/>
      <c r="BI63" s="6151"/>
      <c r="BJ63" s="6151"/>
      <c r="BK63" s="6151"/>
      <c r="BL63" s="6151"/>
      <c r="BM63" s="6151"/>
      <c r="BN63" s="6151"/>
      <c r="BO63" s="6151"/>
      <c r="BP63" s="6151"/>
      <c r="BQ63" s="6151"/>
      <c r="BR63" s="6151"/>
      <c r="BS63" s="6151"/>
      <c r="BT63" s="6151"/>
      <c r="BU63" s="6151"/>
      <c r="BV63" s="6152"/>
      <c r="BW63" s="530"/>
      <c r="BX63" s="524"/>
      <c r="BY63" s="524"/>
      <c r="BZ63" s="1060"/>
      <c r="CA63" s="6150"/>
      <c r="CB63" s="6151"/>
      <c r="CC63" s="6151"/>
      <c r="CD63" s="6151"/>
      <c r="CE63" s="6151"/>
      <c r="CF63" s="6151"/>
      <c r="CG63" s="6151"/>
      <c r="CH63" s="6151"/>
      <c r="CI63" s="6151"/>
      <c r="CJ63" s="6151"/>
      <c r="CK63" s="6151"/>
      <c r="CL63" s="6151"/>
      <c r="CM63" s="6151"/>
      <c r="CN63" s="6151"/>
      <c r="CO63" s="6152"/>
      <c r="CP63" s="530"/>
      <c r="CQ63" s="524"/>
    </row>
    <row r="64" spans="1:95" ht="12" customHeight="1" thickBot="1" x14ac:dyDescent="0.25">
      <c r="A64" s="524"/>
      <c r="B64" s="1060"/>
      <c r="C64" s="6153"/>
      <c r="D64" s="6154"/>
      <c r="E64" s="6154"/>
      <c r="F64" s="6154"/>
      <c r="G64" s="6154"/>
      <c r="H64" s="6154"/>
      <c r="I64" s="6154"/>
      <c r="J64" s="6154"/>
      <c r="K64" s="6154"/>
      <c r="L64" s="6154"/>
      <c r="M64" s="6154"/>
      <c r="N64" s="6154"/>
      <c r="O64" s="6154"/>
      <c r="P64" s="6154"/>
      <c r="Q64" s="6155"/>
      <c r="R64" s="530"/>
      <c r="S64" s="524"/>
      <c r="T64" s="524"/>
      <c r="U64" s="1060"/>
      <c r="V64" s="6153"/>
      <c r="W64" s="6154"/>
      <c r="X64" s="6154"/>
      <c r="Y64" s="6154"/>
      <c r="Z64" s="6154"/>
      <c r="AA64" s="6154"/>
      <c r="AB64" s="6154"/>
      <c r="AC64" s="6154"/>
      <c r="AD64" s="6154"/>
      <c r="AE64" s="6154"/>
      <c r="AF64" s="6154"/>
      <c r="AG64" s="6154"/>
      <c r="AH64" s="6154"/>
      <c r="AI64" s="6154"/>
      <c r="AJ64" s="6155"/>
      <c r="AK64" s="530"/>
      <c r="AL64" s="524"/>
      <c r="AM64" s="588"/>
      <c r="AN64" s="1060"/>
      <c r="AO64" s="6153"/>
      <c r="AP64" s="6154"/>
      <c r="AQ64" s="6154"/>
      <c r="AR64" s="6154"/>
      <c r="AS64" s="6154"/>
      <c r="AT64" s="6154"/>
      <c r="AU64" s="6154"/>
      <c r="AV64" s="6154"/>
      <c r="AW64" s="6154"/>
      <c r="AX64" s="6154"/>
      <c r="AY64" s="6154"/>
      <c r="AZ64" s="6154"/>
      <c r="BA64" s="6154"/>
      <c r="BB64" s="6154"/>
      <c r="BC64" s="6155"/>
      <c r="BD64" s="530"/>
      <c r="BE64" s="524"/>
      <c r="BF64" s="524"/>
      <c r="BG64" s="1060"/>
      <c r="BH64" s="6153"/>
      <c r="BI64" s="6154"/>
      <c r="BJ64" s="6154"/>
      <c r="BK64" s="6154"/>
      <c r="BL64" s="6154"/>
      <c r="BM64" s="6154"/>
      <c r="BN64" s="6154"/>
      <c r="BO64" s="6154"/>
      <c r="BP64" s="6154"/>
      <c r="BQ64" s="6154"/>
      <c r="BR64" s="6154"/>
      <c r="BS64" s="6154"/>
      <c r="BT64" s="6154"/>
      <c r="BU64" s="6154"/>
      <c r="BV64" s="6155"/>
      <c r="BW64" s="530"/>
      <c r="BX64" s="524"/>
      <c r="BY64" s="524"/>
      <c r="BZ64" s="1060"/>
      <c r="CA64" s="6153"/>
      <c r="CB64" s="6154"/>
      <c r="CC64" s="6154"/>
      <c r="CD64" s="6154"/>
      <c r="CE64" s="6154"/>
      <c r="CF64" s="6154"/>
      <c r="CG64" s="6154"/>
      <c r="CH64" s="6154"/>
      <c r="CI64" s="6154"/>
      <c r="CJ64" s="6154"/>
      <c r="CK64" s="6154"/>
      <c r="CL64" s="6154"/>
      <c r="CM64" s="6154"/>
      <c r="CN64" s="6154"/>
      <c r="CO64" s="6155"/>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68" t="str">
        <f>"Conjuros de nivel "&amp;B67&amp;"-"&amp;B111</f>
        <v>Conjuros de nivel 12-20</v>
      </c>
      <c r="D66" s="6168"/>
      <c r="E66" s="6168"/>
      <c r="F66" s="6168"/>
      <c r="G66" s="6168"/>
      <c r="H66" s="6168"/>
      <c r="I66" s="6168"/>
      <c r="J66" s="6168"/>
      <c r="K66" s="6168"/>
      <c r="L66" s="6168"/>
      <c r="M66" s="6168"/>
      <c r="N66" s="6168"/>
      <c r="O66" s="6168"/>
      <c r="P66" s="6168"/>
      <c r="Q66" s="6168"/>
      <c r="R66" s="1069"/>
      <c r="S66" s="524"/>
      <c r="T66" s="524"/>
      <c r="U66" s="1070"/>
      <c r="V66" s="6168" t="str">
        <f>"Conjuros de nivel "&amp;U67&amp;"-"&amp;U111</f>
        <v>Conjuros de nivel 32-40</v>
      </c>
      <c r="W66" s="6168"/>
      <c r="X66" s="6168"/>
      <c r="Y66" s="6168"/>
      <c r="Z66" s="6168"/>
      <c r="AA66" s="6168"/>
      <c r="AB66" s="6168"/>
      <c r="AC66" s="6168"/>
      <c r="AD66" s="6168"/>
      <c r="AE66" s="6168"/>
      <c r="AF66" s="6168"/>
      <c r="AG66" s="6168"/>
      <c r="AH66" s="6168"/>
      <c r="AI66" s="6168"/>
      <c r="AJ66" s="6168"/>
      <c r="AK66" s="1069"/>
      <c r="AL66" s="524"/>
      <c r="AM66" s="591"/>
      <c r="AN66" s="1070"/>
      <c r="AO66" s="6168" t="str">
        <f>"Conjuros de nivel "&amp;AN67&amp;"-"&amp;AN111</f>
        <v>Conjuros de nivel 52-60</v>
      </c>
      <c r="AP66" s="6168"/>
      <c r="AQ66" s="6168"/>
      <c r="AR66" s="6168"/>
      <c r="AS66" s="6168"/>
      <c r="AT66" s="6168"/>
      <c r="AU66" s="6168"/>
      <c r="AV66" s="6168"/>
      <c r="AW66" s="6168"/>
      <c r="AX66" s="6168"/>
      <c r="AY66" s="6168"/>
      <c r="AZ66" s="6168"/>
      <c r="BA66" s="6168"/>
      <c r="BB66" s="6168"/>
      <c r="BC66" s="6168"/>
      <c r="BD66" s="1069"/>
      <c r="BE66" s="524"/>
      <c r="BF66" s="524"/>
      <c r="BG66" s="1070"/>
      <c r="BH66" s="6168" t="str">
        <f>"Conjuros de nivel "&amp;BG67&amp;"-"&amp;BG111</f>
        <v>Conjuros de nivel 72-80</v>
      </c>
      <c r="BI66" s="6168"/>
      <c r="BJ66" s="6168"/>
      <c r="BK66" s="6168"/>
      <c r="BL66" s="6168"/>
      <c r="BM66" s="6168"/>
      <c r="BN66" s="6168"/>
      <c r="BO66" s="6168"/>
      <c r="BP66" s="6168"/>
      <c r="BQ66" s="6168"/>
      <c r="BR66" s="6168"/>
      <c r="BS66" s="6168"/>
      <c r="BT66" s="6168"/>
      <c r="BU66" s="6168"/>
      <c r="BV66" s="6168"/>
      <c r="BW66" s="1069"/>
      <c r="BX66" s="524"/>
      <c r="BY66" s="524"/>
      <c r="BZ66" s="1070"/>
      <c r="CA66" s="6168" t="str">
        <f>"Conjuros de nivel "&amp;BZ67&amp;"-"&amp;BZ111</f>
        <v>Conjuros de nivel 92-100</v>
      </c>
      <c r="CB66" s="6168"/>
      <c r="CC66" s="6168"/>
      <c r="CD66" s="6168"/>
      <c r="CE66" s="6168"/>
      <c r="CF66" s="6168"/>
      <c r="CG66" s="6168"/>
      <c r="CH66" s="6168"/>
      <c r="CI66" s="6168"/>
      <c r="CJ66" s="6168"/>
      <c r="CK66" s="6168"/>
      <c r="CL66" s="6168"/>
      <c r="CM66" s="6168"/>
      <c r="CN66" s="6168"/>
      <c r="CO66" s="6168"/>
      <c r="CP66" s="1068"/>
      <c r="CQ66" s="524"/>
    </row>
    <row r="67" spans="1:95" ht="12" customHeight="1" x14ac:dyDescent="0.2">
      <c r="A67" s="524"/>
      <c r="B67" s="1060">
        <f>B55+2</f>
        <v>12</v>
      </c>
      <c r="C67" s="617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79"/>
      <c r="E67" s="6179"/>
      <c r="F67" s="6179"/>
      <c r="G67" s="6176"/>
      <c r="H67" s="537" t="s">
        <v>1597</v>
      </c>
      <c r="I67" s="538">
        <f>B67</f>
        <v>12</v>
      </c>
      <c r="J67" s="6173" t="s">
        <v>6888</v>
      </c>
      <c r="K67" s="6173"/>
      <c r="L67" s="6173"/>
      <c r="M67" s="6161" t="str">
        <f>IF(C67=0,"",VLOOKUP(C67,'Tablas Magia'!$D$6:$Z$680,2,FALSE))</f>
        <v>Agua</v>
      </c>
      <c r="N67" s="6161"/>
      <c r="O67" s="2428"/>
      <c r="P67" s="6177" t="str">
        <f>IFERROR(IF(M67="Libre Acceso","Aprendido",IF(IFERROR(VLOOKUP(M67,Místicos!$C$15:$H$25,6,0)&gt;=I67,FALSE),"Aprendido",IF(IFERROR(VLOOKUP(M67,Místicos!$E$15:$H$25,4,0)&gt;=I67,FALSE),"Aprendido",""))),"")</f>
        <v/>
      </c>
      <c r="Q67" s="6178"/>
      <c r="R67" s="530"/>
      <c r="S67" s="524"/>
      <c r="T67" s="524"/>
      <c r="U67" s="1060">
        <f>U55+2</f>
        <v>32</v>
      </c>
      <c r="V67" s="617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79"/>
      <c r="X67" s="6179"/>
      <c r="Y67" s="6179"/>
      <c r="Z67" s="6176"/>
      <c r="AA67" s="537" t="s">
        <v>1597</v>
      </c>
      <c r="AB67" s="538">
        <f>U67</f>
        <v>32</v>
      </c>
      <c r="AC67" s="6173" t="s">
        <v>6888</v>
      </c>
      <c r="AD67" s="6173"/>
      <c r="AE67" s="6173"/>
      <c r="AF67" s="6161" t="str">
        <f>IF(V67=0,"",VLOOKUP(V67,'Tablas Magia'!$D$6:$Z$680,2,FALSE))</f>
        <v>Agua</v>
      </c>
      <c r="AG67" s="6161"/>
      <c r="AH67" s="2428"/>
      <c r="AI67" s="6177" t="str">
        <f>IFERROR(IF(AF67="Libre Acceso","Aprendido",IF(IFERROR(VLOOKUP(AF67,Místicos!$C$15:$H$25,6,0)&gt;=AB67,FALSE),"Aprendido",IF(IFERROR(VLOOKUP(AF67,Místicos!$E$15:$H$25,4,0)&gt;=AB67,FALSE),"Aprendido",""))),"")</f>
        <v/>
      </c>
      <c r="AJ67" s="6178"/>
      <c r="AK67" s="530"/>
      <c r="AL67" s="524"/>
      <c r="AM67" s="588"/>
      <c r="AN67" s="1060">
        <f>AN55+2</f>
        <v>52</v>
      </c>
      <c r="AO67" s="617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79"/>
      <c r="AQ67" s="6179"/>
      <c r="AR67" s="6179"/>
      <c r="AS67" s="6176"/>
      <c r="AT67" s="537" t="s">
        <v>1597</v>
      </c>
      <c r="AU67" s="538">
        <f>AN67</f>
        <v>52</v>
      </c>
      <c r="AV67" s="6173" t="s">
        <v>6888</v>
      </c>
      <c r="AW67" s="6173"/>
      <c r="AX67" s="6173"/>
      <c r="AY67" s="6161" t="str">
        <f>IF(AO67=0,"",VLOOKUP(AO67,'Tablas Magia'!$D$6:$Z$680,2,FALSE))</f>
        <v>Agua</v>
      </c>
      <c r="AZ67" s="6161"/>
      <c r="BA67" s="2428"/>
      <c r="BB67" s="6177" t="str">
        <f>IFERROR(IF(AY67="Libre Acceso","Aprendido",IF(IFERROR(VLOOKUP(AY67,Místicos!$C$15:$H$25,6,0)&gt;=AU67,FALSE),"Aprendido",IF(IFERROR(VLOOKUP(AY67,Místicos!$E$15:$H$25,4,0)&gt;=AU67,FALSE),"Aprendido",""))),"")</f>
        <v/>
      </c>
      <c r="BC67" s="6178"/>
      <c r="BD67" s="530"/>
      <c r="BE67" s="524"/>
      <c r="BF67" s="524"/>
      <c r="BG67" s="1060">
        <f>BG55+2</f>
        <v>72</v>
      </c>
      <c r="BH67" s="617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79"/>
      <c r="BJ67" s="6179"/>
      <c r="BK67" s="6179"/>
      <c r="BL67" s="6176"/>
      <c r="BM67" s="537" t="s">
        <v>1597</v>
      </c>
      <c r="BN67" s="538">
        <f>BG67</f>
        <v>72</v>
      </c>
      <c r="BO67" s="6173" t="s">
        <v>6888</v>
      </c>
      <c r="BP67" s="6173"/>
      <c r="BQ67" s="6173"/>
      <c r="BR67" s="6161" t="str">
        <f>IF(BH67=0,"",VLOOKUP(BH67,'Tablas Magia'!$D$6:$Z$680,2,FALSE))</f>
        <v>Agua</v>
      </c>
      <c r="BS67" s="6161"/>
      <c r="BT67" s="2428"/>
      <c r="BU67" s="6177" t="str">
        <f>IFERROR(IF(BR67="Libre Acceso","Aprendido",IF(IFERROR(VLOOKUP(BR67,Místicos!$C$15:$H$25,6,0)&gt;=BN67,FALSE),"Aprendido",IF(IFERROR(VLOOKUP(BR67,Místicos!$E$15:$H$25,4,0)&gt;=BN67,FALSE),"Aprendido",""))),"")</f>
        <v/>
      </c>
      <c r="BV67" s="6178"/>
      <c r="BW67" s="530"/>
      <c r="BX67" s="524"/>
      <c r="BY67" s="524"/>
      <c r="BZ67" s="1060">
        <f>BZ55+2</f>
        <v>92</v>
      </c>
      <c r="CA67" s="617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79"/>
      <c r="CC67" s="6179"/>
      <c r="CD67" s="6179"/>
      <c r="CE67" s="6176"/>
      <c r="CF67" s="537" t="s">
        <v>1597</v>
      </c>
      <c r="CG67" s="538">
        <f>BZ67</f>
        <v>92</v>
      </c>
      <c r="CH67" s="6173" t="s">
        <v>6888</v>
      </c>
      <c r="CI67" s="6173"/>
      <c r="CJ67" s="6173"/>
      <c r="CK67" s="6161" t="str">
        <f>IF(CA67=0,"",VLOOKUP(CA67,'Tablas Magia'!$D$6:$Z$680,2,FALSE))</f>
        <v>Agua</v>
      </c>
      <c r="CL67" s="6161"/>
      <c r="CM67" s="2428"/>
      <c r="CN67" s="6177" t="str">
        <f>IFERROR(IF(CK67="Libre Acceso","Aprendido",IF(IFERROR(VLOOKUP(CK67,Místicos!$C$15:$H$25,6,0)&gt;=CG67,FALSE),"Aprendido",IF(IFERROR(VLOOKUP(CK67,Místicos!$E$15:$H$25,4,0)&gt;=CG67,FALSE),"Aprendido",""))),"")</f>
        <v/>
      </c>
      <c r="CO67" s="6178"/>
      <c r="CP67" s="530"/>
      <c r="CQ67" s="524"/>
    </row>
    <row r="68" spans="1:95" ht="12" customHeight="1" x14ac:dyDescent="0.2">
      <c r="A68" s="524"/>
      <c r="B68" s="1060"/>
      <c r="C68" s="6156" t="s">
        <v>6889</v>
      </c>
      <c r="D68" s="6172"/>
      <c r="E68" s="2452" t="s">
        <v>6890</v>
      </c>
      <c r="F68" s="2452" t="s">
        <v>1783</v>
      </c>
      <c r="G68" s="2452" t="s">
        <v>3227</v>
      </c>
      <c r="H68" s="2453" t="s">
        <v>2121</v>
      </c>
      <c r="I68" s="6170" t="str">
        <f>IF(C67=0,"",VLOOKUP(C67,'Tablas Magia'!$D$6:$Z$680,5,FALSE))</f>
        <v>Efecto</v>
      </c>
      <c r="J68" s="6170"/>
      <c r="K68" s="6171" t="s">
        <v>6891</v>
      </c>
      <c r="L68" s="6171"/>
      <c r="M68" s="6170" t="str">
        <f>IF(C67=0,"",VLOOKUP(C67,'Tablas Magia'!$D$6:$Z$680,6,FALSE))</f>
        <v>Activa</v>
      </c>
      <c r="N68" s="6170"/>
      <c r="O68" s="6169" t="s">
        <v>6892</v>
      </c>
      <c r="P68" s="6169"/>
      <c r="Q68" s="2454" t="str">
        <f>IF(C67=0,"",VLOOKUP(C67,'Tablas Magia'!$D$6:$Z$680,4,FALSE))</f>
        <v>Si</v>
      </c>
      <c r="R68" s="530"/>
      <c r="S68" s="524"/>
      <c r="T68" s="524"/>
      <c r="U68" s="1060"/>
      <c r="V68" s="6156" t="s">
        <v>6889</v>
      </c>
      <c r="W68" s="6172"/>
      <c r="X68" s="2452" t="s">
        <v>6890</v>
      </c>
      <c r="Y68" s="2452" t="s">
        <v>1783</v>
      </c>
      <c r="Z68" s="2452" t="s">
        <v>3227</v>
      </c>
      <c r="AA68" s="2453" t="s">
        <v>2121</v>
      </c>
      <c r="AB68" s="6170" t="str">
        <f>IF(V67=0,"",VLOOKUP(V67,'Tablas Magia'!$D$6:$Z$680,5,FALSE))</f>
        <v>Animico</v>
      </c>
      <c r="AC68" s="6170"/>
      <c r="AD68" s="6171" t="s">
        <v>6891</v>
      </c>
      <c r="AE68" s="6171"/>
      <c r="AF68" s="6170" t="str">
        <f>IF(V67=0,"",VLOOKUP(V67,'Tablas Magia'!$D$6:$Z$680,6,FALSE))</f>
        <v>Activa</v>
      </c>
      <c r="AG68" s="6170"/>
      <c r="AH68" s="6169" t="s">
        <v>6892</v>
      </c>
      <c r="AI68" s="6169"/>
      <c r="AJ68" s="2454" t="str">
        <f>IF(V67=0,"",VLOOKUP(V67,'Tablas Magia'!$D$6:$Z$680,4,FALSE))</f>
        <v>Si</v>
      </c>
      <c r="AK68" s="530"/>
      <c r="AL68" s="524"/>
      <c r="AM68" s="588"/>
      <c r="AN68" s="1060"/>
      <c r="AO68" s="6156" t="s">
        <v>6889</v>
      </c>
      <c r="AP68" s="6172"/>
      <c r="AQ68" s="2452" t="s">
        <v>6890</v>
      </c>
      <c r="AR68" s="2452" t="s">
        <v>1783</v>
      </c>
      <c r="AS68" s="2452" t="s">
        <v>3227</v>
      </c>
      <c r="AT68" s="2453" t="s">
        <v>2121</v>
      </c>
      <c r="AU68" s="6170" t="str">
        <f>IF(AO67=0,"",VLOOKUP(AO67,'Tablas Magia'!$D$6:$Z$680,5,FALSE))</f>
        <v>Efecto</v>
      </c>
      <c r="AV68" s="6170"/>
      <c r="AW68" s="6171" t="s">
        <v>6891</v>
      </c>
      <c r="AX68" s="6171"/>
      <c r="AY68" s="6170" t="str">
        <f>IF(AO67=0,"",VLOOKUP(AO67,'Tablas Magia'!$D$6:$Z$680,6,FALSE))</f>
        <v>Activa</v>
      </c>
      <c r="AZ68" s="6170"/>
      <c r="BA68" s="6169" t="s">
        <v>6892</v>
      </c>
      <c r="BB68" s="6169"/>
      <c r="BC68" s="2454" t="str">
        <f>IF(AO67=0,"",VLOOKUP(AO67,'Tablas Magia'!$D$6:$Z$680,4,FALSE))</f>
        <v>No</v>
      </c>
      <c r="BD68" s="530"/>
      <c r="BE68" s="524"/>
      <c r="BF68" s="524"/>
      <c r="BG68" s="1060"/>
      <c r="BH68" s="6156" t="s">
        <v>6889</v>
      </c>
      <c r="BI68" s="6172"/>
      <c r="BJ68" s="2452" t="s">
        <v>6890</v>
      </c>
      <c r="BK68" s="2452" t="s">
        <v>1783</v>
      </c>
      <c r="BL68" s="2452" t="s">
        <v>3227</v>
      </c>
      <c r="BM68" s="2453" t="s">
        <v>2121</v>
      </c>
      <c r="BN68" s="6170" t="str">
        <f>IF(BH67=0,"",VLOOKUP(BH67,'Tablas Magia'!$D$6:$Z$680,5,FALSE))</f>
        <v>Efecto</v>
      </c>
      <c r="BO68" s="6170"/>
      <c r="BP68" s="6171" t="s">
        <v>6891</v>
      </c>
      <c r="BQ68" s="6171"/>
      <c r="BR68" s="6170" t="str">
        <f>IF(BH67=0,"",VLOOKUP(BH67,'Tablas Magia'!$D$6:$Z$680,6,FALSE))</f>
        <v>Activa</v>
      </c>
      <c r="BS68" s="6170"/>
      <c r="BT68" s="6169" t="s">
        <v>6892</v>
      </c>
      <c r="BU68" s="6169"/>
      <c r="BV68" s="2454" t="str">
        <f>IF(BH67=0,"",VLOOKUP(BH67,'Tablas Magia'!$D$6:$Z$680,4,FALSE))</f>
        <v>No</v>
      </c>
      <c r="BW68" s="530"/>
      <c r="BX68" s="524"/>
      <c r="BY68" s="524"/>
      <c r="BZ68" s="1060"/>
      <c r="CA68" s="6156" t="s">
        <v>6889</v>
      </c>
      <c r="CB68" s="6172"/>
      <c r="CC68" s="2452" t="s">
        <v>6890</v>
      </c>
      <c r="CD68" s="2452" t="s">
        <v>1783</v>
      </c>
      <c r="CE68" s="2452" t="s">
        <v>3227</v>
      </c>
      <c r="CF68" s="2453" t="s">
        <v>2121</v>
      </c>
      <c r="CG68" s="6170" t="str">
        <f>IF(CA67=0,"",VLOOKUP(CA67,'Tablas Magia'!$D$6:$Z$680,5,FALSE))</f>
        <v>Auto</v>
      </c>
      <c r="CH68" s="6170"/>
      <c r="CI68" s="6171" t="s">
        <v>6891</v>
      </c>
      <c r="CJ68" s="6171"/>
      <c r="CK68" s="6170" t="str">
        <f>IF(CA67=0,"",VLOOKUP(CA67,'Tablas Magia'!$D$6:$Z$680,6,FALSE))</f>
        <v>Activa</v>
      </c>
      <c r="CL68" s="6170"/>
      <c r="CM68" s="6169" t="s">
        <v>6892</v>
      </c>
      <c r="CN68" s="6169"/>
      <c r="CO68" s="2454" t="str">
        <f>IF(CA67=0,"",VLOOKUP(CA67,'Tablas Magia'!$D$6:$Z$680,4,FALSE))</f>
        <v>Si</v>
      </c>
      <c r="CP68" s="530"/>
      <c r="CQ68" s="524"/>
    </row>
    <row r="69" spans="1:95" ht="12" customHeight="1" x14ac:dyDescent="0.2">
      <c r="A69" s="524"/>
      <c r="B69" s="1060"/>
      <c r="C69" s="6183" t="s">
        <v>1638</v>
      </c>
      <c r="D69" s="6184"/>
      <c r="E69" s="542">
        <f>IF(C67=0,"",VLOOKUP(C67,'Tablas Magia'!$D$6:$Z$680,7,FALSE))</f>
        <v>6</v>
      </c>
      <c r="F69" s="542">
        <f>IF(C67=0,"",VLOOKUP(C67,'Tablas Magia'!$D$6:$Z$680,11,FALSE))</f>
        <v>50</v>
      </c>
      <c r="G69" s="543">
        <f>IF(C67=0,"",VLOOKUP(C67,'Tablas Magia'!$D$6:$Z$680,15,FALSE))</f>
        <v>5</v>
      </c>
      <c r="H69" s="6180" t="str">
        <f>IF(C67=0,"",VLOOKUP(C67,'Tablas Magia'!$D$6:$Z$680,19,FALSE))</f>
        <v>5 intensidades de frío.</v>
      </c>
      <c r="I69" s="6181"/>
      <c r="J69" s="6181"/>
      <c r="K69" s="6181"/>
      <c r="L69" s="6181"/>
      <c r="M69" s="6181"/>
      <c r="N69" s="6181"/>
      <c r="O69" s="6181"/>
      <c r="P69" s="6181"/>
      <c r="Q69" s="6182"/>
      <c r="R69" s="530"/>
      <c r="S69" s="524"/>
      <c r="T69" s="524"/>
      <c r="U69" s="1060"/>
      <c r="V69" s="6183" t="s">
        <v>1638</v>
      </c>
      <c r="W69" s="6184"/>
      <c r="X69" s="542">
        <f>IF(V67=0,"",VLOOKUP(V67,'Tablas Magia'!$D$6:$Z$680,7,FALSE))</f>
        <v>6</v>
      </c>
      <c r="Y69" s="542">
        <f>IF(V67=0,"",VLOOKUP(V67,'Tablas Magia'!$D$6:$Z$680,11,FALSE))</f>
        <v>60</v>
      </c>
      <c r="Z69" s="543">
        <f>IF(V67=0,"",VLOOKUP(V67,'Tablas Magia'!$D$6:$Z$680,15,FALSE))</f>
        <v>10</v>
      </c>
      <c r="AA69" s="6180" t="str">
        <f>IF(V67=0,"",VLOOKUP(V67,'Tablas Magia'!$D$6:$Z$680,19,FALSE))</f>
        <v>RM 120 / 5 metros de radio.</v>
      </c>
      <c r="AB69" s="6181"/>
      <c r="AC69" s="6181"/>
      <c r="AD69" s="6181"/>
      <c r="AE69" s="6181"/>
      <c r="AF69" s="6181"/>
      <c r="AG69" s="6181"/>
      <c r="AH69" s="6181"/>
      <c r="AI69" s="6181"/>
      <c r="AJ69" s="6182"/>
      <c r="AK69" s="530"/>
      <c r="AL69" s="524"/>
      <c r="AM69" s="588"/>
      <c r="AN69" s="1060"/>
      <c r="AO69" s="6183" t="s">
        <v>1638</v>
      </c>
      <c r="AP69" s="6184"/>
      <c r="AQ69" s="542">
        <f>IF(AO67=0,"",VLOOKUP(AO67,'Tablas Magia'!$D$6:$Z$680,7,FALSE))</f>
        <v>8</v>
      </c>
      <c r="AR69" s="542">
        <f>IF(AO67=0,"",VLOOKUP(AO67,'Tablas Magia'!$D$6:$Z$680,11,FALSE))</f>
        <v>100</v>
      </c>
      <c r="AS69" s="543">
        <f>IF(AO67=0,"",VLOOKUP(AO67,'Tablas Magia'!$D$6:$Z$680,15,FALSE))</f>
        <v>10</v>
      </c>
      <c r="AT69" s="6180" t="str">
        <f>IF(AO67=0,"",VLOOKUP(AO67,'Tablas Magia'!$D$6:$Z$680,19,FALSE))</f>
        <v>Las habilidades descritas.</v>
      </c>
      <c r="AU69" s="6181"/>
      <c r="AV69" s="6181"/>
      <c r="AW69" s="6181"/>
      <c r="AX69" s="6181"/>
      <c r="AY69" s="6181"/>
      <c r="AZ69" s="6181"/>
      <c r="BA69" s="6181"/>
      <c r="BB69" s="6181"/>
      <c r="BC69" s="6182"/>
      <c r="BD69" s="530"/>
      <c r="BE69" s="524"/>
      <c r="BF69" s="524"/>
      <c r="BG69" s="1060"/>
      <c r="BH69" s="6183" t="s">
        <v>1638</v>
      </c>
      <c r="BI69" s="6184"/>
      <c r="BJ69" s="542">
        <f>IF(BH67=0,"",VLOOKUP(BH67,'Tablas Magia'!$D$6:$Z$680,7,FALSE))</f>
        <v>10</v>
      </c>
      <c r="BK69" s="542">
        <f>IF(BH67=0,"",VLOOKUP(BH67,'Tablas Magia'!$D$6:$Z$680,11,FALSE))</f>
        <v>250</v>
      </c>
      <c r="BL69" s="543" t="str">
        <f>IF(BH67=0,"",VLOOKUP(BH67,'Tablas Magia'!$D$6:$Z$680,15,FALSE))</f>
        <v>No</v>
      </c>
      <c r="BM69" s="6180" t="str">
        <f>IF(BH67=0,"",VLOOKUP(BH67,'Tablas Magia'!$D$6:$Z$680,19,FALSE))</f>
        <v>1 kilómetro de longitud.</v>
      </c>
      <c r="BN69" s="6181"/>
      <c r="BO69" s="6181"/>
      <c r="BP69" s="6181"/>
      <c r="BQ69" s="6181"/>
      <c r="BR69" s="6181"/>
      <c r="BS69" s="6181"/>
      <c r="BT69" s="6181"/>
      <c r="BU69" s="6181"/>
      <c r="BV69" s="6182"/>
      <c r="BW69" s="530"/>
      <c r="BX69" s="524"/>
      <c r="BY69" s="524"/>
      <c r="BZ69" s="1060"/>
      <c r="CA69" s="6183" t="s">
        <v>1638</v>
      </c>
      <c r="CB69" s="6184"/>
      <c r="CC69" s="542">
        <f>IF(CA67=0,"",VLOOKUP(CA67,'Tablas Magia'!$D$6:$Z$680,7,FALSE))</f>
        <v>10</v>
      </c>
      <c r="CD69" s="542">
        <f>IF(CA67=0,"",VLOOKUP(CA67,'Tablas Magia'!$D$6:$Z$680,11,FALSE))</f>
        <v>300</v>
      </c>
      <c r="CE69" s="543">
        <f>IF(CA67=0,"",VLOOKUP(CA67,'Tablas Magia'!$D$6:$Z$680,15,FALSE))</f>
        <v>30</v>
      </c>
      <c r="CF69" s="6180" t="str">
        <f>IF(CA67=0,"",VLOOKUP(CA67,'Tablas Magia'!$D$6:$Z$680,19,FALSE))</f>
        <v>100 kilómetros de radio / 140 RM.</v>
      </c>
      <c r="CG69" s="6181"/>
      <c r="CH69" s="6181"/>
      <c r="CI69" s="6181"/>
      <c r="CJ69" s="6181"/>
      <c r="CK69" s="6181"/>
      <c r="CL69" s="6181"/>
      <c r="CM69" s="6181"/>
      <c r="CN69" s="6181"/>
      <c r="CO69" s="6182"/>
      <c r="CP69" s="530"/>
      <c r="CQ69" s="524"/>
    </row>
    <row r="70" spans="1:95" ht="12" customHeight="1" x14ac:dyDescent="0.2">
      <c r="A70" s="524"/>
      <c r="B70" s="1060"/>
      <c r="C70" s="6137" t="s">
        <v>3777</v>
      </c>
      <c r="D70" s="6138"/>
      <c r="E70" s="544">
        <f>IF(C67=0,"",VLOOKUP(C67,'Tablas Magia'!$D$6:$Z$680,8,FALSE))</f>
        <v>8</v>
      </c>
      <c r="F70" s="544">
        <f>IF(C67=0,"",VLOOKUP(C67,'Tablas Magia'!$D$6:$Z$680,12,FALSE))</f>
        <v>140</v>
      </c>
      <c r="G70" s="545">
        <f>IF(C67=0,"",VLOOKUP(C67,'Tablas Magia'!$D$6:$Z$680,16,FALSE))</f>
        <v>10</v>
      </c>
      <c r="H70" s="6139" t="str">
        <f>IF(C67=0,"",VLOOKUP(C67,'Tablas Magia'!$D$6:$Z$680,20,FALSE))</f>
        <v>12 intensidades de frío.</v>
      </c>
      <c r="I70" s="6140"/>
      <c r="J70" s="6140"/>
      <c r="K70" s="6140"/>
      <c r="L70" s="6140"/>
      <c r="M70" s="6140"/>
      <c r="N70" s="6140"/>
      <c r="O70" s="6140"/>
      <c r="P70" s="6140"/>
      <c r="Q70" s="6141"/>
      <c r="R70" s="530"/>
      <c r="S70" s="524"/>
      <c r="T70" s="524"/>
      <c r="U70" s="1060"/>
      <c r="V70" s="6137" t="s">
        <v>3777</v>
      </c>
      <c r="W70" s="6138"/>
      <c r="X70" s="544">
        <f>IF(V67=0,"",VLOOKUP(V67,'Tablas Magia'!$D$6:$Z$680,8,FALSE))</f>
        <v>9</v>
      </c>
      <c r="Y70" s="544">
        <f>IF(V67=0,"",VLOOKUP(V67,'Tablas Magia'!$D$6:$Z$680,12,FALSE))</f>
        <v>100</v>
      </c>
      <c r="Z70" s="545">
        <f>IF(V67=0,"",VLOOKUP(V67,'Tablas Magia'!$D$6:$Z$680,16,FALSE))</f>
        <v>10</v>
      </c>
      <c r="AA70" s="6139" t="str">
        <f>IF(V67=0,"",VLOOKUP(V67,'Tablas Magia'!$D$6:$Z$680,20,FALSE))</f>
        <v>RM 140/ 10 metros de radio.</v>
      </c>
      <c r="AB70" s="6140"/>
      <c r="AC70" s="6140"/>
      <c r="AD70" s="6140"/>
      <c r="AE70" s="6140"/>
      <c r="AF70" s="6140"/>
      <c r="AG70" s="6140"/>
      <c r="AH70" s="6140"/>
      <c r="AI70" s="6140"/>
      <c r="AJ70" s="6141"/>
      <c r="AK70" s="530"/>
      <c r="AL70" s="524"/>
      <c r="AM70" s="588"/>
      <c r="AN70" s="1060"/>
      <c r="AO70" s="6137" t="s">
        <v>3777</v>
      </c>
      <c r="AP70" s="6138"/>
      <c r="AQ70" s="544">
        <f>IF(AO67=0,"",VLOOKUP(AO67,'Tablas Magia'!$D$6:$Z$680,8,FALSE))</f>
        <v>11</v>
      </c>
      <c r="AR70" s="544">
        <f>IF(AO67=0,"",VLOOKUP(AO67,'Tablas Magia'!$D$6:$Z$680,12,FALSE))</f>
        <v>120</v>
      </c>
      <c r="AS70" s="545">
        <f>IF(AO67=0,"",VLOOKUP(AO67,'Tablas Magia'!$D$6:$Z$680,16,FALSE))</f>
        <v>15</v>
      </c>
      <c r="AT70" s="6139" t="str">
        <f>IF(AO67=0,"",VLOOKUP(AO67,'Tablas Magia'!$D$6:$Z$680,20,FALSE))</f>
        <v>Podrá moverse por el agua a velocidad igual a su Tipo de movimiento natural.</v>
      </c>
      <c r="AU70" s="6140"/>
      <c r="AV70" s="6140"/>
      <c r="AW70" s="6140"/>
      <c r="AX70" s="6140"/>
      <c r="AY70" s="6140"/>
      <c r="AZ70" s="6140"/>
      <c r="BA70" s="6140"/>
      <c r="BB70" s="6140"/>
      <c r="BC70" s="6141"/>
      <c r="BD70" s="530"/>
      <c r="BE70" s="524"/>
      <c r="BF70" s="524"/>
      <c r="BG70" s="1060"/>
      <c r="BH70" s="6137" t="s">
        <v>3777</v>
      </c>
      <c r="BI70" s="6138"/>
      <c r="BJ70" s="544">
        <f>IF(BH67=0,"",VLOOKUP(BH67,'Tablas Magia'!$D$6:$Z$680,8,FALSE))</f>
        <v>12</v>
      </c>
      <c r="BK70" s="544">
        <f>IF(BH67=0,"",VLOOKUP(BH67,'Tablas Magia'!$D$6:$Z$680,12,FALSE))</f>
        <v>350</v>
      </c>
      <c r="BL70" s="545" t="str">
        <f>IF(BH67=0,"",VLOOKUP(BH67,'Tablas Magia'!$D$6:$Z$680,16,FALSE))</f>
        <v>No</v>
      </c>
      <c r="BM70" s="6139" t="str">
        <f>IF(BH67=0,"",VLOOKUP(BH67,'Tablas Magia'!$D$6:$Z$680,20,FALSE))</f>
        <v>10 kilómetros de longitud.</v>
      </c>
      <c r="BN70" s="6140"/>
      <c r="BO70" s="6140"/>
      <c r="BP70" s="6140"/>
      <c r="BQ70" s="6140"/>
      <c r="BR70" s="6140"/>
      <c r="BS70" s="6140"/>
      <c r="BT70" s="6140"/>
      <c r="BU70" s="6140"/>
      <c r="BV70" s="6141"/>
      <c r="BW70" s="530"/>
      <c r="BX70" s="524"/>
      <c r="BY70" s="524"/>
      <c r="BZ70" s="1060"/>
      <c r="CA70" s="6137" t="s">
        <v>3777</v>
      </c>
      <c r="CB70" s="6138"/>
      <c r="CC70" s="544">
        <f>IF(CA67=0,"",VLOOKUP(CA67,'Tablas Magia'!$D$6:$Z$680,8,FALSE))</f>
        <v>12</v>
      </c>
      <c r="CD70" s="544">
        <f>IF(CA67=0,"",VLOOKUP(CA67,'Tablas Magia'!$D$6:$Z$680,12,FALSE))</f>
        <v>450</v>
      </c>
      <c r="CE70" s="545">
        <f>IF(CA67=0,"",VLOOKUP(CA67,'Tablas Magia'!$D$6:$Z$680,16,FALSE))</f>
        <v>45</v>
      </c>
      <c r="CF70" s="6139" t="str">
        <f>IF(CA67=0,"",VLOOKUP(CA67,'Tablas Magia'!$D$6:$Z$680,20,FALSE))</f>
        <v>1.000 kilómetros de radio / 180 RM.</v>
      </c>
      <c r="CG70" s="6140"/>
      <c r="CH70" s="6140"/>
      <c r="CI70" s="6140"/>
      <c r="CJ70" s="6140"/>
      <c r="CK70" s="6140"/>
      <c r="CL70" s="6140"/>
      <c r="CM70" s="6140"/>
      <c r="CN70" s="6140"/>
      <c r="CO70" s="6141"/>
      <c r="CP70" s="530"/>
      <c r="CQ70" s="524"/>
    </row>
    <row r="71" spans="1:95" ht="12" customHeight="1" x14ac:dyDescent="0.2">
      <c r="A71" s="524"/>
      <c r="B71" s="1060"/>
      <c r="C71" s="6132" t="s">
        <v>3778</v>
      </c>
      <c r="D71" s="6133"/>
      <c r="E71" s="542">
        <f>IF(C67=0,"",VLOOKUP(C67,'Tablas Magia'!$D$6:$Z$680,9,FALSE))</f>
        <v>10</v>
      </c>
      <c r="F71" s="542">
        <f>IF(C67=0,"",VLOOKUP(C67,'Tablas Magia'!$D$6:$Z$680,13,FALSE))</f>
        <v>200</v>
      </c>
      <c r="G71" s="543">
        <f>IF(C67=0,"",VLOOKUP(C67,'Tablas Magia'!$D$6:$Z$680,17,FALSE))</f>
        <v>10</v>
      </c>
      <c r="H71" s="6134" t="str">
        <f>IF(C67=0,"",VLOOKUP(C67,'Tablas Magia'!$D$6:$Z$680,21,FALSE))</f>
        <v>20 intensidades de frío.</v>
      </c>
      <c r="I71" s="6135"/>
      <c r="J71" s="6135"/>
      <c r="K71" s="6135"/>
      <c r="L71" s="6135"/>
      <c r="M71" s="6135"/>
      <c r="N71" s="6135"/>
      <c r="O71" s="6135"/>
      <c r="P71" s="6135"/>
      <c r="Q71" s="6136"/>
      <c r="R71" s="530"/>
      <c r="S71" s="524"/>
      <c r="T71" s="524"/>
      <c r="U71" s="1060"/>
      <c r="V71" s="6132" t="s">
        <v>3778</v>
      </c>
      <c r="W71" s="6133"/>
      <c r="X71" s="542">
        <f>IF(V67=0,"",VLOOKUP(V67,'Tablas Magia'!$D$6:$Z$680,9,FALSE))</f>
        <v>12</v>
      </c>
      <c r="Y71" s="542">
        <f>IF(V67=0,"",VLOOKUP(V67,'Tablas Magia'!$D$6:$Z$680,13,FALSE))</f>
        <v>140</v>
      </c>
      <c r="Z71" s="543">
        <f>IF(V67=0,"",VLOOKUP(V67,'Tablas Magia'!$D$6:$Z$680,17,FALSE))</f>
        <v>15</v>
      </c>
      <c r="AA71" s="6134" t="str">
        <f>IF(V67=0,"",VLOOKUP(V67,'Tablas Magia'!$D$6:$Z$680,21,FALSE))</f>
        <v>RM 160 / 25 metros de radio.</v>
      </c>
      <c r="AB71" s="6135"/>
      <c r="AC71" s="6135"/>
      <c r="AD71" s="6135"/>
      <c r="AE71" s="6135"/>
      <c r="AF71" s="6135"/>
      <c r="AG71" s="6135"/>
      <c r="AH71" s="6135"/>
      <c r="AI71" s="6135"/>
      <c r="AJ71" s="6136"/>
      <c r="AK71" s="530"/>
      <c r="AL71" s="524"/>
      <c r="AM71" s="588"/>
      <c r="AN71" s="1060"/>
      <c r="AO71" s="6132" t="s">
        <v>3778</v>
      </c>
      <c r="AP71" s="6133"/>
      <c r="AQ71" s="542">
        <f>IF(AO67=0,"",VLOOKUP(AO67,'Tablas Magia'!$D$6:$Z$680,9,FALSE))</f>
        <v>13</v>
      </c>
      <c r="AR71" s="542">
        <f>IF(AO67=0,"",VLOOKUP(AO67,'Tablas Magia'!$D$6:$Z$680,13,FALSE))</f>
        <v>140</v>
      </c>
      <c r="AS71" s="543">
        <f>IF(AO67=0,"",VLOOKUP(AO67,'Tablas Magia'!$D$6:$Z$680,17,FALSE))</f>
        <v>15</v>
      </c>
      <c r="AT71" s="6134" t="str">
        <f>IF(AO67=0,"",VLOOKUP(AO67,'Tablas Magia'!$D$6:$Z$680,21,FALSE))</f>
        <v>Como el Intermedio, pero la calidad de las armas es +10.</v>
      </c>
      <c r="AU71" s="6135"/>
      <c r="AV71" s="6135"/>
      <c r="AW71" s="6135"/>
      <c r="AX71" s="6135"/>
      <c r="AY71" s="6135"/>
      <c r="AZ71" s="6135"/>
      <c r="BA71" s="6135"/>
      <c r="BB71" s="6135"/>
      <c r="BC71" s="6136"/>
      <c r="BD71" s="530"/>
      <c r="BE71" s="524"/>
      <c r="BF71" s="524"/>
      <c r="BG71" s="1060"/>
      <c r="BH71" s="6132" t="s">
        <v>3778</v>
      </c>
      <c r="BI71" s="6133"/>
      <c r="BJ71" s="542">
        <f>IF(BH67=0,"",VLOOKUP(BH67,'Tablas Magia'!$D$6:$Z$680,9,FALSE))</f>
        <v>15</v>
      </c>
      <c r="BK71" s="542">
        <f>IF(BH67=0,"",VLOOKUP(BH67,'Tablas Magia'!$D$6:$Z$680,13,FALSE))</f>
        <v>450</v>
      </c>
      <c r="BL71" s="543" t="str">
        <f>IF(BH67=0,"",VLOOKUP(BH67,'Tablas Magia'!$D$6:$Z$680,17,FALSE))</f>
        <v>No</v>
      </c>
      <c r="BM71" s="6134" t="str">
        <f>IF(BH67=0,"",VLOOKUP(BH67,'Tablas Magia'!$D$6:$Z$680,21,FALSE))</f>
        <v>20 kilómetros de longitud.</v>
      </c>
      <c r="BN71" s="6135"/>
      <c r="BO71" s="6135"/>
      <c r="BP71" s="6135"/>
      <c r="BQ71" s="6135"/>
      <c r="BR71" s="6135"/>
      <c r="BS71" s="6135"/>
      <c r="BT71" s="6135"/>
      <c r="BU71" s="6135"/>
      <c r="BV71" s="6136"/>
      <c r="BW71" s="530"/>
      <c r="BX71" s="524"/>
      <c r="BY71" s="524"/>
      <c r="BZ71" s="1060"/>
      <c r="CA71" s="6132" t="s">
        <v>3778</v>
      </c>
      <c r="CB71" s="6133"/>
      <c r="CC71" s="542">
        <f>IF(CA67=0,"",VLOOKUP(CA67,'Tablas Magia'!$D$6:$Z$680,9,FALSE))</f>
        <v>14</v>
      </c>
      <c r="CD71" s="542">
        <f>IF(CA67=0,"",VLOOKUP(CA67,'Tablas Magia'!$D$6:$Z$680,13,FALSE))</f>
        <v>600</v>
      </c>
      <c r="CE71" s="543">
        <f>IF(CA67=0,"",VLOOKUP(CA67,'Tablas Magia'!$D$6:$Z$680,17,FALSE))</f>
        <v>60</v>
      </c>
      <c r="CF71" s="6134" t="str">
        <f>IF(CA67=0,"",VLOOKUP(CA67,'Tablas Magia'!$D$6:$Z$680,21,FALSE))</f>
        <v>10.000 kilómetros de radio / 200 RM.</v>
      </c>
      <c r="CG71" s="6135"/>
      <c r="CH71" s="6135"/>
      <c r="CI71" s="6135"/>
      <c r="CJ71" s="6135"/>
      <c r="CK71" s="6135"/>
      <c r="CL71" s="6135"/>
      <c r="CM71" s="6135"/>
      <c r="CN71" s="6135"/>
      <c r="CO71" s="6136"/>
      <c r="CP71" s="530"/>
      <c r="CQ71" s="524"/>
    </row>
    <row r="72" spans="1:95" ht="12" customHeight="1" thickBot="1" x14ac:dyDescent="0.25">
      <c r="A72" s="524"/>
      <c r="B72" s="1060"/>
      <c r="C72" s="6142" t="s">
        <v>3779</v>
      </c>
      <c r="D72" s="6143"/>
      <c r="E72" s="546">
        <f>IF(C67=0,"",VLOOKUP(C67,'Tablas Magia'!$D$6:$Z$680,10,FALSE))</f>
        <v>13</v>
      </c>
      <c r="F72" s="546">
        <f>IF(C67=0,"",VLOOKUP(C67,'Tablas Magia'!$D$6:$Z$680,14,FALSE))</f>
        <v>300</v>
      </c>
      <c r="G72" s="547">
        <f>IF(C67=0,"",VLOOKUP(C67,'Tablas Magia'!$D$6:$Z$680,18,FALSE))</f>
        <v>15</v>
      </c>
      <c r="H72" s="6144" t="str">
        <f>IF(C67=0,"",VLOOKUP(C67,'Tablas Magia'!$D$6:$Z$680,22,FALSE))</f>
        <v>30 intensidades de frío.</v>
      </c>
      <c r="I72" s="6145"/>
      <c r="J72" s="6145"/>
      <c r="K72" s="6145"/>
      <c r="L72" s="6145"/>
      <c r="M72" s="6145"/>
      <c r="N72" s="6145"/>
      <c r="O72" s="6145"/>
      <c r="P72" s="6145"/>
      <c r="Q72" s="6146"/>
      <c r="R72" s="530"/>
      <c r="S72" s="524"/>
      <c r="T72" s="524"/>
      <c r="U72" s="1060"/>
      <c r="V72" s="6142" t="s">
        <v>3779</v>
      </c>
      <c r="W72" s="6143"/>
      <c r="X72" s="546">
        <f>IF(V67=0,"",VLOOKUP(V67,'Tablas Magia'!$D$6:$Z$680,10,FALSE))</f>
        <v>15</v>
      </c>
      <c r="Y72" s="546">
        <f>IF(V67=0,"",VLOOKUP(V67,'Tablas Magia'!$D$6:$Z$680,14,FALSE))</f>
        <v>220</v>
      </c>
      <c r="Z72" s="547">
        <f>IF(V67=0,"",VLOOKUP(V67,'Tablas Magia'!$D$6:$Z$680,18,FALSE))</f>
        <v>15</v>
      </c>
      <c r="AA72" s="6144" t="str">
        <f>IF(V67=0,"",VLOOKUP(V67,'Tablas Magia'!$D$6:$Z$680,22,FALSE))</f>
        <v>RM 180 / 50 metros de radio.</v>
      </c>
      <c r="AB72" s="6145"/>
      <c r="AC72" s="6145"/>
      <c r="AD72" s="6145"/>
      <c r="AE72" s="6145"/>
      <c r="AF72" s="6145"/>
      <c r="AG72" s="6145"/>
      <c r="AH72" s="6145"/>
      <c r="AI72" s="6145"/>
      <c r="AJ72" s="6146"/>
      <c r="AK72" s="530"/>
      <c r="AL72" s="524"/>
      <c r="AM72" s="588"/>
      <c r="AN72" s="1060"/>
      <c r="AO72" s="6142" t="s">
        <v>3779</v>
      </c>
      <c r="AP72" s="6143"/>
      <c r="AQ72" s="546">
        <f>IF(AO67=0,"",VLOOKUP(AO67,'Tablas Magia'!$D$6:$Z$680,10,FALSE))</f>
        <v>16</v>
      </c>
      <c r="AR72" s="546">
        <f>IF(AO67=0,"",VLOOKUP(AO67,'Tablas Magia'!$D$6:$Z$680,14,FALSE))</f>
        <v>160</v>
      </c>
      <c r="AS72" s="547">
        <f>IF(AO67=0,"",VLOOKUP(AO67,'Tablas Magia'!$D$6:$Z$680,18,FALSE))</f>
        <v>20</v>
      </c>
      <c r="AT72" s="6144" t="str">
        <f>IF(AO67=0,"",VLOOKUP(AO67,'Tablas Magia'!$D$6:$Z$680,22,FALSE))</f>
        <v>Idem arriba, pero ataques FIL o PEN basados en energía hacen mitad de daño</v>
      </c>
      <c r="AU72" s="6145"/>
      <c r="AV72" s="6145"/>
      <c r="AW72" s="6145"/>
      <c r="AX72" s="6145"/>
      <c r="AY72" s="6145"/>
      <c r="AZ72" s="6145"/>
      <c r="BA72" s="6145"/>
      <c r="BB72" s="6145"/>
      <c r="BC72" s="6146"/>
      <c r="BD72" s="530"/>
      <c r="BE72" s="524"/>
      <c r="BF72" s="524"/>
      <c r="BG72" s="1060"/>
      <c r="BH72" s="6142" t="s">
        <v>3779</v>
      </c>
      <c r="BI72" s="6143"/>
      <c r="BJ72" s="546">
        <f>IF(BH67=0,"",VLOOKUP(BH67,'Tablas Magia'!$D$6:$Z$680,10,FALSE))</f>
        <v>17</v>
      </c>
      <c r="BK72" s="546">
        <f>IF(BH67=0,"",VLOOKUP(BH67,'Tablas Magia'!$D$6:$Z$680,14,FALSE))</f>
        <v>550</v>
      </c>
      <c r="BL72" s="547" t="str">
        <f>IF(BH67=0,"",VLOOKUP(BH67,'Tablas Magia'!$D$6:$Z$680,18,FALSE))</f>
        <v>No</v>
      </c>
      <c r="BM72" s="6144" t="str">
        <f>IF(BH67=0,"",VLOOKUP(BH67,'Tablas Magia'!$D$6:$Z$680,22,FALSE))</f>
        <v>30 kilómetros de longitud / Arrasa construcciones de hasta barrera
de daño 90.</v>
      </c>
      <c r="BN72" s="6145"/>
      <c r="BO72" s="6145"/>
      <c r="BP72" s="6145"/>
      <c r="BQ72" s="6145"/>
      <c r="BR72" s="6145"/>
      <c r="BS72" s="6145"/>
      <c r="BT72" s="6145"/>
      <c r="BU72" s="6145"/>
      <c r="BV72" s="6146"/>
      <c r="BW72" s="530"/>
      <c r="BX72" s="524"/>
      <c r="BY72" s="524"/>
      <c r="BZ72" s="1060"/>
      <c r="CA72" s="6142" t="s">
        <v>3779</v>
      </c>
      <c r="CB72" s="6143"/>
      <c r="CC72" s="546">
        <f>IF(CA67=0,"",VLOOKUP(CA67,'Tablas Magia'!$D$6:$Z$680,10,FALSE))</f>
        <v>16</v>
      </c>
      <c r="CD72" s="546">
        <f>IF(CA67=0,"",VLOOKUP(CA67,'Tablas Magia'!$D$6:$Z$680,14,FALSE))</f>
        <v>1000</v>
      </c>
      <c r="CE72" s="547">
        <f>IF(CA67=0,"",VLOOKUP(CA67,'Tablas Magia'!$D$6:$Z$680,18,FALSE))</f>
        <v>100</v>
      </c>
      <c r="CF72" s="6144" t="str">
        <f>IF(CA67=0,"",VLOOKUP(CA67,'Tablas Magia'!$D$6:$Z$680,22,FALSE))</f>
        <v>100.000 kilómetros de radio / 240 RM.</v>
      </c>
      <c r="CG72" s="6145"/>
      <c r="CH72" s="6145"/>
      <c r="CI72" s="6145"/>
      <c r="CJ72" s="6145"/>
      <c r="CK72" s="6145"/>
      <c r="CL72" s="6145"/>
      <c r="CM72" s="6145"/>
      <c r="CN72" s="6145"/>
      <c r="CO72" s="6146"/>
      <c r="CP72" s="530"/>
      <c r="CQ72" s="524"/>
    </row>
    <row r="73" spans="1:95" ht="12" customHeight="1" x14ac:dyDescent="0.2">
      <c r="A73" s="524"/>
      <c r="B73" s="1060"/>
      <c r="C73" s="6147"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48"/>
      <c r="E73" s="6148"/>
      <c r="F73" s="6148"/>
      <c r="G73" s="6148"/>
      <c r="H73" s="6148"/>
      <c r="I73" s="6148"/>
      <c r="J73" s="6148"/>
      <c r="K73" s="6148"/>
      <c r="L73" s="6148"/>
      <c r="M73" s="6148"/>
      <c r="N73" s="6148"/>
      <c r="O73" s="6148"/>
      <c r="P73" s="6148"/>
      <c r="Q73" s="6149"/>
      <c r="R73" s="530"/>
      <c r="S73" s="524"/>
      <c r="T73" s="524"/>
      <c r="U73" s="1060"/>
      <c r="V73" s="6147"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48"/>
      <c r="X73" s="6148"/>
      <c r="Y73" s="6148"/>
      <c r="Z73" s="6148"/>
      <c r="AA73" s="6148"/>
      <c r="AB73" s="6148"/>
      <c r="AC73" s="6148"/>
      <c r="AD73" s="6148"/>
      <c r="AE73" s="6148"/>
      <c r="AF73" s="6148"/>
      <c r="AG73" s="6148"/>
      <c r="AH73" s="6148"/>
      <c r="AI73" s="6148"/>
      <c r="AJ73" s="6149"/>
      <c r="AK73" s="530"/>
      <c r="AL73" s="524"/>
      <c r="AM73" s="588"/>
      <c r="AN73" s="1060"/>
      <c r="AO73" s="6147"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48"/>
      <c r="AQ73" s="6148"/>
      <c r="AR73" s="6148"/>
      <c r="AS73" s="6148"/>
      <c r="AT73" s="6148"/>
      <c r="AU73" s="6148"/>
      <c r="AV73" s="6148"/>
      <c r="AW73" s="6148"/>
      <c r="AX73" s="6148"/>
      <c r="AY73" s="6148"/>
      <c r="AZ73" s="6148"/>
      <c r="BA73" s="6148"/>
      <c r="BB73" s="6148"/>
      <c r="BC73" s="6149"/>
      <c r="BD73" s="530"/>
      <c r="BE73" s="524"/>
      <c r="BF73" s="524"/>
      <c r="BG73" s="1060"/>
      <c r="BH73" s="6147"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48"/>
      <c r="BJ73" s="6148"/>
      <c r="BK73" s="6148"/>
      <c r="BL73" s="6148"/>
      <c r="BM73" s="6148"/>
      <c r="BN73" s="6148"/>
      <c r="BO73" s="6148"/>
      <c r="BP73" s="6148"/>
      <c r="BQ73" s="6148"/>
      <c r="BR73" s="6148"/>
      <c r="BS73" s="6148"/>
      <c r="BT73" s="6148"/>
      <c r="BU73" s="6148"/>
      <c r="BV73" s="6149"/>
      <c r="BW73" s="530"/>
      <c r="BX73" s="524"/>
      <c r="BY73" s="524"/>
      <c r="BZ73" s="1060"/>
      <c r="CA73" s="6147"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48"/>
      <c r="CC73" s="6148"/>
      <c r="CD73" s="6148"/>
      <c r="CE73" s="6148"/>
      <c r="CF73" s="6148"/>
      <c r="CG73" s="6148"/>
      <c r="CH73" s="6148"/>
      <c r="CI73" s="6148"/>
      <c r="CJ73" s="6148"/>
      <c r="CK73" s="6148"/>
      <c r="CL73" s="6148"/>
      <c r="CM73" s="6148"/>
      <c r="CN73" s="6148"/>
      <c r="CO73" s="6149"/>
      <c r="CP73" s="530"/>
      <c r="CQ73" s="524"/>
    </row>
    <row r="74" spans="1:95" ht="12" customHeight="1" x14ac:dyDescent="0.2">
      <c r="A74" s="524"/>
      <c r="B74" s="1060"/>
      <c r="C74" s="6150"/>
      <c r="D74" s="6151"/>
      <c r="E74" s="6151"/>
      <c r="F74" s="6151"/>
      <c r="G74" s="6151"/>
      <c r="H74" s="6151"/>
      <c r="I74" s="6151"/>
      <c r="J74" s="6151"/>
      <c r="K74" s="6151"/>
      <c r="L74" s="6151"/>
      <c r="M74" s="6151"/>
      <c r="N74" s="6151"/>
      <c r="O74" s="6151"/>
      <c r="P74" s="6151"/>
      <c r="Q74" s="6152"/>
      <c r="R74" s="530"/>
      <c r="S74" s="524"/>
      <c r="T74" s="524"/>
      <c r="U74" s="1060"/>
      <c r="V74" s="6150"/>
      <c r="W74" s="6151"/>
      <c r="X74" s="6151"/>
      <c r="Y74" s="6151"/>
      <c r="Z74" s="6151"/>
      <c r="AA74" s="6151"/>
      <c r="AB74" s="6151"/>
      <c r="AC74" s="6151"/>
      <c r="AD74" s="6151"/>
      <c r="AE74" s="6151"/>
      <c r="AF74" s="6151"/>
      <c r="AG74" s="6151"/>
      <c r="AH74" s="6151"/>
      <c r="AI74" s="6151"/>
      <c r="AJ74" s="6152"/>
      <c r="AK74" s="530"/>
      <c r="AL74" s="524"/>
      <c r="AM74" s="588"/>
      <c r="AN74" s="1060"/>
      <c r="AO74" s="6150"/>
      <c r="AP74" s="6151"/>
      <c r="AQ74" s="6151"/>
      <c r="AR74" s="6151"/>
      <c r="AS74" s="6151"/>
      <c r="AT74" s="6151"/>
      <c r="AU74" s="6151"/>
      <c r="AV74" s="6151"/>
      <c r="AW74" s="6151"/>
      <c r="AX74" s="6151"/>
      <c r="AY74" s="6151"/>
      <c r="AZ74" s="6151"/>
      <c r="BA74" s="6151"/>
      <c r="BB74" s="6151"/>
      <c r="BC74" s="6152"/>
      <c r="BD74" s="530"/>
      <c r="BE74" s="524"/>
      <c r="BF74" s="524"/>
      <c r="BG74" s="1060"/>
      <c r="BH74" s="6150"/>
      <c r="BI74" s="6151"/>
      <c r="BJ74" s="6151"/>
      <c r="BK74" s="6151"/>
      <c r="BL74" s="6151"/>
      <c r="BM74" s="6151"/>
      <c r="BN74" s="6151"/>
      <c r="BO74" s="6151"/>
      <c r="BP74" s="6151"/>
      <c r="BQ74" s="6151"/>
      <c r="BR74" s="6151"/>
      <c r="BS74" s="6151"/>
      <c r="BT74" s="6151"/>
      <c r="BU74" s="6151"/>
      <c r="BV74" s="6152"/>
      <c r="BW74" s="530"/>
      <c r="BX74" s="524"/>
      <c r="BY74" s="524"/>
      <c r="BZ74" s="1060"/>
      <c r="CA74" s="6150"/>
      <c r="CB74" s="6151"/>
      <c r="CC74" s="6151"/>
      <c r="CD74" s="6151"/>
      <c r="CE74" s="6151"/>
      <c r="CF74" s="6151"/>
      <c r="CG74" s="6151"/>
      <c r="CH74" s="6151"/>
      <c r="CI74" s="6151"/>
      <c r="CJ74" s="6151"/>
      <c r="CK74" s="6151"/>
      <c r="CL74" s="6151"/>
      <c r="CM74" s="6151"/>
      <c r="CN74" s="6151"/>
      <c r="CO74" s="6152"/>
      <c r="CP74" s="530"/>
      <c r="CQ74" s="524"/>
    </row>
    <row r="75" spans="1:95" ht="12" customHeight="1" x14ac:dyDescent="0.2">
      <c r="A75" s="524"/>
      <c r="B75" s="1060"/>
      <c r="C75" s="6150"/>
      <c r="D75" s="6151"/>
      <c r="E75" s="6151"/>
      <c r="F75" s="6151"/>
      <c r="G75" s="6151"/>
      <c r="H75" s="6151"/>
      <c r="I75" s="6151"/>
      <c r="J75" s="6151"/>
      <c r="K75" s="6151"/>
      <c r="L75" s="6151"/>
      <c r="M75" s="6151"/>
      <c r="N75" s="6151"/>
      <c r="O75" s="6151"/>
      <c r="P75" s="6151"/>
      <c r="Q75" s="6152"/>
      <c r="R75" s="530"/>
      <c r="S75" s="524"/>
      <c r="T75" s="524"/>
      <c r="U75" s="1060"/>
      <c r="V75" s="6150"/>
      <c r="W75" s="6151"/>
      <c r="X75" s="6151"/>
      <c r="Y75" s="6151"/>
      <c r="Z75" s="6151"/>
      <c r="AA75" s="6151"/>
      <c r="AB75" s="6151"/>
      <c r="AC75" s="6151"/>
      <c r="AD75" s="6151"/>
      <c r="AE75" s="6151"/>
      <c r="AF75" s="6151"/>
      <c r="AG75" s="6151"/>
      <c r="AH75" s="6151"/>
      <c r="AI75" s="6151"/>
      <c r="AJ75" s="6152"/>
      <c r="AK75" s="530"/>
      <c r="AL75" s="524"/>
      <c r="AM75" s="588"/>
      <c r="AN75" s="1060"/>
      <c r="AO75" s="6150"/>
      <c r="AP75" s="6151"/>
      <c r="AQ75" s="6151"/>
      <c r="AR75" s="6151"/>
      <c r="AS75" s="6151"/>
      <c r="AT75" s="6151"/>
      <c r="AU75" s="6151"/>
      <c r="AV75" s="6151"/>
      <c r="AW75" s="6151"/>
      <c r="AX75" s="6151"/>
      <c r="AY75" s="6151"/>
      <c r="AZ75" s="6151"/>
      <c r="BA75" s="6151"/>
      <c r="BB75" s="6151"/>
      <c r="BC75" s="6152"/>
      <c r="BD75" s="530"/>
      <c r="BE75" s="524"/>
      <c r="BF75" s="524"/>
      <c r="BG75" s="1060"/>
      <c r="BH75" s="6150"/>
      <c r="BI75" s="6151"/>
      <c r="BJ75" s="6151"/>
      <c r="BK75" s="6151"/>
      <c r="BL75" s="6151"/>
      <c r="BM75" s="6151"/>
      <c r="BN75" s="6151"/>
      <c r="BO75" s="6151"/>
      <c r="BP75" s="6151"/>
      <c r="BQ75" s="6151"/>
      <c r="BR75" s="6151"/>
      <c r="BS75" s="6151"/>
      <c r="BT75" s="6151"/>
      <c r="BU75" s="6151"/>
      <c r="BV75" s="6152"/>
      <c r="BW75" s="530"/>
      <c r="BX75" s="524"/>
      <c r="BY75" s="524"/>
      <c r="BZ75" s="1060"/>
      <c r="CA75" s="6150"/>
      <c r="CB75" s="6151"/>
      <c r="CC75" s="6151"/>
      <c r="CD75" s="6151"/>
      <c r="CE75" s="6151"/>
      <c r="CF75" s="6151"/>
      <c r="CG75" s="6151"/>
      <c r="CH75" s="6151"/>
      <c r="CI75" s="6151"/>
      <c r="CJ75" s="6151"/>
      <c r="CK75" s="6151"/>
      <c r="CL75" s="6151"/>
      <c r="CM75" s="6151"/>
      <c r="CN75" s="6151"/>
      <c r="CO75" s="6152"/>
      <c r="CP75" s="530"/>
      <c r="CQ75" s="524"/>
    </row>
    <row r="76" spans="1:95" ht="12" customHeight="1" thickBot="1" x14ac:dyDescent="0.25">
      <c r="A76" s="524"/>
      <c r="B76" s="1060"/>
      <c r="C76" s="6153"/>
      <c r="D76" s="6154"/>
      <c r="E76" s="6154"/>
      <c r="F76" s="6154"/>
      <c r="G76" s="6154"/>
      <c r="H76" s="6154"/>
      <c r="I76" s="6154"/>
      <c r="J76" s="6154"/>
      <c r="K76" s="6154"/>
      <c r="L76" s="6154"/>
      <c r="M76" s="6154"/>
      <c r="N76" s="6154"/>
      <c r="O76" s="6154"/>
      <c r="P76" s="6154"/>
      <c r="Q76" s="6155"/>
      <c r="R76" s="530"/>
      <c r="S76" s="524"/>
      <c r="T76" s="524"/>
      <c r="U76" s="1060"/>
      <c r="V76" s="6153"/>
      <c r="W76" s="6154"/>
      <c r="X76" s="6154"/>
      <c r="Y76" s="6154"/>
      <c r="Z76" s="6154"/>
      <c r="AA76" s="6154"/>
      <c r="AB76" s="6154"/>
      <c r="AC76" s="6154"/>
      <c r="AD76" s="6154"/>
      <c r="AE76" s="6154"/>
      <c r="AF76" s="6154"/>
      <c r="AG76" s="6154"/>
      <c r="AH76" s="6154"/>
      <c r="AI76" s="6154"/>
      <c r="AJ76" s="6155"/>
      <c r="AK76" s="530"/>
      <c r="AL76" s="524"/>
      <c r="AM76" s="588"/>
      <c r="AN76" s="1060"/>
      <c r="AO76" s="6153"/>
      <c r="AP76" s="6154"/>
      <c r="AQ76" s="6154"/>
      <c r="AR76" s="6154"/>
      <c r="AS76" s="6154"/>
      <c r="AT76" s="6154"/>
      <c r="AU76" s="6154"/>
      <c r="AV76" s="6154"/>
      <c r="AW76" s="6154"/>
      <c r="AX76" s="6154"/>
      <c r="AY76" s="6154"/>
      <c r="AZ76" s="6154"/>
      <c r="BA76" s="6154"/>
      <c r="BB76" s="6154"/>
      <c r="BC76" s="6155"/>
      <c r="BD76" s="530"/>
      <c r="BE76" s="524"/>
      <c r="BF76" s="524"/>
      <c r="BG76" s="1060"/>
      <c r="BH76" s="6153"/>
      <c r="BI76" s="6154"/>
      <c r="BJ76" s="6154"/>
      <c r="BK76" s="6154"/>
      <c r="BL76" s="6154"/>
      <c r="BM76" s="6154"/>
      <c r="BN76" s="6154"/>
      <c r="BO76" s="6154"/>
      <c r="BP76" s="6154"/>
      <c r="BQ76" s="6154"/>
      <c r="BR76" s="6154"/>
      <c r="BS76" s="6154"/>
      <c r="BT76" s="6154"/>
      <c r="BU76" s="6154"/>
      <c r="BV76" s="6155"/>
      <c r="BW76" s="530"/>
      <c r="BX76" s="524"/>
      <c r="BY76" s="524"/>
      <c r="BZ76" s="1060"/>
      <c r="CA76" s="6153"/>
      <c r="CB76" s="6154"/>
      <c r="CC76" s="6154"/>
      <c r="CD76" s="6154"/>
      <c r="CE76" s="6154"/>
      <c r="CF76" s="6154"/>
      <c r="CG76" s="6154"/>
      <c r="CH76" s="6154"/>
      <c r="CI76" s="6154"/>
      <c r="CJ76" s="6154"/>
      <c r="CK76" s="6154"/>
      <c r="CL76" s="6154"/>
      <c r="CM76" s="6154"/>
      <c r="CN76" s="6154"/>
      <c r="CO76" s="6155"/>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7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79"/>
      <c r="E78" s="6179"/>
      <c r="F78" s="6179"/>
      <c r="G78" s="6179"/>
      <c r="H78" s="537" t="s">
        <v>1597</v>
      </c>
      <c r="I78" s="538">
        <f>B78</f>
        <v>14</v>
      </c>
      <c r="J78" s="6173" t="s">
        <v>6888</v>
      </c>
      <c r="K78" s="6173"/>
      <c r="L78" s="6173"/>
      <c r="M78" s="6161" t="str">
        <f>IF(C78=0,"",VLOOKUP(C78,'Tablas Magia'!$D$6:$Z$680,2,FALSE))</f>
        <v>Sangre</v>
      </c>
      <c r="N78" s="6161"/>
      <c r="O78" s="2428"/>
      <c r="P78" s="6177" t="str">
        <f>IFERROR(IF(M78="Libre Acceso","Aprendido",IF(IFERROR(VLOOKUP(M78,Místicos!$C$15:$H$25,6,0)&gt;=I78,FALSE),"Aprendido",IF(IFERROR(VLOOKUP(M78,Místicos!$E$15:$H$25,4,0)&gt;=I78,FALSE),"Aprendido",""))),"")</f>
        <v/>
      </c>
      <c r="Q78" s="6178"/>
      <c r="R78" s="530"/>
      <c r="S78" s="524"/>
      <c r="T78" s="524"/>
      <c r="U78" s="1060">
        <f>U67+2</f>
        <v>34</v>
      </c>
      <c r="V78" s="617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79"/>
      <c r="X78" s="6179"/>
      <c r="Y78" s="6179"/>
      <c r="Z78" s="6179"/>
      <c r="AA78" s="537" t="s">
        <v>1597</v>
      </c>
      <c r="AB78" s="538">
        <f>U78</f>
        <v>34</v>
      </c>
      <c r="AC78" s="6173" t="s">
        <v>6888</v>
      </c>
      <c r="AD78" s="6173"/>
      <c r="AE78" s="6173"/>
      <c r="AF78" s="6161" t="str">
        <f>IF(V78=0,"",VLOOKUP(V78,'Tablas Magia'!$D$6:$Z$680,2,FALSE))</f>
        <v>Sangre</v>
      </c>
      <c r="AG78" s="6161"/>
      <c r="AH78" s="2428"/>
      <c r="AI78" s="6177" t="str">
        <f>IFERROR(IF(AF78="Libre Acceso","Aprendido",IF(IFERROR(VLOOKUP(AF78,Místicos!$C$15:$H$25,6,0)&gt;=AB78,FALSE),"Aprendido",IF(IFERROR(VLOOKUP(AF78,Místicos!$E$15:$H$25,4,0)&gt;=AB78,FALSE),"Aprendido",""))),"")</f>
        <v/>
      </c>
      <c r="AJ78" s="6178"/>
      <c r="AK78" s="530"/>
      <c r="AL78" s="524"/>
      <c r="AM78" s="588"/>
      <c r="AN78" s="1060">
        <f>AN67+2</f>
        <v>54</v>
      </c>
      <c r="AO78" s="617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79"/>
      <c r="AQ78" s="6179"/>
      <c r="AR78" s="6179"/>
      <c r="AS78" s="6179"/>
      <c r="AT78" s="537" t="s">
        <v>1597</v>
      </c>
      <c r="AU78" s="538">
        <f>AN78</f>
        <v>54</v>
      </c>
      <c r="AV78" s="6173" t="s">
        <v>6888</v>
      </c>
      <c r="AW78" s="6173"/>
      <c r="AX78" s="6173"/>
      <c r="AY78" s="6161" t="str">
        <f>IF(AO78=0,"",VLOOKUP(AO78,'Tablas Magia'!$D$6:$Z$680,2,FALSE))</f>
        <v>Sangre</v>
      </c>
      <c r="AZ78" s="6161"/>
      <c r="BA78" s="2428"/>
      <c r="BB78" s="6177" t="str">
        <f>IFERROR(IF(AY78="Libre Acceso","Aprendido",IF(IFERROR(VLOOKUP(AY78,Místicos!$C$15:$H$25,6,0)&gt;=AU78,FALSE),"Aprendido",IF(IFERROR(VLOOKUP(AY78,Místicos!$E$15:$H$25,4,0)&gt;=AU78,FALSE),"Aprendido",""))),"")</f>
        <v/>
      </c>
      <c r="BC78" s="6178"/>
      <c r="BD78" s="530"/>
      <c r="BE78" s="524"/>
      <c r="BF78" s="524"/>
      <c r="BG78" s="1060">
        <f>BG67+2</f>
        <v>74</v>
      </c>
      <c r="BH78" s="617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79"/>
      <c r="BJ78" s="6179"/>
      <c r="BK78" s="6179"/>
      <c r="BL78" s="6179"/>
      <c r="BM78" s="537" t="s">
        <v>1597</v>
      </c>
      <c r="BN78" s="538">
        <f>BG78</f>
        <v>74</v>
      </c>
      <c r="BO78" s="6173" t="s">
        <v>6888</v>
      </c>
      <c r="BP78" s="6173"/>
      <c r="BQ78" s="6173"/>
      <c r="BR78" s="6161" t="str">
        <f>IF(BH78=0,"",VLOOKUP(BH78,'Tablas Magia'!$D$6:$Z$680,2,FALSE))</f>
        <v>Sangre</v>
      </c>
      <c r="BS78" s="6161"/>
      <c r="BT78" s="2428"/>
      <c r="BU78" s="6177" t="str">
        <f>IFERROR(IF(BR78="Libre Acceso","Aprendido",IF(IFERROR(VLOOKUP(BR78,Místicos!$C$15:$H$25,6,0)&gt;=BN78,FALSE),"Aprendido",IF(IFERROR(VLOOKUP(BR78,Místicos!$E$15:$H$25,4,0)&gt;=BN78,FALSE),"Aprendido",""))),"")</f>
        <v/>
      </c>
      <c r="BV78" s="6178"/>
      <c r="BW78" s="530"/>
      <c r="BX78" s="524"/>
      <c r="BY78" s="524"/>
      <c r="BZ78" s="1060">
        <f>BZ67+2</f>
        <v>94</v>
      </c>
      <c r="CA78" s="617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79"/>
      <c r="CC78" s="6179"/>
      <c r="CD78" s="6179"/>
      <c r="CE78" s="6179"/>
      <c r="CF78" s="537" t="s">
        <v>1597</v>
      </c>
      <c r="CG78" s="538">
        <f>BZ78</f>
        <v>94</v>
      </c>
      <c r="CH78" s="6173" t="s">
        <v>6888</v>
      </c>
      <c r="CI78" s="6173"/>
      <c r="CJ78" s="6173"/>
      <c r="CK78" s="6161" t="str">
        <f>IF(CA78=0,"",VLOOKUP(CA78,'Tablas Magia'!$D$6:$Z$680,2,FALSE))</f>
        <v>Sangre</v>
      </c>
      <c r="CL78" s="6161"/>
      <c r="CM78" s="2428"/>
      <c r="CN78" s="6177" t="str">
        <f>IFERROR(IF(CK78="Libre Acceso","Aprendido",IF(IFERROR(VLOOKUP(CK78,Místicos!$C$15:$H$25,6,0)&gt;=CG78,FALSE),"Aprendido",IF(IFERROR(VLOOKUP(CK78,Místicos!$E$15:$H$25,4,0)&gt;=CG78,FALSE),"Aprendido",""))),"")</f>
        <v/>
      </c>
      <c r="CO78" s="6178"/>
      <c r="CP78" s="530"/>
      <c r="CQ78" s="524"/>
    </row>
    <row r="79" spans="1:95" ht="12" customHeight="1" x14ac:dyDescent="0.2">
      <c r="A79" s="524"/>
      <c r="B79" s="1060"/>
      <c r="C79" s="6156" t="s">
        <v>6889</v>
      </c>
      <c r="D79" s="6172"/>
      <c r="E79" s="2452" t="s">
        <v>6890</v>
      </c>
      <c r="F79" s="2452" t="s">
        <v>1783</v>
      </c>
      <c r="G79" s="2452" t="s">
        <v>3227</v>
      </c>
      <c r="H79" s="2453" t="s">
        <v>2121</v>
      </c>
      <c r="I79" s="6170" t="str">
        <f>IF(C78=0,"",VLOOKUP(C78,'Tablas Magia'!$D$6:$Z$680,5,FALSE))</f>
        <v>Efecto</v>
      </c>
      <c r="J79" s="6170"/>
      <c r="K79" s="6171" t="s">
        <v>6891</v>
      </c>
      <c r="L79" s="6171"/>
      <c r="M79" s="6170" t="str">
        <f>IF(C78=0,"",VLOOKUP(C78,'Tablas Magia'!$D$6:$Z$680,6,FALSE))</f>
        <v>Activa</v>
      </c>
      <c r="N79" s="6170"/>
      <c r="O79" s="6169" t="s">
        <v>6892</v>
      </c>
      <c r="P79" s="6169"/>
      <c r="Q79" s="2454" t="str">
        <f>IF(C78=0,"",VLOOKUP(C78,'Tablas Magia'!$D$6:$Z$680,4,FALSE))</f>
        <v>No</v>
      </c>
      <c r="R79" s="530"/>
      <c r="S79" s="524"/>
      <c r="T79" s="524"/>
      <c r="U79" s="1060"/>
      <c r="V79" s="6156" t="s">
        <v>6889</v>
      </c>
      <c r="W79" s="6172"/>
      <c r="X79" s="2452" t="s">
        <v>6890</v>
      </c>
      <c r="Y79" s="2452" t="s">
        <v>1783</v>
      </c>
      <c r="Z79" s="2452" t="s">
        <v>3227</v>
      </c>
      <c r="AA79" s="2453" t="s">
        <v>2121</v>
      </c>
      <c r="AB79" s="6170" t="str">
        <f>IF(V78=0,"",VLOOKUP(V78,'Tablas Magia'!$D$6:$Z$680,5,FALSE))</f>
        <v>Efecto</v>
      </c>
      <c r="AC79" s="6170"/>
      <c r="AD79" s="6171" t="s">
        <v>6891</v>
      </c>
      <c r="AE79" s="6171"/>
      <c r="AF79" s="6170" t="str">
        <f>IF(V78=0,"",VLOOKUP(V78,'Tablas Magia'!$D$6:$Z$680,6,FALSE))</f>
        <v>Activa</v>
      </c>
      <c r="AG79" s="6170"/>
      <c r="AH79" s="6169" t="s">
        <v>6892</v>
      </c>
      <c r="AI79" s="6169"/>
      <c r="AJ79" s="2454" t="str">
        <f>IF(V78=0,"",VLOOKUP(V78,'Tablas Magia'!$D$6:$Z$680,4,FALSE))</f>
        <v>No</v>
      </c>
      <c r="AK79" s="530"/>
      <c r="AL79" s="524"/>
      <c r="AM79" s="588"/>
      <c r="AN79" s="1060"/>
      <c r="AO79" s="6156" t="s">
        <v>6889</v>
      </c>
      <c r="AP79" s="6172"/>
      <c r="AQ79" s="2452" t="s">
        <v>6890</v>
      </c>
      <c r="AR79" s="2452" t="s">
        <v>1783</v>
      </c>
      <c r="AS79" s="2452" t="s">
        <v>3227</v>
      </c>
      <c r="AT79" s="2453" t="s">
        <v>2121</v>
      </c>
      <c r="AU79" s="6170" t="str">
        <f>IF(AO78=0,"",VLOOKUP(AO78,'Tablas Magia'!$D$6:$Z$680,5,FALSE))</f>
        <v>Anímico</v>
      </c>
      <c r="AV79" s="6170"/>
      <c r="AW79" s="6171" t="s">
        <v>6891</v>
      </c>
      <c r="AX79" s="6171"/>
      <c r="AY79" s="6170" t="str">
        <f>IF(AO78=0,"",VLOOKUP(AO78,'Tablas Magia'!$D$6:$Z$680,6,FALSE))</f>
        <v>Activa</v>
      </c>
      <c r="AZ79" s="6170"/>
      <c r="BA79" s="6169" t="s">
        <v>6892</v>
      </c>
      <c r="BB79" s="6169"/>
      <c r="BC79" s="2454" t="str">
        <f>IF(AO78=0,"",VLOOKUP(AO78,'Tablas Magia'!$D$6:$Z$680,4,FALSE))</f>
        <v>No</v>
      </c>
      <c r="BD79" s="530"/>
      <c r="BE79" s="524"/>
      <c r="BF79" s="524"/>
      <c r="BG79" s="1060"/>
      <c r="BH79" s="6156" t="s">
        <v>6889</v>
      </c>
      <c r="BI79" s="6172"/>
      <c r="BJ79" s="2452" t="s">
        <v>6890</v>
      </c>
      <c r="BK79" s="2452" t="s">
        <v>1783</v>
      </c>
      <c r="BL79" s="2452" t="s">
        <v>3227</v>
      </c>
      <c r="BM79" s="2453" t="s">
        <v>2121</v>
      </c>
      <c r="BN79" s="6170" t="str">
        <f>IF(BH78=0,"",VLOOKUP(BH78,'Tablas Magia'!$D$6:$Z$680,5,FALSE))</f>
        <v>Anímico</v>
      </c>
      <c r="BO79" s="6170"/>
      <c r="BP79" s="6171" t="s">
        <v>6891</v>
      </c>
      <c r="BQ79" s="6171"/>
      <c r="BR79" s="6170" t="str">
        <f>IF(BH78=0,"",VLOOKUP(BH78,'Tablas Magia'!$D$6:$Z$680,6,FALSE))</f>
        <v>Activa</v>
      </c>
      <c r="BS79" s="6170"/>
      <c r="BT79" s="6169" t="s">
        <v>6892</v>
      </c>
      <c r="BU79" s="6169"/>
      <c r="BV79" s="2454" t="str">
        <f>IF(BH78=0,"",VLOOKUP(BH78,'Tablas Magia'!$D$6:$Z$680,4,FALSE))</f>
        <v>No</v>
      </c>
      <c r="BW79" s="530"/>
      <c r="BX79" s="524"/>
      <c r="BY79" s="524"/>
      <c r="BZ79" s="1060"/>
      <c r="CA79" s="6156" t="s">
        <v>6889</v>
      </c>
      <c r="CB79" s="6172"/>
      <c r="CC79" s="2452" t="s">
        <v>6890</v>
      </c>
      <c r="CD79" s="2452" t="s">
        <v>1783</v>
      </c>
      <c r="CE79" s="2452" t="s">
        <v>3227</v>
      </c>
      <c r="CF79" s="2453" t="s">
        <v>2121</v>
      </c>
      <c r="CG79" s="6170" t="str">
        <f>IF(CA78=0,"",VLOOKUP(CA78,'Tablas Magia'!$D$6:$Z$680,5,FALSE))</f>
        <v>Anímico</v>
      </c>
      <c r="CH79" s="6170"/>
      <c r="CI79" s="6171" t="s">
        <v>6891</v>
      </c>
      <c r="CJ79" s="6171"/>
      <c r="CK79" s="6170" t="str">
        <f>IF(CA78=0,"",VLOOKUP(CA78,'Tablas Magia'!$D$6:$Z$680,6,FALSE))</f>
        <v>Activa</v>
      </c>
      <c r="CL79" s="6170"/>
      <c r="CM79" s="6169" t="s">
        <v>6892</v>
      </c>
      <c r="CN79" s="6169"/>
      <c r="CO79" s="2454" t="str">
        <f>IF(CA78=0,"",VLOOKUP(CA78,'Tablas Magia'!$D$6:$Z$680,4,FALSE))</f>
        <v>No</v>
      </c>
      <c r="CP79" s="530"/>
      <c r="CQ79" s="524"/>
    </row>
    <row r="80" spans="1:95" ht="12" customHeight="1" x14ac:dyDescent="0.2">
      <c r="A80" s="524"/>
      <c r="B80" s="1060"/>
      <c r="C80" s="6132" t="s">
        <v>1638</v>
      </c>
      <c r="D80" s="6133"/>
      <c r="E80" s="542">
        <f>IF(C78=0,"",VLOOKUP(C78,'Tablas Magia'!$D$6:$Z$680,7,FALSE))</f>
        <v>6</v>
      </c>
      <c r="F80" s="542">
        <f>IF(C78=0,"",VLOOKUP(C78,'Tablas Magia'!$D$6:$Z$680,11,FALSE))</f>
        <v>40</v>
      </c>
      <c r="G80" s="543" t="str">
        <f>IF(C78=0,"",VLOOKUP(C78,'Tablas Magia'!$D$6:$Z$680,15,FALSE))</f>
        <v>No</v>
      </c>
      <c r="H80" s="6134" t="str">
        <f>IF(C78=0,"",VLOOKUP(C78,'Tablas Magia'!$D$6:$Z$680,19,FALSE))</f>
        <v>Elimina automáticamente cualquier desangramiento.</v>
      </c>
      <c r="I80" s="6135"/>
      <c r="J80" s="6135"/>
      <c r="K80" s="6135"/>
      <c r="L80" s="6135"/>
      <c r="M80" s="6135"/>
      <c r="N80" s="6135"/>
      <c r="O80" s="6135"/>
      <c r="P80" s="6135"/>
      <c r="Q80" s="6136"/>
      <c r="R80" s="530"/>
      <c r="S80" s="524"/>
      <c r="T80" s="524"/>
      <c r="U80" s="1060"/>
      <c r="V80" s="6132" t="s">
        <v>1638</v>
      </c>
      <c r="W80" s="6133"/>
      <c r="X80" s="542">
        <f>IF(V78=0,"",VLOOKUP(V78,'Tablas Magia'!$D$6:$Z$680,7,FALSE))</f>
        <v>6</v>
      </c>
      <c r="Y80" s="542">
        <f>IF(V78=0,"",VLOOKUP(V78,'Tablas Magia'!$D$6:$Z$680,11,FALSE))</f>
        <v>80</v>
      </c>
      <c r="Z80" s="543">
        <f>IF(V78=0,"",VLOOKUP(V78,'Tablas Magia'!$D$6:$Z$680,15,FALSE))</f>
        <v>10</v>
      </c>
      <c r="AA80" s="6134" t="str">
        <f>IF(V78=0,"",VLOOKUP(V78,'Tablas Magia'!$D$6:$Z$680,19,FALSE))</f>
        <v>Pérdida de -10 PV / Calidad +0 / Objetos de hasta 2 Kg</v>
      </c>
      <c r="AB80" s="6135"/>
      <c r="AC80" s="6135"/>
      <c r="AD80" s="6135"/>
      <c r="AE80" s="6135"/>
      <c r="AF80" s="6135"/>
      <c r="AG80" s="6135"/>
      <c r="AH80" s="6135"/>
      <c r="AI80" s="6135"/>
      <c r="AJ80" s="6136"/>
      <c r="AK80" s="530"/>
      <c r="AL80" s="524"/>
      <c r="AM80" s="588"/>
      <c r="AN80" s="1060"/>
      <c r="AO80" s="6132" t="s">
        <v>1638</v>
      </c>
      <c r="AP80" s="6133"/>
      <c r="AQ80" s="542">
        <f>IF(AO78=0,"",VLOOKUP(AO78,'Tablas Magia'!$D$6:$Z$680,7,FALSE))</f>
        <v>6</v>
      </c>
      <c r="AR80" s="542">
        <f>IF(AO78=0,"",VLOOKUP(AO78,'Tablas Magia'!$D$6:$Z$680,11,FALSE))</f>
        <v>100</v>
      </c>
      <c r="AS80" s="543">
        <f>IF(AO78=0,"",VLOOKUP(AO78,'Tablas Magia'!$D$6:$Z$680,15,FALSE))</f>
        <v>10</v>
      </c>
      <c r="AT80" s="6134" t="str">
        <f>IF(AO78=0,"",VLOOKUP(AO78,'Tablas Magia'!$D$6:$Z$680,19,FALSE))</f>
        <v>Incrementa el Daño Recibido un 50% / RM 120</v>
      </c>
      <c r="AU80" s="6135"/>
      <c r="AV80" s="6135"/>
      <c r="AW80" s="6135"/>
      <c r="AX80" s="6135"/>
      <c r="AY80" s="6135"/>
      <c r="AZ80" s="6135"/>
      <c r="BA80" s="6135"/>
      <c r="BB80" s="6135"/>
      <c r="BC80" s="6136"/>
      <c r="BD80" s="530"/>
      <c r="BE80" s="524"/>
      <c r="BF80" s="524"/>
      <c r="BG80" s="1060"/>
      <c r="BH80" s="6132" t="s">
        <v>1638</v>
      </c>
      <c r="BI80" s="6133"/>
      <c r="BJ80" s="542">
        <f>IF(BH78=0,"",VLOOKUP(BH78,'Tablas Magia'!$D$6:$Z$680,7,FALSE))</f>
        <v>10</v>
      </c>
      <c r="BK80" s="542">
        <f>IF(BH78=0,"",VLOOKUP(BH78,'Tablas Magia'!$D$6:$Z$680,11,FALSE))</f>
        <v>280</v>
      </c>
      <c r="BL80" s="543" t="str">
        <f>IF(BH78=0,"",VLOOKUP(BH78,'Tablas Magia'!$D$6:$Z$680,15,FALSE))</f>
        <v>No</v>
      </c>
      <c r="BM80" s="6134" t="str">
        <f>IF(BH78=0,"",VLOOKUP(BH78,'Tablas Magia'!$D$6:$Z$680,19,FALSE))</f>
        <v>RM o RF 140 / Daño 50</v>
      </c>
      <c r="BN80" s="6135"/>
      <c r="BO80" s="6135"/>
      <c r="BP80" s="6135"/>
      <c r="BQ80" s="6135"/>
      <c r="BR80" s="6135"/>
      <c r="BS80" s="6135"/>
      <c r="BT80" s="6135"/>
      <c r="BU80" s="6135"/>
      <c r="BV80" s="6136"/>
      <c r="BW80" s="530"/>
      <c r="BX80" s="524"/>
      <c r="BY80" s="524"/>
      <c r="BZ80" s="1060"/>
      <c r="CA80" s="6132" t="s">
        <v>1638</v>
      </c>
      <c r="CB80" s="6133"/>
      <c r="CC80" s="542">
        <f>IF(CA78=0,"",VLOOKUP(CA78,'Tablas Magia'!$D$6:$Z$680,7,FALSE))</f>
        <v>10</v>
      </c>
      <c r="CD80" s="542">
        <f>IF(CA78=0,"",VLOOKUP(CA78,'Tablas Magia'!$D$6:$Z$680,11,FALSE))</f>
        <v>280</v>
      </c>
      <c r="CE80" s="543" t="str">
        <f>IF(CA78=0,"",VLOOKUP(CA78,'Tablas Magia'!$D$6:$Z$680,15,FALSE))</f>
        <v>No</v>
      </c>
      <c r="CF80" s="6134" t="str">
        <f>IF(CA78=0,"",VLOOKUP(CA78,'Tablas Magia'!$D$6:$Z$680,19,FALSE))</f>
        <v>RM o RF 120 / Daño 60 / 500 Puntos de Resistencia</v>
      </c>
      <c r="CG80" s="6135"/>
      <c r="CH80" s="6135"/>
      <c r="CI80" s="6135"/>
      <c r="CJ80" s="6135"/>
      <c r="CK80" s="6135"/>
      <c r="CL80" s="6135"/>
      <c r="CM80" s="6135"/>
      <c r="CN80" s="6135"/>
      <c r="CO80" s="6136"/>
      <c r="CP80" s="530"/>
      <c r="CQ80" s="524"/>
    </row>
    <row r="81" spans="1:95" ht="12" customHeight="1" x14ac:dyDescent="0.2">
      <c r="A81" s="524"/>
      <c r="B81" s="1060"/>
      <c r="C81" s="6137" t="s">
        <v>3777</v>
      </c>
      <c r="D81" s="6138"/>
      <c r="E81" s="544">
        <f>IF(C78=0,"",VLOOKUP(C78,'Tablas Magia'!$D$6:$Z$680,8,FALSE))</f>
        <v>8</v>
      </c>
      <c r="F81" s="544">
        <f>IF(C78=0,"",VLOOKUP(C78,'Tablas Magia'!$D$6:$Z$680,12,FALSE))</f>
        <v>80</v>
      </c>
      <c r="G81" s="545" t="str">
        <f>IF(C78=0,"",VLOOKUP(C78,'Tablas Magia'!$D$6:$Z$680,16,FALSE))</f>
        <v>No</v>
      </c>
      <c r="H81" s="6139" t="str">
        <f>IF(C78=0,"",VLOOKUP(C78,'Tablas Magia'!$D$6:$Z$680,20,FALSE))</f>
        <v>Recupera un 20% de los PV perdidos por cortes o hemorragias.</v>
      </c>
      <c r="I81" s="6140"/>
      <c r="J81" s="6140"/>
      <c r="K81" s="6140"/>
      <c r="L81" s="6140"/>
      <c r="M81" s="6140"/>
      <c r="N81" s="6140"/>
      <c r="O81" s="6140"/>
      <c r="P81" s="6140"/>
      <c r="Q81" s="6141"/>
      <c r="R81" s="530"/>
      <c r="S81" s="524"/>
      <c r="T81" s="524"/>
      <c r="U81" s="1060"/>
      <c r="V81" s="6137" t="s">
        <v>3777</v>
      </c>
      <c r="W81" s="6138"/>
      <c r="X81" s="544">
        <f>IF(V78=0,"",VLOOKUP(V78,'Tablas Magia'!$D$6:$Z$680,8,FALSE))</f>
        <v>9</v>
      </c>
      <c r="Y81" s="544">
        <f>IF(V78=0,"",VLOOKUP(V78,'Tablas Magia'!$D$6:$Z$680,12,FALSE))</f>
        <v>120</v>
      </c>
      <c r="Z81" s="545">
        <f>IF(V78=0,"",VLOOKUP(V78,'Tablas Magia'!$D$6:$Z$680,16,FALSE))</f>
        <v>40</v>
      </c>
      <c r="AA81" s="6139" t="str">
        <f>IF(V78=0,"",VLOOKUP(V78,'Tablas Magia'!$D$6:$Z$680,20,FALSE))</f>
        <v>Pérdida de -20 PV / Calidad +5 / Objetos de hasta 5 Kg</v>
      </c>
      <c r="AB81" s="6140"/>
      <c r="AC81" s="6140"/>
      <c r="AD81" s="6140"/>
      <c r="AE81" s="6140"/>
      <c r="AF81" s="6140"/>
      <c r="AG81" s="6140"/>
      <c r="AH81" s="6140"/>
      <c r="AI81" s="6140"/>
      <c r="AJ81" s="6141"/>
      <c r="AK81" s="530"/>
      <c r="AL81" s="524"/>
      <c r="AM81" s="588"/>
      <c r="AN81" s="1060"/>
      <c r="AO81" s="6137" t="s">
        <v>3777</v>
      </c>
      <c r="AP81" s="6138"/>
      <c r="AQ81" s="544">
        <f>IF(AO78=0,"",VLOOKUP(AO78,'Tablas Magia'!$D$6:$Z$680,8,FALSE))</f>
        <v>9</v>
      </c>
      <c r="AR81" s="544">
        <f>IF(AO78=0,"",VLOOKUP(AO78,'Tablas Magia'!$D$6:$Z$680,12,FALSE))</f>
        <v>150</v>
      </c>
      <c r="AS81" s="545">
        <f>IF(AO78=0,"",VLOOKUP(AO78,'Tablas Magia'!$D$6:$Z$680,16,FALSE))</f>
        <v>15</v>
      </c>
      <c r="AT81" s="6139" t="str">
        <f>IF(AO78=0,"",VLOOKUP(AO78,'Tablas Magia'!$D$6:$Z$680,20,FALSE))</f>
        <v>Dobla el Daño Recibido / RM 140</v>
      </c>
      <c r="AU81" s="6140"/>
      <c r="AV81" s="6140"/>
      <c r="AW81" s="6140"/>
      <c r="AX81" s="6140"/>
      <c r="AY81" s="6140"/>
      <c r="AZ81" s="6140"/>
      <c r="BA81" s="6140"/>
      <c r="BB81" s="6140"/>
      <c r="BC81" s="6141"/>
      <c r="BD81" s="530"/>
      <c r="BE81" s="524"/>
      <c r="BF81" s="524"/>
      <c r="BG81" s="1060"/>
      <c r="BH81" s="6137" t="s">
        <v>3777</v>
      </c>
      <c r="BI81" s="6138"/>
      <c r="BJ81" s="544">
        <f>IF(BH78=0,"",VLOOKUP(BH78,'Tablas Magia'!$D$6:$Z$680,8,FALSE))</f>
        <v>13</v>
      </c>
      <c r="BK81" s="544">
        <f>IF(BH78=0,"",VLOOKUP(BH78,'Tablas Magia'!$D$6:$Z$680,12,FALSE))</f>
        <v>320</v>
      </c>
      <c r="BL81" s="545" t="str">
        <f>IF(BH78=0,"",VLOOKUP(BH78,'Tablas Magia'!$D$6:$Z$680,16,FALSE))</f>
        <v>No</v>
      </c>
      <c r="BM81" s="6139" t="str">
        <f>IF(BH78=0,"",VLOOKUP(BH78,'Tablas Magia'!$D$6:$Z$680,20,FALSE))</f>
        <v>RM o RF 180 / Daño 100</v>
      </c>
      <c r="BN81" s="6140"/>
      <c r="BO81" s="6140"/>
      <c r="BP81" s="6140"/>
      <c r="BQ81" s="6140"/>
      <c r="BR81" s="6140"/>
      <c r="BS81" s="6140"/>
      <c r="BT81" s="6140"/>
      <c r="BU81" s="6140"/>
      <c r="BV81" s="6141"/>
      <c r="BW81" s="530"/>
      <c r="BX81" s="524"/>
      <c r="BY81" s="524"/>
      <c r="BZ81" s="1060"/>
      <c r="CA81" s="6137" t="s">
        <v>3777</v>
      </c>
      <c r="CB81" s="6138"/>
      <c r="CC81" s="544">
        <f>IF(CA78=0,"",VLOOKUP(CA78,'Tablas Magia'!$D$6:$Z$680,8,FALSE))</f>
        <v>13</v>
      </c>
      <c r="CD81" s="544">
        <f>IF(CA78=0,"",VLOOKUP(CA78,'Tablas Magia'!$D$6:$Z$680,12,FALSE))</f>
        <v>320</v>
      </c>
      <c r="CE81" s="545" t="str">
        <f>IF(CA78=0,"",VLOOKUP(CA78,'Tablas Magia'!$D$6:$Z$680,16,FALSE))</f>
        <v>No</v>
      </c>
      <c r="CF81" s="6139" t="str">
        <f>IF(CA78=0,"",VLOOKUP(CA78,'Tablas Magia'!$D$6:$Z$680,20,FALSE))</f>
        <v>RM o RF 140 / Daño 90 / 1.200 Puntos de Resistencia</v>
      </c>
      <c r="CG81" s="6140"/>
      <c r="CH81" s="6140"/>
      <c r="CI81" s="6140"/>
      <c r="CJ81" s="6140"/>
      <c r="CK81" s="6140"/>
      <c r="CL81" s="6140"/>
      <c r="CM81" s="6140"/>
      <c r="CN81" s="6140"/>
      <c r="CO81" s="6141"/>
      <c r="CP81" s="530"/>
      <c r="CQ81" s="524"/>
    </row>
    <row r="82" spans="1:95" ht="12" customHeight="1" x14ac:dyDescent="0.2">
      <c r="A82" s="524"/>
      <c r="B82" s="1060"/>
      <c r="C82" s="6132" t="s">
        <v>3778</v>
      </c>
      <c r="D82" s="6133"/>
      <c r="E82" s="542">
        <f>IF(C78=0,"",VLOOKUP(C78,'Tablas Magia'!$D$6:$Z$680,9,FALSE))</f>
        <v>10</v>
      </c>
      <c r="F82" s="542">
        <f>IF(C78=0,"",VLOOKUP(C78,'Tablas Magia'!$D$6:$Z$680,13,FALSE))</f>
        <v>120</v>
      </c>
      <c r="G82" s="543" t="str">
        <f>IF(C78=0,"",VLOOKUP(C78,'Tablas Magia'!$D$6:$Z$680,17,FALSE))</f>
        <v>No</v>
      </c>
      <c r="H82" s="6134" t="str">
        <f>IF(C78=0,"",VLOOKUP(C78,'Tablas Magia'!$D$6:$Z$680,21,FALSE))</f>
        <v>Recupera un 40% de los Puntos de Vida perdidos por cortes o hemorragias.</v>
      </c>
      <c r="I82" s="6135"/>
      <c r="J82" s="6135"/>
      <c r="K82" s="6135"/>
      <c r="L82" s="6135"/>
      <c r="M82" s="6135"/>
      <c r="N82" s="6135"/>
      <c r="O82" s="6135"/>
      <c r="P82" s="6135"/>
      <c r="Q82" s="6136"/>
      <c r="R82" s="530"/>
      <c r="S82" s="524"/>
      <c r="T82" s="524"/>
      <c r="U82" s="1060"/>
      <c r="V82" s="6132" t="s">
        <v>3778</v>
      </c>
      <c r="W82" s="6133"/>
      <c r="X82" s="542">
        <f>IF(V78=0,"",VLOOKUP(V78,'Tablas Magia'!$D$6:$Z$680,9,FALSE))</f>
        <v>12</v>
      </c>
      <c r="Y82" s="542">
        <f>IF(V78=0,"",VLOOKUP(V78,'Tablas Magia'!$D$6:$Z$680,13,FALSE))</f>
        <v>160</v>
      </c>
      <c r="Z82" s="543">
        <f>IF(V78=0,"",VLOOKUP(V78,'Tablas Magia'!$D$6:$Z$680,17,FALSE))</f>
        <v>50</v>
      </c>
      <c r="AA82" s="6134" t="str">
        <f>IF(V78=0,"",VLOOKUP(V78,'Tablas Magia'!$D$6:$Z$680,21,FALSE))</f>
        <v>Pérdida de -40 PV / Calidad +10 / Objetos de hasta 15 Kg</v>
      </c>
      <c r="AB82" s="6135"/>
      <c r="AC82" s="6135"/>
      <c r="AD82" s="6135"/>
      <c r="AE82" s="6135"/>
      <c r="AF82" s="6135"/>
      <c r="AG82" s="6135"/>
      <c r="AH82" s="6135"/>
      <c r="AI82" s="6135"/>
      <c r="AJ82" s="6136"/>
      <c r="AK82" s="530"/>
      <c r="AL82" s="524"/>
      <c r="AM82" s="588"/>
      <c r="AN82" s="1060"/>
      <c r="AO82" s="6132" t="s">
        <v>3778</v>
      </c>
      <c r="AP82" s="6133"/>
      <c r="AQ82" s="542">
        <f>IF(AO78=0,"",VLOOKUP(AO78,'Tablas Magia'!$D$6:$Z$680,9,FALSE))</f>
        <v>12</v>
      </c>
      <c r="AR82" s="542">
        <f>IF(AO78=0,"",VLOOKUP(AO78,'Tablas Magia'!$D$6:$Z$680,13,FALSE))</f>
        <v>200</v>
      </c>
      <c r="AS82" s="543">
        <f>IF(AO78=0,"",VLOOKUP(AO78,'Tablas Magia'!$D$6:$Z$680,17,FALSE))</f>
        <v>20</v>
      </c>
      <c r="AT82" s="6134" t="str">
        <f>IF(AO78=0,"",VLOOKUP(AO78,'Tablas Magia'!$D$6:$Z$680,21,FALSE))</f>
        <v>Triplica el Daño Recibido / RM 160</v>
      </c>
      <c r="AU82" s="6135"/>
      <c r="AV82" s="6135"/>
      <c r="AW82" s="6135"/>
      <c r="AX82" s="6135"/>
      <c r="AY82" s="6135"/>
      <c r="AZ82" s="6135"/>
      <c r="BA82" s="6135"/>
      <c r="BB82" s="6135"/>
      <c r="BC82" s="6136"/>
      <c r="BD82" s="530"/>
      <c r="BE82" s="524"/>
      <c r="BF82" s="524"/>
      <c r="BG82" s="1060"/>
      <c r="BH82" s="6132" t="s">
        <v>3778</v>
      </c>
      <c r="BI82" s="6133"/>
      <c r="BJ82" s="542">
        <f>IF(BH78=0,"",VLOOKUP(BH78,'Tablas Magia'!$D$6:$Z$680,9,FALSE))</f>
        <v>15</v>
      </c>
      <c r="BK82" s="542">
        <f>IF(BH78=0,"",VLOOKUP(BH78,'Tablas Magia'!$D$6:$Z$680,13,FALSE))</f>
        <v>360</v>
      </c>
      <c r="BL82" s="543" t="str">
        <f>IF(BH78=0,"",VLOOKUP(BH78,'Tablas Magia'!$D$6:$Z$680,17,FALSE))</f>
        <v>No</v>
      </c>
      <c r="BM82" s="6134" t="str">
        <f>IF(BH78=0,"",VLOOKUP(BH78,'Tablas Magia'!$D$6:$Z$680,21,FALSE))</f>
        <v>RM o RF 220 / Daño 150</v>
      </c>
      <c r="BN82" s="6135"/>
      <c r="BO82" s="6135"/>
      <c r="BP82" s="6135"/>
      <c r="BQ82" s="6135"/>
      <c r="BR82" s="6135"/>
      <c r="BS82" s="6135"/>
      <c r="BT82" s="6135"/>
      <c r="BU82" s="6135"/>
      <c r="BV82" s="6136"/>
      <c r="BW82" s="530"/>
      <c r="BX82" s="524"/>
      <c r="BY82" s="524"/>
      <c r="BZ82" s="1060"/>
      <c r="CA82" s="6132" t="s">
        <v>3778</v>
      </c>
      <c r="CB82" s="6133"/>
      <c r="CC82" s="542">
        <f>IF(CA78=0,"",VLOOKUP(CA78,'Tablas Magia'!$D$6:$Z$680,9,FALSE))</f>
        <v>15</v>
      </c>
      <c r="CD82" s="542">
        <f>IF(CA78=0,"",VLOOKUP(CA78,'Tablas Magia'!$D$6:$Z$680,13,FALSE))</f>
        <v>360</v>
      </c>
      <c r="CE82" s="543" t="str">
        <f>IF(CA78=0,"",VLOOKUP(CA78,'Tablas Magia'!$D$6:$Z$680,17,FALSE))</f>
        <v>No</v>
      </c>
      <c r="CF82" s="6134" t="str">
        <f>IF(CA78=0,"",VLOOKUP(CA78,'Tablas Magia'!$D$6:$Z$680,21,FALSE))</f>
        <v>RM o RF 160 / Daño 120 / 2.400 Puntos de Resistencia</v>
      </c>
      <c r="CG82" s="6135"/>
      <c r="CH82" s="6135"/>
      <c r="CI82" s="6135"/>
      <c r="CJ82" s="6135"/>
      <c r="CK82" s="6135"/>
      <c r="CL82" s="6135"/>
      <c r="CM82" s="6135"/>
      <c r="CN82" s="6135"/>
      <c r="CO82" s="6136"/>
      <c r="CP82" s="530"/>
      <c r="CQ82" s="524"/>
    </row>
    <row r="83" spans="1:95" ht="12" customHeight="1" thickBot="1" x14ac:dyDescent="0.25">
      <c r="A83" s="524"/>
      <c r="B83" s="1060"/>
      <c r="C83" s="6142" t="s">
        <v>3779</v>
      </c>
      <c r="D83" s="6143"/>
      <c r="E83" s="546">
        <f>IF(C78=0,"",VLOOKUP(C78,'Tablas Magia'!$D$6:$Z$680,10,FALSE))</f>
        <v>13</v>
      </c>
      <c r="F83" s="546">
        <f>IF(C78=0,"",VLOOKUP(C78,'Tablas Magia'!$D$6:$Z$680,14,FALSE))</f>
        <v>160</v>
      </c>
      <c r="G83" s="547" t="str">
        <f>IF(C78=0,"",VLOOKUP(C78,'Tablas Magia'!$D$6:$Z$680,18,FALSE))</f>
        <v>No</v>
      </c>
      <c r="H83" s="6144" t="str">
        <f>IF(C78=0,"",VLOOKUP(C78,'Tablas Magia'!$D$6:$Z$680,22,FALSE))</f>
        <v>Recupera un 60% de los Puntos de Vida perdidos por cortes o hemorragias.</v>
      </c>
      <c r="I83" s="6145"/>
      <c r="J83" s="6145"/>
      <c r="K83" s="6145"/>
      <c r="L83" s="6145"/>
      <c r="M83" s="6145"/>
      <c r="N83" s="6145"/>
      <c r="O83" s="6145"/>
      <c r="P83" s="6145"/>
      <c r="Q83" s="6146"/>
      <c r="R83" s="530"/>
      <c r="S83" s="524"/>
      <c r="T83" s="524"/>
      <c r="U83" s="1060"/>
      <c r="V83" s="6142" t="s">
        <v>3779</v>
      </c>
      <c r="W83" s="6143"/>
      <c r="X83" s="546">
        <f>IF(V78=0,"",VLOOKUP(V78,'Tablas Magia'!$D$6:$Z$680,10,FALSE))</f>
        <v>15</v>
      </c>
      <c r="Y83" s="546">
        <f>IF(V78=0,"",VLOOKUP(V78,'Tablas Magia'!$D$6:$Z$680,14,FALSE))</f>
        <v>200</v>
      </c>
      <c r="Z83" s="547">
        <f>IF(V78=0,"",VLOOKUP(V78,'Tablas Magia'!$D$6:$Z$680,18,FALSE))</f>
        <v>60</v>
      </c>
      <c r="AA83" s="6144" t="str">
        <f>IF(V78=0,"",VLOOKUP(V78,'Tablas Magia'!$D$6:$Z$680,22,FALSE))</f>
        <v>Pérdida de -60 PV / Calidad +15 / Objetos de hasta 25 Kg</v>
      </c>
      <c r="AB83" s="6145"/>
      <c r="AC83" s="6145"/>
      <c r="AD83" s="6145"/>
      <c r="AE83" s="6145"/>
      <c r="AF83" s="6145"/>
      <c r="AG83" s="6145"/>
      <c r="AH83" s="6145"/>
      <c r="AI83" s="6145"/>
      <c r="AJ83" s="6146"/>
      <c r="AK83" s="530"/>
      <c r="AL83" s="524"/>
      <c r="AM83" s="588"/>
      <c r="AN83" s="1060"/>
      <c r="AO83" s="6142" t="s">
        <v>3779</v>
      </c>
      <c r="AP83" s="6143"/>
      <c r="AQ83" s="546">
        <f>IF(AO78=0,"",VLOOKUP(AO78,'Tablas Magia'!$D$6:$Z$680,10,FALSE))</f>
        <v>15</v>
      </c>
      <c r="AR83" s="546">
        <f>IF(AO78=0,"",VLOOKUP(AO78,'Tablas Magia'!$D$6:$Z$680,14,FALSE))</f>
        <v>250</v>
      </c>
      <c r="AS83" s="547">
        <f>IF(AO78=0,"",VLOOKUP(AO78,'Tablas Magia'!$D$6:$Z$680,18,FALSE))</f>
        <v>25</v>
      </c>
      <c r="AT83" s="6144" t="str">
        <f>IF(AO78=0,"",VLOOKUP(AO78,'Tablas Magia'!$D$6:$Z$680,22,FALSE))</f>
        <v>Cuadruplica el Daño Recibido / RM 180</v>
      </c>
      <c r="AU83" s="6145"/>
      <c r="AV83" s="6145"/>
      <c r="AW83" s="6145"/>
      <c r="AX83" s="6145"/>
      <c r="AY83" s="6145"/>
      <c r="AZ83" s="6145"/>
      <c r="BA83" s="6145"/>
      <c r="BB83" s="6145"/>
      <c r="BC83" s="6146"/>
      <c r="BD83" s="530"/>
      <c r="BE83" s="524"/>
      <c r="BF83" s="524"/>
      <c r="BG83" s="1060"/>
      <c r="BH83" s="6142" t="s">
        <v>3779</v>
      </c>
      <c r="BI83" s="6143"/>
      <c r="BJ83" s="546">
        <f>IF(BH78=0,"",VLOOKUP(BH78,'Tablas Magia'!$D$6:$Z$680,10,FALSE))</f>
        <v>17</v>
      </c>
      <c r="BK83" s="546">
        <f>IF(BH78=0,"",VLOOKUP(BH78,'Tablas Magia'!$D$6:$Z$680,14,FALSE))</f>
        <v>400</v>
      </c>
      <c r="BL83" s="547" t="str">
        <f>IF(BH78=0,"",VLOOKUP(BH78,'Tablas Magia'!$D$6:$Z$680,18,FALSE))</f>
        <v>No</v>
      </c>
      <c r="BM83" s="6144" t="str">
        <f>IF(BH78=0,"",VLOOKUP(BH78,'Tablas Magia'!$D$6:$Z$680,22,FALSE))</f>
        <v>RM o RF 260 / Daño 200</v>
      </c>
      <c r="BN83" s="6145"/>
      <c r="BO83" s="6145"/>
      <c r="BP83" s="6145"/>
      <c r="BQ83" s="6145"/>
      <c r="BR83" s="6145"/>
      <c r="BS83" s="6145"/>
      <c r="BT83" s="6145"/>
      <c r="BU83" s="6145"/>
      <c r="BV83" s="6146"/>
      <c r="BW83" s="530"/>
      <c r="BX83" s="524"/>
      <c r="BY83" s="524"/>
      <c r="BZ83" s="1060"/>
      <c r="CA83" s="6142" t="s">
        <v>3779</v>
      </c>
      <c r="CB83" s="6143"/>
      <c r="CC83" s="546">
        <f>IF(CA78=0,"",VLOOKUP(CA78,'Tablas Magia'!$D$6:$Z$680,10,FALSE))</f>
        <v>17</v>
      </c>
      <c r="CD83" s="546">
        <f>IF(CA78=0,"",VLOOKUP(CA78,'Tablas Magia'!$D$6:$Z$680,14,FALSE))</f>
        <v>400</v>
      </c>
      <c r="CE83" s="547" t="str">
        <f>IF(CA78=0,"",VLOOKUP(CA78,'Tablas Magia'!$D$6:$Z$680,18,FALSE))</f>
        <v>No</v>
      </c>
      <c r="CF83" s="6144" t="str">
        <f>IF(CA78=0,"",VLOOKUP(CA78,'Tablas Magia'!$D$6:$Z$680,22,FALSE))</f>
        <v>RM o RF 180 / Daño 150 / 3.600 Puntos de Resistencia</v>
      </c>
      <c r="CG83" s="6145"/>
      <c r="CH83" s="6145"/>
      <c r="CI83" s="6145"/>
      <c r="CJ83" s="6145"/>
      <c r="CK83" s="6145"/>
      <c r="CL83" s="6145"/>
      <c r="CM83" s="6145"/>
      <c r="CN83" s="6145"/>
      <c r="CO83" s="6146"/>
      <c r="CP83" s="530"/>
      <c r="CQ83" s="524"/>
    </row>
    <row r="84" spans="1:95" ht="12" customHeight="1" x14ac:dyDescent="0.2">
      <c r="A84" s="524"/>
      <c r="B84" s="1060"/>
      <c r="C84" s="6147" t="str">
        <f>IF(C78=0,"",VLOOKUP(C78,'Tablas Magia'!$D$6:$Z$680,23,FALSE))</f>
        <v>Restaña las heridas mágicamente, impidiendo la pérdida de sangre y cerrando las heridas. Sólo es posible afectar a alguien una vez al día con este conjuro.</v>
      </c>
      <c r="D84" s="6148"/>
      <c r="E84" s="6148"/>
      <c r="F84" s="6148"/>
      <c r="G84" s="6148"/>
      <c r="H84" s="6148"/>
      <c r="I84" s="6148"/>
      <c r="J84" s="6148"/>
      <c r="K84" s="6148"/>
      <c r="L84" s="6148"/>
      <c r="M84" s="6148"/>
      <c r="N84" s="6148"/>
      <c r="O84" s="6148"/>
      <c r="P84" s="6148"/>
      <c r="Q84" s="6149"/>
      <c r="R84" s="530"/>
      <c r="S84" s="524"/>
      <c r="T84" s="524"/>
      <c r="U84" s="1060"/>
      <c r="V84" s="6147"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48"/>
      <c r="X84" s="6148"/>
      <c r="Y84" s="6148"/>
      <c r="Z84" s="6148"/>
      <c r="AA84" s="6148"/>
      <c r="AB84" s="6148"/>
      <c r="AC84" s="6148"/>
      <c r="AD84" s="6148"/>
      <c r="AE84" s="6148"/>
      <c r="AF84" s="6148"/>
      <c r="AG84" s="6148"/>
      <c r="AH84" s="6148"/>
      <c r="AI84" s="6148"/>
      <c r="AJ84" s="6149"/>
      <c r="AK84" s="530"/>
      <c r="AL84" s="524"/>
      <c r="AM84" s="588"/>
      <c r="AN84" s="1060"/>
      <c r="AO84" s="6147"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48"/>
      <c r="AQ84" s="6148"/>
      <c r="AR84" s="6148"/>
      <c r="AS84" s="6148"/>
      <c r="AT84" s="6148"/>
      <c r="AU84" s="6148"/>
      <c r="AV84" s="6148"/>
      <c r="AW84" s="6148"/>
      <c r="AX84" s="6148"/>
      <c r="AY84" s="6148"/>
      <c r="AZ84" s="6148"/>
      <c r="BA84" s="6148"/>
      <c r="BB84" s="6148"/>
      <c r="BC84" s="6149"/>
      <c r="BD84" s="530"/>
      <c r="BE84" s="524"/>
      <c r="BF84" s="524"/>
      <c r="BG84" s="1060"/>
      <c r="BH84" s="6147"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48"/>
      <c r="BJ84" s="6148"/>
      <c r="BK84" s="6148"/>
      <c r="BL84" s="6148"/>
      <c r="BM84" s="6148"/>
      <c r="BN84" s="6148"/>
      <c r="BO84" s="6148"/>
      <c r="BP84" s="6148"/>
      <c r="BQ84" s="6148"/>
      <c r="BR84" s="6148"/>
      <c r="BS84" s="6148"/>
      <c r="BT84" s="6148"/>
      <c r="BU84" s="6148"/>
      <c r="BV84" s="6149"/>
      <c r="BW84" s="530"/>
      <c r="BX84" s="524"/>
      <c r="BY84" s="524"/>
      <c r="BZ84" s="1060"/>
      <c r="CA84" s="6147"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48"/>
      <c r="CC84" s="6148"/>
      <c r="CD84" s="6148"/>
      <c r="CE84" s="6148"/>
      <c r="CF84" s="6148"/>
      <c r="CG84" s="6148"/>
      <c r="CH84" s="6148"/>
      <c r="CI84" s="6148"/>
      <c r="CJ84" s="6148"/>
      <c r="CK84" s="6148"/>
      <c r="CL84" s="6148"/>
      <c r="CM84" s="6148"/>
      <c r="CN84" s="6148"/>
      <c r="CO84" s="6149"/>
      <c r="CP84" s="530"/>
      <c r="CQ84" s="524"/>
    </row>
    <row r="85" spans="1:95" ht="12" customHeight="1" x14ac:dyDescent="0.2">
      <c r="A85" s="524"/>
      <c r="B85" s="1060"/>
      <c r="C85" s="6150"/>
      <c r="D85" s="6151"/>
      <c r="E85" s="6151"/>
      <c r="F85" s="6151"/>
      <c r="G85" s="6151"/>
      <c r="H85" s="6151"/>
      <c r="I85" s="6151"/>
      <c r="J85" s="6151"/>
      <c r="K85" s="6151"/>
      <c r="L85" s="6151"/>
      <c r="M85" s="6151"/>
      <c r="N85" s="6151"/>
      <c r="O85" s="6151"/>
      <c r="P85" s="6151"/>
      <c r="Q85" s="6152"/>
      <c r="R85" s="530"/>
      <c r="S85" s="524"/>
      <c r="T85" s="524"/>
      <c r="U85" s="1060"/>
      <c r="V85" s="6150"/>
      <c r="W85" s="6151"/>
      <c r="X85" s="6151"/>
      <c r="Y85" s="6151"/>
      <c r="Z85" s="6151"/>
      <c r="AA85" s="6151"/>
      <c r="AB85" s="6151"/>
      <c r="AC85" s="6151"/>
      <c r="AD85" s="6151"/>
      <c r="AE85" s="6151"/>
      <c r="AF85" s="6151"/>
      <c r="AG85" s="6151"/>
      <c r="AH85" s="6151"/>
      <c r="AI85" s="6151"/>
      <c r="AJ85" s="6152"/>
      <c r="AK85" s="530"/>
      <c r="AL85" s="524"/>
      <c r="AM85" s="588"/>
      <c r="AN85" s="1060"/>
      <c r="AO85" s="6150"/>
      <c r="AP85" s="6151"/>
      <c r="AQ85" s="6151"/>
      <c r="AR85" s="6151"/>
      <c r="AS85" s="6151"/>
      <c r="AT85" s="6151"/>
      <c r="AU85" s="6151"/>
      <c r="AV85" s="6151"/>
      <c r="AW85" s="6151"/>
      <c r="AX85" s="6151"/>
      <c r="AY85" s="6151"/>
      <c r="AZ85" s="6151"/>
      <c r="BA85" s="6151"/>
      <c r="BB85" s="6151"/>
      <c r="BC85" s="6152"/>
      <c r="BD85" s="530"/>
      <c r="BE85" s="524"/>
      <c r="BF85" s="524"/>
      <c r="BG85" s="1060"/>
      <c r="BH85" s="6150"/>
      <c r="BI85" s="6151"/>
      <c r="BJ85" s="6151"/>
      <c r="BK85" s="6151"/>
      <c r="BL85" s="6151"/>
      <c r="BM85" s="6151"/>
      <c r="BN85" s="6151"/>
      <c r="BO85" s="6151"/>
      <c r="BP85" s="6151"/>
      <c r="BQ85" s="6151"/>
      <c r="BR85" s="6151"/>
      <c r="BS85" s="6151"/>
      <c r="BT85" s="6151"/>
      <c r="BU85" s="6151"/>
      <c r="BV85" s="6152"/>
      <c r="BW85" s="530"/>
      <c r="BX85" s="524"/>
      <c r="BY85" s="524"/>
      <c r="BZ85" s="1060"/>
      <c r="CA85" s="6150"/>
      <c r="CB85" s="6151"/>
      <c r="CC85" s="6151"/>
      <c r="CD85" s="6151"/>
      <c r="CE85" s="6151"/>
      <c r="CF85" s="6151"/>
      <c r="CG85" s="6151"/>
      <c r="CH85" s="6151"/>
      <c r="CI85" s="6151"/>
      <c r="CJ85" s="6151"/>
      <c r="CK85" s="6151"/>
      <c r="CL85" s="6151"/>
      <c r="CM85" s="6151"/>
      <c r="CN85" s="6151"/>
      <c r="CO85" s="6152"/>
      <c r="CP85" s="530"/>
      <c r="CQ85" s="524"/>
    </row>
    <row r="86" spans="1:95" ht="12" customHeight="1" x14ac:dyDescent="0.2">
      <c r="A86" s="524"/>
      <c r="B86" s="1060"/>
      <c r="C86" s="6150"/>
      <c r="D86" s="6151"/>
      <c r="E86" s="6151"/>
      <c r="F86" s="6151"/>
      <c r="G86" s="6151"/>
      <c r="H86" s="6151"/>
      <c r="I86" s="6151"/>
      <c r="J86" s="6151"/>
      <c r="K86" s="6151"/>
      <c r="L86" s="6151"/>
      <c r="M86" s="6151"/>
      <c r="N86" s="6151"/>
      <c r="O86" s="6151"/>
      <c r="P86" s="6151"/>
      <c r="Q86" s="6152"/>
      <c r="R86" s="530"/>
      <c r="S86" s="524"/>
      <c r="T86" s="524"/>
      <c r="U86" s="1060"/>
      <c r="V86" s="6150"/>
      <c r="W86" s="6151"/>
      <c r="X86" s="6151"/>
      <c r="Y86" s="6151"/>
      <c r="Z86" s="6151"/>
      <c r="AA86" s="6151"/>
      <c r="AB86" s="6151"/>
      <c r="AC86" s="6151"/>
      <c r="AD86" s="6151"/>
      <c r="AE86" s="6151"/>
      <c r="AF86" s="6151"/>
      <c r="AG86" s="6151"/>
      <c r="AH86" s="6151"/>
      <c r="AI86" s="6151"/>
      <c r="AJ86" s="6152"/>
      <c r="AK86" s="530"/>
      <c r="AL86" s="524"/>
      <c r="AM86" s="588"/>
      <c r="AN86" s="1060"/>
      <c r="AO86" s="6150"/>
      <c r="AP86" s="6151"/>
      <c r="AQ86" s="6151"/>
      <c r="AR86" s="6151"/>
      <c r="AS86" s="6151"/>
      <c r="AT86" s="6151"/>
      <c r="AU86" s="6151"/>
      <c r="AV86" s="6151"/>
      <c r="AW86" s="6151"/>
      <c r="AX86" s="6151"/>
      <c r="AY86" s="6151"/>
      <c r="AZ86" s="6151"/>
      <c r="BA86" s="6151"/>
      <c r="BB86" s="6151"/>
      <c r="BC86" s="6152"/>
      <c r="BD86" s="530"/>
      <c r="BE86" s="524"/>
      <c r="BF86" s="524"/>
      <c r="BG86" s="1060"/>
      <c r="BH86" s="6150"/>
      <c r="BI86" s="6151"/>
      <c r="BJ86" s="6151"/>
      <c r="BK86" s="6151"/>
      <c r="BL86" s="6151"/>
      <c r="BM86" s="6151"/>
      <c r="BN86" s="6151"/>
      <c r="BO86" s="6151"/>
      <c r="BP86" s="6151"/>
      <c r="BQ86" s="6151"/>
      <c r="BR86" s="6151"/>
      <c r="BS86" s="6151"/>
      <c r="BT86" s="6151"/>
      <c r="BU86" s="6151"/>
      <c r="BV86" s="6152"/>
      <c r="BW86" s="530"/>
      <c r="BX86" s="524"/>
      <c r="BY86" s="524"/>
      <c r="BZ86" s="1060"/>
      <c r="CA86" s="6150"/>
      <c r="CB86" s="6151"/>
      <c r="CC86" s="6151"/>
      <c r="CD86" s="6151"/>
      <c r="CE86" s="6151"/>
      <c r="CF86" s="6151"/>
      <c r="CG86" s="6151"/>
      <c r="CH86" s="6151"/>
      <c r="CI86" s="6151"/>
      <c r="CJ86" s="6151"/>
      <c r="CK86" s="6151"/>
      <c r="CL86" s="6151"/>
      <c r="CM86" s="6151"/>
      <c r="CN86" s="6151"/>
      <c r="CO86" s="6152"/>
      <c r="CP86" s="530"/>
      <c r="CQ86" s="524"/>
    </row>
    <row r="87" spans="1:95" ht="12" customHeight="1" thickBot="1" x14ac:dyDescent="0.25">
      <c r="A87" s="524"/>
      <c r="B87" s="1060"/>
      <c r="C87" s="6153"/>
      <c r="D87" s="6154"/>
      <c r="E87" s="6154"/>
      <c r="F87" s="6154"/>
      <c r="G87" s="6154"/>
      <c r="H87" s="6154"/>
      <c r="I87" s="6154"/>
      <c r="J87" s="6154"/>
      <c r="K87" s="6154"/>
      <c r="L87" s="6154"/>
      <c r="M87" s="6154"/>
      <c r="N87" s="6154"/>
      <c r="O87" s="6154"/>
      <c r="P87" s="6154"/>
      <c r="Q87" s="6155"/>
      <c r="R87" s="530"/>
      <c r="S87" s="524"/>
      <c r="T87" s="524"/>
      <c r="U87" s="1060"/>
      <c r="V87" s="6153"/>
      <c r="W87" s="6154"/>
      <c r="X87" s="6154"/>
      <c r="Y87" s="6154"/>
      <c r="Z87" s="6154"/>
      <c r="AA87" s="6154"/>
      <c r="AB87" s="6154"/>
      <c r="AC87" s="6154"/>
      <c r="AD87" s="6154"/>
      <c r="AE87" s="6154"/>
      <c r="AF87" s="6154"/>
      <c r="AG87" s="6154"/>
      <c r="AH87" s="6154"/>
      <c r="AI87" s="6154"/>
      <c r="AJ87" s="6155"/>
      <c r="AK87" s="530"/>
      <c r="AL87" s="524"/>
      <c r="AM87" s="588"/>
      <c r="AN87" s="1060"/>
      <c r="AO87" s="6153"/>
      <c r="AP87" s="6154"/>
      <c r="AQ87" s="6154"/>
      <c r="AR87" s="6154"/>
      <c r="AS87" s="6154"/>
      <c r="AT87" s="6154"/>
      <c r="AU87" s="6154"/>
      <c r="AV87" s="6154"/>
      <c r="AW87" s="6154"/>
      <c r="AX87" s="6154"/>
      <c r="AY87" s="6154"/>
      <c r="AZ87" s="6154"/>
      <c r="BA87" s="6154"/>
      <c r="BB87" s="6154"/>
      <c r="BC87" s="6155"/>
      <c r="BD87" s="530"/>
      <c r="BE87" s="524"/>
      <c r="BF87" s="524"/>
      <c r="BG87" s="1060"/>
      <c r="BH87" s="6153"/>
      <c r="BI87" s="6154"/>
      <c r="BJ87" s="6154"/>
      <c r="BK87" s="6154"/>
      <c r="BL87" s="6154"/>
      <c r="BM87" s="6154"/>
      <c r="BN87" s="6154"/>
      <c r="BO87" s="6154"/>
      <c r="BP87" s="6154"/>
      <c r="BQ87" s="6154"/>
      <c r="BR87" s="6154"/>
      <c r="BS87" s="6154"/>
      <c r="BT87" s="6154"/>
      <c r="BU87" s="6154"/>
      <c r="BV87" s="6155"/>
      <c r="BW87" s="530"/>
      <c r="BX87" s="524"/>
      <c r="BY87" s="524"/>
      <c r="BZ87" s="1060"/>
      <c r="CA87" s="6153"/>
      <c r="CB87" s="6154"/>
      <c r="CC87" s="6154"/>
      <c r="CD87" s="6154"/>
      <c r="CE87" s="6154"/>
      <c r="CF87" s="6154"/>
      <c r="CG87" s="6154"/>
      <c r="CH87" s="6154"/>
      <c r="CI87" s="6154"/>
      <c r="CJ87" s="6154"/>
      <c r="CK87" s="6154"/>
      <c r="CL87" s="6154"/>
      <c r="CM87" s="6154"/>
      <c r="CN87" s="6154"/>
      <c r="CO87" s="6155"/>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7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79"/>
      <c r="E89" s="6179"/>
      <c r="F89" s="6179"/>
      <c r="G89" s="6179"/>
      <c r="H89" s="537" t="s">
        <v>1597</v>
      </c>
      <c r="I89" s="538">
        <f>B89</f>
        <v>16</v>
      </c>
      <c r="J89" s="6173" t="s">
        <v>6888</v>
      </c>
      <c r="K89" s="6173"/>
      <c r="L89" s="6173"/>
      <c r="M89" s="6161" t="str">
        <f>IF(C89=0,"",VLOOKUP(C89,'Tablas Magia'!$D$6:$Z$680,2,FALSE))</f>
        <v>Agua</v>
      </c>
      <c r="N89" s="6161"/>
      <c r="O89" s="2428"/>
      <c r="P89" s="6177" t="str">
        <f>IFERROR(IF(M89="Libre Acceso","Aprendido",IF(IFERROR(VLOOKUP(M89,Místicos!$C$15:$H$25,6,0)&gt;=I89,FALSE),"Aprendido",IF(IFERROR(VLOOKUP(M89,Místicos!$E$15:$H$25,4,0)&gt;=I89,FALSE),"Aprendido",""))),"")</f>
        <v/>
      </c>
      <c r="Q89" s="6178"/>
      <c r="R89" s="530"/>
      <c r="S89" s="524"/>
      <c r="T89" s="524"/>
      <c r="U89" s="1060">
        <f>U78+2</f>
        <v>36</v>
      </c>
      <c r="V89" s="617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79"/>
      <c r="X89" s="6179"/>
      <c r="Y89" s="6179"/>
      <c r="Z89" s="6179"/>
      <c r="AA89" s="537" t="s">
        <v>1597</v>
      </c>
      <c r="AB89" s="538">
        <f>U89</f>
        <v>36</v>
      </c>
      <c r="AC89" s="6173" t="s">
        <v>6888</v>
      </c>
      <c r="AD89" s="6173"/>
      <c r="AE89" s="6173"/>
      <c r="AF89" s="6161" t="str">
        <f>IF(V89=0,"",VLOOKUP(V89,'Tablas Magia'!$D$6:$Z$680,2,FALSE))</f>
        <v>Agua</v>
      </c>
      <c r="AG89" s="6161"/>
      <c r="AH89" s="2428"/>
      <c r="AI89" s="6177" t="str">
        <f>IFERROR(IF(AF89="Libre Acceso","Aprendido",IF(IFERROR(VLOOKUP(AF89,Místicos!$C$15:$H$25,6,0)&gt;=AB89,FALSE),"Aprendido",IF(IFERROR(VLOOKUP(AF89,Místicos!$E$15:$H$25,4,0)&gt;=AB89,FALSE),"Aprendido",""))),"")</f>
        <v/>
      </c>
      <c r="AJ89" s="6178"/>
      <c r="AK89" s="530"/>
      <c r="AL89" s="524"/>
      <c r="AM89" s="588"/>
      <c r="AN89" s="1060">
        <f>AN78+2</f>
        <v>56</v>
      </c>
      <c r="AO89" s="617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79"/>
      <c r="AQ89" s="6179"/>
      <c r="AR89" s="6179"/>
      <c r="AS89" s="6179"/>
      <c r="AT89" s="537" t="s">
        <v>1597</v>
      </c>
      <c r="AU89" s="538">
        <f>AN89</f>
        <v>56</v>
      </c>
      <c r="AV89" s="6173" t="s">
        <v>6888</v>
      </c>
      <c r="AW89" s="6173"/>
      <c r="AX89" s="6173"/>
      <c r="AY89" s="6161" t="str">
        <f>IF(AO89=0,"",VLOOKUP(AO89,'Tablas Magia'!$D$6:$Z$680,2,FALSE))</f>
        <v>Agua</v>
      </c>
      <c r="AZ89" s="6161"/>
      <c r="BA89" s="2428"/>
      <c r="BB89" s="6177" t="str">
        <f>IFERROR(IF(AY89="Libre Acceso","Aprendido",IF(IFERROR(VLOOKUP(AY89,Místicos!$C$15:$H$25,6,0)&gt;=AU89,FALSE),"Aprendido",IF(IFERROR(VLOOKUP(AY89,Místicos!$E$15:$H$25,4,0)&gt;=AU89,FALSE),"Aprendido",""))),"")</f>
        <v/>
      </c>
      <c r="BC89" s="6178"/>
      <c r="BD89" s="530"/>
      <c r="BE89" s="524"/>
      <c r="BF89" s="524"/>
      <c r="BG89" s="1060">
        <f>BG78+2</f>
        <v>76</v>
      </c>
      <c r="BH89" s="617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79"/>
      <c r="BJ89" s="6179"/>
      <c r="BK89" s="6179"/>
      <c r="BL89" s="6179"/>
      <c r="BM89" s="537" t="s">
        <v>1597</v>
      </c>
      <c r="BN89" s="538">
        <f>BG89</f>
        <v>76</v>
      </c>
      <c r="BO89" s="6173" t="s">
        <v>6888</v>
      </c>
      <c r="BP89" s="6173"/>
      <c r="BQ89" s="6173"/>
      <c r="BR89" s="6161" t="str">
        <f>IF(BH89=0,"",VLOOKUP(BH89,'Tablas Magia'!$D$6:$Z$680,2,FALSE))</f>
        <v>Agua</v>
      </c>
      <c r="BS89" s="6161"/>
      <c r="BT89" s="2428"/>
      <c r="BU89" s="6177" t="str">
        <f>IFERROR(IF(BR89="Libre Acceso","Aprendido",IF(IFERROR(VLOOKUP(BR89,Místicos!$C$15:$H$25,6,0)&gt;=BN89,FALSE),"Aprendido",IF(IFERROR(VLOOKUP(BR89,Místicos!$E$15:$H$25,4,0)&gt;=BN89,FALSE),"Aprendido",""))),"")</f>
        <v/>
      </c>
      <c r="BV89" s="6178"/>
      <c r="BW89" s="530"/>
      <c r="BX89" s="524"/>
      <c r="BY89" s="524"/>
      <c r="BZ89" s="1060">
        <f>BZ78+2</f>
        <v>96</v>
      </c>
      <c r="CA89" s="617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79"/>
      <c r="CC89" s="6179"/>
      <c r="CD89" s="6179"/>
      <c r="CE89" s="6179"/>
      <c r="CF89" s="537" t="s">
        <v>1597</v>
      </c>
      <c r="CG89" s="538">
        <f>BZ89</f>
        <v>96</v>
      </c>
      <c r="CH89" s="6173" t="s">
        <v>6888</v>
      </c>
      <c r="CI89" s="6173"/>
      <c r="CJ89" s="6173"/>
      <c r="CK89" s="6161" t="str">
        <f>IF(CA89=0,"",VLOOKUP(CA89,'Tablas Magia'!$D$6:$Z$680,2,FALSE))</f>
        <v>Agua</v>
      </c>
      <c r="CL89" s="6161"/>
      <c r="CM89" s="2428"/>
      <c r="CN89" s="6177" t="str">
        <f>IFERROR(IF(CK89="Libre Acceso","Aprendido",IF(IFERROR(VLOOKUP(CK89,Místicos!$C$15:$H$25,6,0)&gt;=CG89,FALSE),"Aprendido",IF(IFERROR(VLOOKUP(CK89,Místicos!$E$15:$H$25,4,0)&gt;=CG89,FALSE),"Aprendido",""))),"")</f>
        <v/>
      </c>
      <c r="CO89" s="6178"/>
      <c r="CP89" s="530"/>
      <c r="CQ89" s="524"/>
    </row>
    <row r="90" spans="1:95" ht="12" customHeight="1" x14ac:dyDescent="0.2">
      <c r="A90" s="524"/>
      <c r="B90" s="1060"/>
      <c r="C90" s="6156" t="s">
        <v>6889</v>
      </c>
      <c r="D90" s="6172"/>
      <c r="E90" s="2452" t="s">
        <v>6890</v>
      </c>
      <c r="F90" s="2452" t="s">
        <v>1783</v>
      </c>
      <c r="G90" s="2452" t="s">
        <v>3227</v>
      </c>
      <c r="H90" s="2453" t="s">
        <v>2121</v>
      </c>
      <c r="I90" s="6170" t="str">
        <f>IF(C89=0,"",VLOOKUP(C89,'Tablas Magia'!$D$6:$Z$680,5,FALSE))</f>
        <v>Defensa</v>
      </c>
      <c r="J90" s="6170"/>
      <c r="K90" s="6171" t="s">
        <v>6891</v>
      </c>
      <c r="L90" s="6171"/>
      <c r="M90" s="6170" t="str">
        <f>IF(C89=0,"",VLOOKUP(C89,'Tablas Magia'!$D$6:$Z$680,6,FALSE))</f>
        <v>Pasiva</v>
      </c>
      <c r="N90" s="6170"/>
      <c r="O90" s="6169" t="s">
        <v>6892</v>
      </c>
      <c r="P90" s="6169"/>
      <c r="Q90" s="2454" t="str">
        <f>IF(C89=0,"",VLOOKUP(C89,'Tablas Magia'!$D$6:$Z$680,4,FALSE))</f>
        <v>Si</v>
      </c>
      <c r="R90" s="530"/>
      <c r="S90" s="524"/>
      <c r="T90" s="524"/>
      <c r="U90" s="1060"/>
      <c r="V90" s="6156" t="s">
        <v>6889</v>
      </c>
      <c r="W90" s="6172"/>
      <c r="X90" s="2452" t="s">
        <v>6890</v>
      </c>
      <c r="Y90" s="2452" t="s">
        <v>1783</v>
      </c>
      <c r="Z90" s="2452" t="s">
        <v>3227</v>
      </c>
      <c r="AA90" s="2453" t="s">
        <v>2121</v>
      </c>
      <c r="AB90" s="6170" t="str">
        <f>IF(V89=0,"",VLOOKUP(V89,'Tablas Magia'!$D$6:$Z$680,5,FALSE))</f>
        <v>Defensa</v>
      </c>
      <c r="AC90" s="6170"/>
      <c r="AD90" s="6171" t="s">
        <v>6891</v>
      </c>
      <c r="AE90" s="6171"/>
      <c r="AF90" s="6170" t="str">
        <f>IF(V89=0,"",VLOOKUP(V89,'Tablas Magia'!$D$6:$Z$680,6,FALSE))</f>
        <v>Pasiva</v>
      </c>
      <c r="AG90" s="6170"/>
      <c r="AH90" s="6169" t="s">
        <v>6892</v>
      </c>
      <c r="AI90" s="6169"/>
      <c r="AJ90" s="2454" t="str">
        <f>IF(V89=0,"",VLOOKUP(V89,'Tablas Magia'!$D$6:$Z$680,4,FALSE))</f>
        <v>No</v>
      </c>
      <c r="AK90" s="530"/>
      <c r="AL90" s="524"/>
      <c r="AM90" s="588"/>
      <c r="AN90" s="1060"/>
      <c r="AO90" s="6156" t="s">
        <v>6889</v>
      </c>
      <c r="AP90" s="6172"/>
      <c r="AQ90" s="2452" t="s">
        <v>6890</v>
      </c>
      <c r="AR90" s="2452" t="s">
        <v>1783</v>
      </c>
      <c r="AS90" s="2452" t="s">
        <v>3227</v>
      </c>
      <c r="AT90" s="2453" t="s">
        <v>2121</v>
      </c>
      <c r="AU90" s="6170" t="str">
        <f>IF(AO89=0,"",VLOOKUP(AO89,'Tablas Magia'!$D$6:$Z$680,5,FALSE))</f>
        <v xml:space="preserve">Auto </v>
      </c>
      <c r="AV90" s="6170"/>
      <c r="AW90" s="6171" t="s">
        <v>6891</v>
      </c>
      <c r="AX90" s="6171"/>
      <c r="AY90" s="6170" t="str">
        <f>IF(AO89=0,"",VLOOKUP(AO89,'Tablas Magia'!$D$6:$Z$680,6,FALSE))</f>
        <v>Pasiva</v>
      </c>
      <c r="AZ90" s="6170"/>
      <c r="BA90" s="6169" t="s">
        <v>6892</v>
      </c>
      <c r="BB90" s="6169"/>
      <c r="BC90" s="2454" t="str">
        <f>IF(AO89=0,"",VLOOKUP(AO89,'Tablas Magia'!$D$6:$Z$680,4,FALSE))</f>
        <v>No</v>
      </c>
      <c r="BD90" s="530"/>
      <c r="BE90" s="524"/>
      <c r="BF90" s="524"/>
      <c r="BG90" s="1060"/>
      <c r="BH90" s="6156" t="s">
        <v>6889</v>
      </c>
      <c r="BI90" s="6172"/>
      <c r="BJ90" s="2452" t="s">
        <v>6890</v>
      </c>
      <c r="BK90" s="2452" t="s">
        <v>1783</v>
      </c>
      <c r="BL90" s="2452" t="s">
        <v>3227</v>
      </c>
      <c r="BM90" s="2453" t="s">
        <v>2121</v>
      </c>
      <c r="BN90" s="6170" t="str">
        <f>IF(BH89=0,"",VLOOKUP(BH89,'Tablas Magia'!$D$6:$Z$680,5,FALSE))</f>
        <v>Auto</v>
      </c>
      <c r="BO90" s="6170"/>
      <c r="BP90" s="6171" t="s">
        <v>6891</v>
      </c>
      <c r="BQ90" s="6171"/>
      <c r="BR90" s="6170" t="str">
        <f>IF(BH89=0,"",VLOOKUP(BH89,'Tablas Magia'!$D$6:$Z$680,6,FALSE))</f>
        <v>Activa</v>
      </c>
      <c r="BS90" s="6170"/>
      <c r="BT90" s="6169" t="s">
        <v>6892</v>
      </c>
      <c r="BU90" s="6169"/>
      <c r="BV90" s="2454" t="str">
        <f>IF(BH89=0,"",VLOOKUP(BH89,'Tablas Magia'!$D$6:$Z$680,4,FALSE))</f>
        <v>No</v>
      </c>
      <c r="BW90" s="530"/>
      <c r="BX90" s="524"/>
      <c r="BY90" s="524"/>
      <c r="BZ90" s="1060"/>
      <c r="CA90" s="6156" t="s">
        <v>6889</v>
      </c>
      <c r="CB90" s="6172"/>
      <c r="CC90" s="2452" t="s">
        <v>6890</v>
      </c>
      <c r="CD90" s="2452" t="s">
        <v>1783</v>
      </c>
      <c r="CE90" s="2452" t="s">
        <v>3227</v>
      </c>
      <c r="CF90" s="2453" t="s">
        <v>2121</v>
      </c>
      <c r="CG90" s="6170" t="str">
        <f>IF(CA89=0,"",VLOOKUP(CA89,'Tablas Magia'!$D$6:$Z$680,5,FALSE))</f>
        <v>Auto</v>
      </c>
      <c r="CH90" s="6170"/>
      <c r="CI90" s="6171" t="s">
        <v>6891</v>
      </c>
      <c r="CJ90" s="6171"/>
      <c r="CK90" s="6170" t="str">
        <f>IF(CA89=0,"",VLOOKUP(CA89,'Tablas Magia'!$D$6:$Z$680,6,FALSE))</f>
        <v>Activa</v>
      </c>
      <c r="CL90" s="6170"/>
      <c r="CM90" s="6169" t="s">
        <v>6892</v>
      </c>
      <c r="CN90" s="6169"/>
      <c r="CO90" s="2454" t="str">
        <f>IF(CA89=0,"",VLOOKUP(CA89,'Tablas Magia'!$D$6:$Z$680,4,FALSE))</f>
        <v>Si</v>
      </c>
      <c r="CP90" s="530"/>
      <c r="CQ90" s="524"/>
    </row>
    <row r="91" spans="1:95" ht="12" customHeight="1" x14ac:dyDescent="0.2">
      <c r="A91" s="524"/>
      <c r="B91" s="1060"/>
      <c r="C91" s="6132" t="s">
        <v>1638</v>
      </c>
      <c r="D91" s="6133"/>
      <c r="E91" s="542">
        <f>IF(C89=0,"",VLOOKUP(C89,'Tablas Magia'!$D$6:$Z$680,7,FALSE))</f>
        <v>6</v>
      </c>
      <c r="F91" s="542">
        <f>IF(C89=0,"",VLOOKUP(C89,'Tablas Magia'!$D$6:$Z$680,11,FALSE))</f>
        <v>40</v>
      </c>
      <c r="G91" s="543">
        <f>IF(C89=0,"",VLOOKUP(C89,'Tablas Magia'!$D$6:$Z$680,15,FALSE))</f>
        <v>5</v>
      </c>
      <c r="H91" s="6134" t="str">
        <f>IF(C89=0,"",VLOOKUP(C89,'Tablas Magia'!$D$6:$Z$680,19,FALSE))</f>
        <v>Hasta Daño base 40.</v>
      </c>
      <c r="I91" s="6135"/>
      <c r="J91" s="6135"/>
      <c r="K91" s="6135"/>
      <c r="L91" s="6135"/>
      <c r="M91" s="6135"/>
      <c r="N91" s="6135"/>
      <c r="O91" s="6135"/>
      <c r="P91" s="6135"/>
      <c r="Q91" s="6136"/>
      <c r="R91" s="530"/>
      <c r="S91" s="524"/>
      <c r="T91" s="524"/>
      <c r="U91" s="1060"/>
      <c r="V91" s="6132" t="s">
        <v>1638</v>
      </c>
      <c r="W91" s="6133"/>
      <c r="X91" s="542">
        <f>IF(V89=0,"",VLOOKUP(V89,'Tablas Magia'!$D$6:$Z$680,7,FALSE))</f>
        <v>6</v>
      </c>
      <c r="Y91" s="542">
        <f>IF(V89=0,"",VLOOKUP(V89,'Tablas Magia'!$D$6:$Z$680,11,FALSE))</f>
        <v>60</v>
      </c>
      <c r="Z91" s="543">
        <f>IF(V89=0,"",VLOOKUP(V89,'Tablas Magia'!$D$6:$Z$680,15,FALSE))</f>
        <v>10</v>
      </c>
      <c r="AA91" s="6134" t="str">
        <f>IF(V89=0,"",VLOOKUP(V89,'Tablas Magia'!$D$6:$Z$680,19,FALSE))</f>
        <v>400 puntos de Resistencia.</v>
      </c>
      <c r="AB91" s="6135"/>
      <c r="AC91" s="6135"/>
      <c r="AD91" s="6135"/>
      <c r="AE91" s="6135"/>
      <c r="AF91" s="6135"/>
      <c r="AG91" s="6135"/>
      <c r="AH91" s="6135"/>
      <c r="AI91" s="6135"/>
      <c r="AJ91" s="6136"/>
      <c r="AK91" s="530"/>
      <c r="AL91" s="524"/>
      <c r="AM91" s="588"/>
      <c r="AN91" s="1060"/>
      <c r="AO91" s="6132" t="s">
        <v>1638</v>
      </c>
      <c r="AP91" s="6133"/>
      <c r="AQ91" s="542">
        <f>IF(AO89=0,"",VLOOKUP(AO89,'Tablas Magia'!$D$6:$Z$680,7,FALSE))</f>
        <v>7</v>
      </c>
      <c r="AR91" s="542">
        <f>IF(AO89=0,"",VLOOKUP(AO89,'Tablas Magia'!$D$6:$Z$680,11,FALSE))</f>
        <v>120</v>
      </c>
      <c r="AS91" s="543" t="str">
        <f>IF(AO89=0,"",VLOOKUP(AO89,'Tablas Magia'!$D$6:$Z$680,15,FALSE))</f>
        <v>No</v>
      </c>
      <c r="AT91" s="6134" t="str">
        <f>IF(AO89=0,"",VLOOKUP(AO89,'Tablas Magia'!$D$6:$Z$680,19,FALSE))</f>
        <v>RM 120.</v>
      </c>
      <c r="AU91" s="6135"/>
      <c r="AV91" s="6135"/>
      <c r="AW91" s="6135"/>
      <c r="AX91" s="6135"/>
      <c r="AY91" s="6135"/>
      <c r="AZ91" s="6135"/>
      <c r="BA91" s="6135"/>
      <c r="BB91" s="6135"/>
      <c r="BC91" s="6136"/>
      <c r="BD91" s="530"/>
      <c r="BE91" s="524"/>
      <c r="BF91" s="524"/>
      <c r="BG91" s="1060"/>
      <c r="BH91" s="6132" t="s">
        <v>1638</v>
      </c>
      <c r="BI91" s="6133"/>
      <c r="BJ91" s="542">
        <f>IF(BH89=0,"",VLOOKUP(BH89,'Tablas Magia'!$D$6:$Z$680,7,FALSE))</f>
        <v>10</v>
      </c>
      <c r="BK91" s="542">
        <f>IF(BH89=0,"",VLOOKUP(BH89,'Tablas Magia'!$D$6:$Z$680,11,FALSE))</f>
        <v>200</v>
      </c>
      <c r="BL91" s="543">
        <f>IF(BH89=0,"",VLOOKUP(BH89,'Tablas Magia'!$D$6:$Z$680,15,FALSE))</f>
        <v>20</v>
      </c>
      <c r="BM91" s="6134" t="str">
        <f>IF(BH89=0,"",VLOOKUP(BH89,'Tablas Magia'!$D$6:$Z$680,19,FALSE))</f>
        <v>RM 140 / Copia entidades de hasta Nivel 3.</v>
      </c>
      <c r="BN91" s="6135"/>
      <c r="BO91" s="6135"/>
      <c r="BP91" s="6135"/>
      <c r="BQ91" s="6135"/>
      <c r="BR91" s="6135"/>
      <c r="BS91" s="6135"/>
      <c r="BT91" s="6135"/>
      <c r="BU91" s="6135"/>
      <c r="BV91" s="6136"/>
      <c r="BW91" s="530"/>
      <c r="BX91" s="524"/>
      <c r="BY91" s="524"/>
      <c r="BZ91" s="1060"/>
      <c r="CA91" s="6132" t="s">
        <v>1638</v>
      </c>
      <c r="CB91" s="6133"/>
      <c r="CC91" s="542">
        <f>IF(CA89=0,"",VLOOKUP(CA89,'Tablas Magia'!$D$6:$Z$680,7,FALSE))</f>
        <v>10</v>
      </c>
      <c r="CD91" s="542">
        <f>IF(CA89=0,"",VLOOKUP(CA89,'Tablas Magia'!$D$6:$Z$680,11,FALSE))</f>
        <v>300</v>
      </c>
      <c r="CE91" s="543">
        <f>IF(CA89=0,"",VLOOKUP(CA89,'Tablas Magia'!$D$6:$Z$680,15,FALSE))</f>
        <v>30</v>
      </c>
      <c r="CF91" s="6134" t="str">
        <f>IF(CA89=0,"",VLOOKUP(CA89,'Tablas Magia'!$D$6:$Z$680,19,FALSE))</f>
        <v>100 kilómetros de radio / 140 RM.</v>
      </c>
      <c r="CG91" s="6135"/>
      <c r="CH91" s="6135"/>
      <c r="CI91" s="6135"/>
      <c r="CJ91" s="6135"/>
      <c r="CK91" s="6135"/>
      <c r="CL91" s="6135"/>
      <c r="CM91" s="6135"/>
      <c r="CN91" s="6135"/>
      <c r="CO91" s="6136"/>
      <c r="CP91" s="530"/>
      <c r="CQ91" s="524"/>
    </row>
    <row r="92" spans="1:95" ht="12" customHeight="1" x14ac:dyDescent="0.2">
      <c r="A92" s="524"/>
      <c r="B92" s="1060"/>
      <c r="C92" s="6137" t="s">
        <v>3777</v>
      </c>
      <c r="D92" s="6138"/>
      <c r="E92" s="544">
        <f>IF(C89=0,"",VLOOKUP(C89,'Tablas Magia'!$D$6:$Z$680,8,FALSE))</f>
        <v>9</v>
      </c>
      <c r="F92" s="544">
        <f>IF(C89=0,"",VLOOKUP(C89,'Tablas Magia'!$D$6:$Z$680,12,FALSE))</f>
        <v>90</v>
      </c>
      <c r="G92" s="545">
        <f>IF(C89=0,"",VLOOKUP(C89,'Tablas Magia'!$D$6:$Z$680,16,FALSE))</f>
        <v>5</v>
      </c>
      <c r="H92" s="6139" t="str">
        <f>IF(C89=0,"",VLOOKUP(C89,'Tablas Magia'!$D$6:$Z$680,20,FALSE))</f>
        <v>Hasta Daño base 90.</v>
      </c>
      <c r="I92" s="6140"/>
      <c r="J92" s="6140"/>
      <c r="K92" s="6140"/>
      <c r="L92" s="6140"/>
      <c r="M92" s="6140"/>
      <c r="N92" s="6140"/>
      <c r="O92" s="6140"/>
      <c r="P92" s="6140"/>
      <c r="Q92" s="6141"/>
      <c r="R92" s="530"/>
      <c r="S92" s="524"/>
      <c r="T92" s="524"/>
      <c r="U92" s="1060"/>
      <c r="V92" s="6137" t="s">
        <v>3777</v>
      </c>
      <c r="W92" s="6138"/>
      <c r="X92" s="544">
        <f>IF(V89=0,"",VLOOKUP(V89,'Tablas Magia'!$D$6:$Z$680,8,FALSE))</f>
        <v>9</v>
      </c>
      <c r="Y92" s="544">
        <f>IF(V89=0,"",VLOOKUP(V89,'Tablas Magia'!$D$6:$Z$680,12,FALSE))</f>
        <v>180</v>
      </c>
      <c r="Z92" s="545">
        <f>IF(V89=0,"",VLOOKUP(V89,'Tablas Magia'!$D$6:$Z$680,16,FALSE))</f>
        <v>10</v>
      </c>
      <c r="AA92" s="6139" t="str">
        <f>IF(V89=0,"",VLOOKUP(V89,'Tablas Magia'!$D$6:$Z$680,20,FALSE))</f>
        <v>1.500 puntos de Resistencia.</v>
      </c>
      <c r="AB92" s="6140"/>
      <c r="AC92" s="6140"/>
      <c r="AD92" s="6140"/>
      <c r="AE92" s="6140"/>
      <c r="AF92" s="6140"/>
      <c r="AG92" s="6140"/>
      <c r="AH92" s="6140"/>
      <c r="AI92" s="6140"/>
      <c r="AJ92" s="6141"/>
      <c r="AK92" s="530"/>
      <c r="AL92" s="524"/>
      <c r="AM92" s="588"/>
      <c r="AN92" s="1060"/>
      <c r="AO92" s="6137" t="s">
        <v>3777</v>
      </c>
      <c r="AP92" s="6138"/>
      <c r="AQ92" s="544">
        <f>IF(AO89=0,"",VLOOKUP(AO89,'Tablas Magia'!$D$6:$Z$680,8,FALSE))</f>
        <v>10</v>
      </c>
      <c r="AR92" s="544">
        <f>IF(AO89=0,"",VLOOKUP(AO89,'Tablas Magia'!$D$6:$Z$680,12,FALSE))</f>
        <v>180</v>
      </c>
      <c r="AS92" s="545" t="str">
        <f>IF(AO89=0,"",VLOOKUP(AO89,'Tablas Magia'!$D$6:$Z$680,16,FALSE))</f>
        <v>No</v>
      </c>
      <c r="AT92" s="6139" t="str">
        <f>IF(AO89=0,"",VLOOKUP(AO89,'Tablas Magia'!$D$6:$Z$680,20,FALSE))</f>
        <v>RM 150.</v>
      </c>
      <c r="AU92" s="6140"/>
      <c r="AV92" s="6140"/>
      <c r="AW92" s="6140"/>
      <c r="AX92" s="6140"/>
      <c r="AY92" s="6140"/>
      <c r="AZ92" s="6140"/>
      <c r="BA92" s="6140"/>
      <c r="BB92" s="6140"/>
      <c r="BC92" s="6141"/>
      <c r="BD92" s="530"/>
      <c r="BE92" s="524"/>
      <c r="BF92" s="524"/>
      <c r="BG92" s="1060"/>
      <c r="BH92" s="6137" t="s">
        <v>3777</v>
      </c>
      <c r="BI92" s="6138"/>
      <c r="BJ92" s="544">
        <f>IF(BH89=0,"",VLOOKUP(BH89,'Tablas Magia'!$D$6:$Z$680,8,FALSE))</f>
        <v>12</v>
      </c>
      <c r="BK92" s="544">
        <f>IF(BH89=0,"",VLOOKUP(BH89,'Tablas Magia'!$D$6:$Z$680,12,FALSE))</f>
        <v>280</v>
      </c>
      <c r="BL92" s="545">
        <f>IF(BH89=0,"",VLOOKUP(BH89,'Tablas Magia'!$D$6:$Z$680,16,FALSE))</f>
        <v>30</v>
      </c>
      <c r="BM92" s="6139" t="str">
        <f>IF(BH89=0,"",VLOOKUP(BH89,'Tablas Magia'!$D$6:$Z$680,20,FALSE))</f>
        <v>RM 160 / Copia entidades de hasta Nivel 5.</v>
      </c>
      <c r="BN92" s="6140"/>
      <c r="BO92" s="6140"/>
      <c r="BP92" s="6140"/>
      <c r="BQ92" s="6140"/>
      <c r="BR92" s="6140"/>
      <c r="BS92" s="6140"/>
      <c r="BT92" s="6140"/>
      <c r="BU92" s="6140"/>
      <c r="BV92" s="6141"/>
      <c r="BW92" s="530"/>
      <c r="BX92" s="524"/>
      <c r="BY92" s="524"/>
      <c r="BZ92" s="1060"/>
      <c r="CA92" s="6137" t="s">
        <v>3777</v>
      </c>
      <c r="CB92" s="6138"/>
      <c r="CC92" s="544">
        <f>IF(CA89=0,"",VLOOKUP(CA89,'Tablas Magia'!$D$6:$Z$680,8,FALSE))</f>
        <v>12</v>
      </c>
      <c r="CD92" s="544">
        <f>IF(CA89=0,"",VLOOKUP(CA89,'Tablas Magia'!$D$6:$Z$680,12,FALSE))</f>
        <v>450</v>
      </c>
      <c r="CE92" s="545">
        <f>IF(CA89=0,"",VLOOKUP(CA89,'Tablas Magia'!$D$6:$Z$680,16,FALSE))</f>
        <v>45</v>
      </c>
      <c r="CF92" s="6139" t="str">
        <f>IF(CA89=0,"",VLOOKUP(CA89,'Tablas Magia'!$D$6:$Z$680,20,FALSE))</f>
        <v>1.000 kilómetros de radio / 180 RM.</v>
      </c>
      <c r="CG92" s="6140"/>
      <c r="CH92" s="6140"/>
      <c r="CI92" s="6140"/>
      <c r="CJ92" s="6140"/>
      <c r="CK92" s="6140"/>
      <c r="CL92" s="6140"/>
      <c r="CM92" s="6140"/>
      <c r="CN92" s="6140"/>
      <c r="CO92" s="6141"/>
      <c r="CP92" s="530"/>
      <c r="CQ92" s="524"/>
    </row>
    <row r="93" spans="1:95" ht="12" customHeight="1" x14ac:dyDescent="0.2">
      <c r="A93" s="524"/>
      <c r="B93" s="1060"/>
      <c r="C93" s="6132" t="s">
        <v>3778</v>
      </c>
      <c r="D93" s="6133"/>
      <c r="E93" s="542">
        <f>IF(C89=0,"",VLOOKUP(C89,'Tablas Magia'!$D$6:$Z$680,9,FALSE))</f>
        <v>12</v>
      </c>
      <c r="F93" s="542">
        <f>IF(C89=0,"",VLOOKUP(C89,'Tablas Magia'!$D$6:$Z$680,13,FALSE))</f>
        <v>140</v>
      </c>
      <c r="G93" s="543">
        <f>IF(C89=0,"",VLOOKUP(C89,'Tablas Magia'!$D$6:$Z$680,17,FALSE))</f>
        <v>10</v>
      </c>
      <c r="H93" s="6134" t="str">
        <f>IF(C89=0,"",VLOOKUP(C89,'Tablas Magia'!$D$6:$Z$680,21,FALSE))</f>
        <v>Hasta Daño base 120.</v>
      </c>
      <c r="I93" s="6135"/>
      <c r="J93" s="6135"/>
      <c r="K93" s="6135"/>
      <c r="L93" s="6135"/>
      <c r="M93" s="6135"/>
      <c r="N93" s="6135"/>
      <c r="O93" s="6135"/>
      <c r="P93" s="6135"/>
      <c r="Q93" s="6136"/>
      <c r="R93" s="530"/>
      <c r="S93" s="524"/>
      <c r="T93" s="524"/>
      <c r="U93" s="1060"/>
      <c r="V93" s="6132" t="s">
        <v>3778</v>
      </c>
      <c r="W93" s="6133"/>
      <c r="X93" s="542">
        <f>IF(V89=0,"",VLOOKUP(V89,'Tablas Magia'!$D$6:$Z$680,9,FALSE))</f>
        <v>12</v>
      </c>
      <c r="Y93" s="542">
        <f>IF(V89=0,"",VLOOKUP(V89,'Tablas Magia'!$D$6:$Z$680,13,FALSE))</f>
        <v>240</v>
      </c>
      <c r="Z93" s="543">
        <f>IF(V89=0,"",VLOOKUP(V89,'Tablas Magia'!$D$6:$Z$680,17,FALSE))</f>
        <v>15</v>
      </c>
      <c r="AA93" s="6134" t="str">
        <f>IF(V89=0,"",VLOOKUP(V89,'Tablas Magia'!$D$6:$Z$680,21,FALSE))</f>
        <v>2.500 puntos de Resistencia.</v>
      </c>
      <c r="AB93" s="6135"/>
      <c r="AC93" s="6135"/>
      <c r="AD93" s="6135"/>
      <c r="AE93" s="6135"/>
      <c r="AF93" s="6135"/>
      <c r="AG93" s="6135"/>
      <c r="AH93" s="6135"/>
      <c r="AI93" s="6135"/>
      <c r="AJ93" s="6136"/>
      <c r="AK93" s="530"/>
      <c r="AL93" s="524"/>
      <c r="AM93" s="588"/>
      <c r="AN93" s="1060"/>
      <c r="AO93" s="6132" t="s">
        <v>3778</v>
      </c>
      <c r="AP93" s="6133"/>
      <c r="AQ93" s="542">
        <f>IF(AO89=0,"",VLOOKUP(AO89,'Tablas Magia'!$D$6:$Z$680,9,FALSE))</f>
        <v>13</v>
      </c>
      <c r="AR93" s="542">
        <f>IF(AO89=0,"",VLOOKUP(AO89,'Tablas Magia'!$D$6:$Z$680,13,FALSE))</f>
        <v>240</v>
      </c>
      <c r="AS93" s="543" t="str">
        <f>IF(AO89=0,"",VLOOKUP(AO89,'Tablas Magia'!$D$6:$Z$680,17,FALSE))</f>
        <v>No</v>
      </c>
      <c r="AT93" s="6134" t="str">
        <f>IF(AO89=0,"",VLOOKUP(AO89,'Tablas Magia'!$D$6:$Z$680,21,FALSE))</f>
        <v>RM 180.</v>
      </c>
      <c r="AU93" s="6135"/>
      <c r="AV93" s="6135"/>
      <c r="AW93" s="6135"/>
      <c r="AX93" s="6135"/>
      <c r="AY93" s="6135"/>
      <c r="AZ93" s="6135"/>
      <c r="BA93" s="6135"/>
      <c r="BB93" s="6135"/>
      <c r="BC93" s="6136"/>
      <c r="BD93" s="530"/>
      <c r="BE93" s="524"/>
      <c r="BF93" s="524"/>
      <c r="BG93" s="1060"/>
      <c r="BH93" s="6132" t="s">
        <v>3778</v>
      </c>
      <c r="BI93" s="6133"/>
      <c r="BJ93" s="542">
        <f>IF(BH89=0,"",VLOOKUP(BH89,'Tablas Magia'!$D$6:$Z$680,9,FALSE))</f>
        <v>14</v>
      </c>
      <c r="BK93" s="542">
        <f>IF(BH89=0,"",VLOOKUP(BH89,'Tablas Magia'!$D$6:$Z$680,13,FALSE))</f>
        <v>320</v>
      </c>
      <c r="BL93" s="543">
        <f>IF(BH89=0,"",VLOOKUP(BH89,'Tablas Magia'!$D$6:$Z$680,17,FALSE))</f>
        <v>35</v>
      </c>
      <c r="BM93" s="6134" t="str">
        <f>IF(BH89=0,"",VLOOKUP(BH89,'Tablas Magia'!$D$6:$Z$680,21,FALSE))</f>
        <v>RM 180 / Copia entidades de hasta Nivel 8 / Imita poderes de hasta Gnosis 25.</v>
      </c>
      <c r="BN93" s="6135"/>
      <c r="BO93" s="6135"/>
      <c r="BP93" s="6135"/>
      <c r="BQ93" s="6135"/>
      <c r="BR93" s="6135"/>
      <c r="BS93" s="6135"/>
      <c r="BT93" s="6135"/>
      <c r="BU93" s="6135"/>
      <c r="BV93" s="6136"/>
      <c r="BW93" s="530"/>
      <c r="BX93" s="524"/>
      <c r="BY93" s="524"/>
      <c r="BZ93" s="1060"/>
      <c r="CA93" s="6132" t="s">
        <v>3778</v>
      </c>
      <c r="CB93" s="6133"/>
      <c r="CC93" s="542">
        <f>IF(CA89=0,"",VLOOKUP(CA89,'Tablas Magia'!$D$6:$Z$680,9,FALSE))</f>
        <v>15</v>
      </c>
      <c r="CD93" s="542">
        <f>IF(CA89=0,"",VLOOKUP(CA89,'Tablas Magia'!$D$6:$Z$680,13,FALSE))</f>
        <v>600</v>
      </c>
      <c r="CE93" s="543">
        <f>IF(CA89=0,"",VLOOKUP(CA89,'Tablas Magia'!$D$6:$Z$680,17,FALSE))</f>
        <v>60</v>
      </c>
      <c r="CF93" s="6134" t="str">
        <f>IF(CA89=0,"",VLOOKUP(CA89,'Tablas Magia'!$D$6:$Z$680,21,FALSE))</f>
        <v>10.000 kilómetros de radio / 200 RM.</v>
      </c>
      <c r="CG93" s="6135"/>
      <c r="CH93" s="6135"/>
      <c r="CI93" s="6135"/>
      <c r="CJ93" s="6135"/>
      <c r="CK93" s="6135"/>
      <c r="CL93" s="6135"/>
      <c r="CM93" s="6135"/>
      <c r="CN93" s="6135"/>
      <c r="CO93" s="6136"/>
      <c r="CP93" s="530"/>
      <c r="CQ93" s="524"/>
    </row>
    <row r="94" spans="1:95" ht="12" customHeight="1" thickBot="1" x14ac:dyDescent="0.25">
      <c r="A94" s="524"/>
      <c r="B94" s="1060"/>
      <c r="C94" s="6142" t="s">
        <v>3779</v>
      </c>
      <c r="D94" s="6143"/>
      <c r="E94" s="546">
        <f>IF(C89=0,"",VLOOKUP(C89,'Tablas Magia'!$D$6:$Z$680,10,FALSE))</f>
        <v>15</v>
      </c>
      <c r="F94" s="546">
        <f>IF(C89=0,"",VLOOKUP(C89,'Tablas Magia'!$D$6:$Z$680,14,FALSE))</f>
        <v>220</v>
      </c>
      <c r="G94" s="547">
        <f>IF(C89=0,"",VLOOKUP(C89,'Tablas Magia'!$D$6:$Z$680,18,FALSE))</f>
        <v>10</v>
      </c>
      <c r="H94" s="6144" t="str">
        <f>IF(C89=0,"",VLOOKUP(C89,'Tablas Magia'!$D$6:$Z$680,22,FALSE))</f>
        <v>Hasta Daño base 160.</v>
      </c>
      <c r="I94" s="6145"/>
      <c r="J94" s="6145"/>
      <c r="K94" s="6145"/>
      <c r="L94" s="6145"/>
      <c r="M94" s="6145"/>
      <c r="N94" s="6145"/>
      <c r="O94" s="6145"/>
      <c r="P94" s="6145"/>
      <c r="Q94" s="6146"/>
      <c r="R94" s="530"/>
      <c r="S94" s="524"/>
      <c r="T94" s="524"/>
      <c r="U94" s="1060"/>
      <c r="V94" s="6142" t="s">
        <v>3779</v>
      </c>
      <c r="W94" s="6143"/>
      <c r="X94" s="546">
        <f>IF(V89=0,"",VLOOKUP(V89,'Tablas Magia'!$D$6:$Z$680,10,FALSE))</f>
        <v>15</v>
      </c>
      <c r="Y94" s="546">
        <f>IF(V89=0,"",VLOOKUP(V89,'Tablas Magia'!$D$6:$Z$680,14,FALSE))</f>
        <v>300</v>
      </c>
      <c r="Z94" s="547">
        <f>IF(V89=0,"",VLOOKUP(V89,'Tablas Magia'!$D$6:$Z$680,18,FALSE))</f>
        <v>15</v>
      </c>
      <c r="AA94" s="6144" t="str">
        <f>IF(V89=0,"",VLOOKUP(V89,'Tablas Magia'!$D$6:$Z$680,22,FALSE))</f>
        <v>4.000 puntos de Resistencia.</v>
      </c>
      <c r="AB94" s="6145"/>
      <c r="AC94" s="6145"/>
      <c r="AD94" s="6145"/>
      <c r="AE94" s="6145"/>
      <c r="AF94" s="6145"/>
      <c r="AG94" s="6145"/>
      <c r="AH94" s="6145"/>
      <c r="AI94" s="6145"/>
      <c r="AJ94" s="6146"/>
      <c r="AK94" s="530"/>
      <c r="AL94" s="524"/>
      <c r="AM94" s="588"/>
      <c r="AN94" s="1060"/>
      <c r="AO94" s="6142" t="s">
        <v>3779</v>
      </c>
      <c r="AP94" s="6143"/>
      <c r="AQ94" s="546">
        <f>IF(AO89=0,"",VLOOKUP(AO89,'Tablas Magia'!$D$6:$Z$680,10,FALSE))</f>
        <v>16</v>
      </c>
      <c r="AR94" s="546">
        <f>IF(AO89=0,"",VLOOKUP(AO89,'Tablas Magia'!$D$6:$Z$680,14,FALSE))</f>
        <v>320</v>
      </c>
      <c r="AS94" s="547" t="str">
        <f>IF(AO89=0,"",VLOOKUP(AO89,'Tablas Magia'!$D$6:$Z$680,18,FALSE))</f>
        <v>No</v>
      </c>
      <c r="AT94" s="6144" t="str">
        <f>IF(AO89=0,"",VLOOKUP(AO89,'Tablas Magia'!$D$6:$Z$680,22,FALSE))</f>
        <v>RM 220.</v>
      </c>
      <c r="AU94" s="6145"/>
      <c r="AV94" s="6145"/>
      <c r="AW94" s="6145"/>
      <c r="AX94" s="6145"/>
      <c r="AY94" s="6145"/>
      <c r="AZ94" s="6145"/>
      <c r="BA94" s="6145"/>
      <c r="BB94" s="6145"/>
      <c r="BC94" s="6146"/>
      <c r="BD94" s="530"/>
      <c r="BE94" s="524"/>
      <c r="BF94" s="524"/>
      <c r="BG94" s="1060"/>
      <c r="BH94" s="6142" t="s">
        <v>3779</v>
      </c>
      <c r="BI94" s="6143"/>
      <c r="BJ94" s="546">
        <f>IF(BH89=0,"",VLOOKUP(BH89,'Tablas Magia'!$D$6:$Z$680,10,FALSE))</f>
        <v>16</v>
      </c>
      <c r="BK94" s="546">
        <f>IF(BH89=0,"",VLOOKUP(BH89,'Tablas Magia'!$D$6:$Z$680,14,FALSE))</f>
        <v>400</v>
      </c>
      <c r="BL94" s="547">
        <f>IF(BH89=0,"",VLOOKUP(BH89,'Tablas Magia'!$D$6:$Z$680,18,FALSE))</f>
        <v>40</v>
      </c>
      <c r="BM94" s="6144" t="str">
        <f>IF(BH89=0,"",VLOOKUP(BH89,'Tablas Magia'!$D$6:$Z$680,22,FALSE))</f>
        <v>RM 200 / Copia entidades de hasta Nivel 12 / Imita poderes de hasta Gnosis 30.</v>
      </c>
      <c r="BN94" s="6145"/>
      <c r="BO94" s="6145"/>
      <c r="BP94" s="6145"/>
      <c r="BQ94" s="6145"/>
      <c r="BR94" s="6145"/>
      <c r="BS94" s="6145"/>
      <c r="BT94" s="6145"/>
      <c r="BU94" s="6145"/>
      <c r="BV94" s="6146"/>
      <c r="BW94" s="530"/>
      <c r="BX94" s="524"/>
      <c r="BY94" s="524"/>
      <c r="BZ94" s="1060"/>
      <c r="CA94" s="6142" t="s">
        <v>3779</v>
      </c>
      <c r="CB94" s="6143"/>
      <c r="CC94" s="546">
        <f>IF(CA89=0,"",VLOOKUP(CA89,'Tablas Magia'!$D$6:$Z$680,10,FALSE))</f>
        <v>18</v>
      </c>
      <c r="CD94" s="546">
        <f>IF(CA89=0,"",VLOOKUP(CA89,'Tablas Magia'!$D$6:$Z$680,14,FALSE))</f>
        <v>1000</v>
      </c>
      <c r="CE94" s="547">
        <f>IF(CA89=0,"",VLOOKUP(CA89,'Tablas Magia'!$D$6:$Z$680,18,FALSE))</f>
        <v>100</v>
      </c>
      <c r="CF94" s="6144" t="str">
        <f>IF(CA89=0,"",VLOOKUP(CA89,'Tablas Magia'!$D$6:$Z$680,22,FALSE))</f>
        <v>Afecta cualquier sustancia líquida existente / 240 RM.</v>
      </c>
      <c r="CG94" s="6145"/>
      <c r="CH94" s="6145"/>
      <c r="CI94" s="6145"/>
      <c r="CJ94" s="6145"/>
      <c r="CK94" s="6145"/>
      <c r="CL94" s="6145"/>
      <c r="CM94" s="6145"/>
      <c r="CN94" s="6145"/>
      <c r="CO94" s="6146"/>
      <c r="CP94" s="530"/>
      <c r="CQ94" s="524"/>
    </row>
    <row r="95" spans="1:95" ht="12" customHeight="1" x14ac:dyDescent="0.2">
      <c r="A95" s="524"/>
      <c r="B95" s="1060"/>
      <c r="C95" s="6147"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48"/>
      <c r="E95" s="6148"/>
      <c r="F95" s="6148"/>
      <c r="G95" s="6148"/>
      <c r="H95" s="6148"/>
      <c r="I95" s="6148"/>
      <c r="J95" s="6148"/>
      <c r="K95" s="6148"/>
      <c r="L95" s="6148"/>
      <c r="M95" s="6148"/>
      <c r="N95" s="6148"/>
      <c r="O95" s="6148"/>
      <c r="P95" s="6148"/>
      <c r="Q95" s="6149"/>
      <c r="R95" s="530"/>
      <c r="S95" s="524"/>
      <c r="T95" s="524"/>
      <c r="U95" s="1060"/>
      <c r="V95" s="6147"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48"/>
      <c r="X95" s="6148"/>
      <c r="Y95" s="6148"/>
      <c r="Z95" s="6148"/>
      <c r="AA95" s="6148"/>
      <c r="AB95" s="6148"/>
      <c r="AC95" s="6148"/>
      <c r="AD95" s="6148"/>
      <c r="AE95" s="6148"/>
      <c r="AF95" s="6148"/>
      <c r="AG95" s="6148"/>
      <c r="AH95" s="6148"/>
      <c r="AI95" s="6148"/>
      <c r="AJ95" s="6149"/>
      <c r="AK95" s="530"/>
      <c r="AL95" s="524"/>
      <c r="AM95" s="588"/>
      <c r="AN95" s="1060"/>
      <c r="AO95" s="6147"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48"/>
      <c r="AQ95" s="6148"/>
      <c r="AR95" s="6148"/>
      <c r="AS95" s="6148"/>
      <c r="AT95" s="6148"/>
      <c r="AU95" s="6148"/>
      <c r="AV95" s="6148"/>
      <c r="AW95" s="6148"/>
      <c r="AX95" s="6148"/>
      <c r="AY95" s="6148"/>
      <c r="AZ95" s="6148"/>
      <c r="BA95" s="6148"/>
      <c r="BB95" s="6148"/>
      <c r="BC95" s="6149"/>
      <c r="BD95" s="530"/>
      <c r="BE95" s="524"/>
      <c r="BF95" s="524"/>
      <c r="BG95" s="1060"/>
      <c r="BH95" s="6147"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48"/>
      <c r="BJ95" s="6148"/>
      <c r="BK95" s="6148"/>
      <c r="BL95" s="6148"/>
      <c r="BM95" s="6148"/>
      <c r="BN95" s="6148"/>
      <c r="BO95" s="6148"/>
      <c r="BP95" s="6148"/>
      <c r="BQ95" s="6148"/>
      <c r="BR95" s="6148"/>
      <c r="BS95" s="6148"/>
      <c r="BT95" s="6148"/>
      <c r="BU95" s="6148"/>
      <c r="BV95" s="6149"/>
      <c r="BW95" s="530"/>
      <c r="BX95" s="524"/>
      <c r="BY95" s="524"/>
      <c r="BZ95" s="1060"/>
      <c r="CA95" s="6147"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48"/>
      <c r="CC95" s="6148"/>
      <c r="CD95" s="6148"/>
      <c r="CE95" s="6148"/>
      <c r="CF95" s="6148"/>
      <c r="CG95" s="6148"/>
      <c r="CH95" s="6148"/>
      <c r="CI95" s="6148"/>
      <c r="CJ95" s="6148"/>
      <c r="CK95" s="6148"/>
      <c r="CL95" s="6148"/>
      <c r="CM95" s="6148"/>
      <c r="CN95" s="6148"/>
      <c r="CO95" s="6149"/>
      <c r="CP95" s="530"/>
      <c r="CQ95" s="524"/>
    </row>
    <row r="96" spans="1:95" ht="12" customHeight="1" x14ac:dyDescent="0.2">
      <c r="A96" s="524"/>
      <c r="B96" s="1060"/>
      <c r="C96" s="6150"/>
      <c r="D96" s="6151"/>
      <c r="E96" s="6151"/>
      <c r="F96" s="6151"/>
      <c r="G96" s="6151"/>
      <c r="H96" s="6151"/>
      <c r="I96" s="6151"/>
      <c r="J96" s="6151"/>
      <c r="K96" s="6151"/>
      <c r="L96" s="6151"/>
      <c r="M96" s="6151"/>
      <c r="N96" s="6151"/>
      <c r="O96" s="6151"/>
      <c r="P96" s="6151"/>
      <c r="Q96" s="6152"/>
      <c r="R96" s="530"/>
      <c r="S96" s="524"/>
      <c r="T96" s="524"/>
      <c r="U96" s="1060"/>
      <c r="V96" s="6150"/>
      <c r="W96" s="6151"/>
      <c r="X96" s="6151"/>
      <c r="Y96" s="6151"/>
      <c r="Z96" s="6151"/>
      <c r="AA96" s="6151"/>
      <c r="AB96" s="6151"/>
      <c r="AC96" s="6151"/>
      <c r="AD96" s="6151"/>
      <c r="AE96" s="6151"/>
      <c r="AF96" s="6151"/>
      <c r="AG96" s="6151"/>
      <c r="AH96" s="6151"/>
      <c r="AI96" s="6151"/>
      <c r="AJ96" s="6152"/>
      <c r="AK96" s="530"/>
      <c r="AL96" s="524"/>
      <c r="AM96" s="588"/>
      <c r="AN96" s="1060"/>
      <c r="AO96" s="6150"/>
      <c r="AP96" s="6151"/>
      <c r="AQ96" s="6151"/>
      <c r="AR96" s="6151"/>
      <c r="AS96" s="6151"/>
      <c r="AT96" s="6151"/>
      <c r="AU96" s="6151"/>
      <c r="AV96" s="6151"/>
      <c r="AW96" s="6151"/>
      <c r="AX96" s="6151"/>
      <c r="AY96" s="6151"/>
      <c r="AZ96" s="6151"/>
      <c r="BA96" s="6151"/>
      <c r="BB96" s="6151"/>
      <c r="BC96" s="6152"/>
      <c r="BD96" s="530"/>
      <c r="BE96" s="524"/>
      <c r="BF96" s="524"/>
      <c r="BG96" s="1060"/>
      <c r="BH96" s="6150"/>
      <c r="BI96" s="6151"/>
      <c r="BJ96" s="6151"/>
      <c r="BK96" s="6151"/>
      <c r="BL96" s="6151"/>
      <c r="BM96" s="6151"/>
      <c r="BN96" s="6151"/>
      <c r="BO96" s="6151"/>
      <c r="BP96" s="6151"/>
      <c r="BQ96" s="6151"/>
      <c r="BR96" s="6151"/>
      <c r="BS96" s="6151"/>
      <c r="BT96" s="6151"/>
      <c r="BU96" s="6151"/>
      <c r="BV96" s="6152"/>
      <c r="BW96" s="530"/>
      <c r="BX96" s="524"/>
      <c r="BY96" s="524"/>
      <c r="BZ96" s="1060"/>
      <c r="CA96" s="6150"/>
      <c r="CB96" s="6151"/>
      <c r="CC96" s="6151"/>
      <c r="CD96" s="6151"/>
      <c r="CE96" s="6151"/>
      <c r="CF96" s="6151"/>
      <c r="CG96" s="6151"/>
      <c r="CH96" s="6151"/>
      <c r="CI96" s="6151"/>
      <c r="CJ96" s="6151"/>
      <c r="CK96" s="6151"/>
      <c r="CL96" s="6151"/>
      <c r="CM96" s="6151"/>
      <c r="CN96" s="6151"/>
      <c r="CO96" s="6152"/>
      <c r="CP96" s="530"/>
      <c r="CQ96" s="524"/>
    </row>
    <row r="97" spans="1:95" ht="12" customHeight="1" x14ac:dyDescent="0.2">
      <c r="A97" s="524"/>
      <c r="B97" s="1060"/>
      <c r="C97" s="6150"/>
      <c r="D97" s="6151"/>
      <c r="E97" s="6151"/>
      <c r="F97" s="6151"/>
      <c r="G97" s="6151"/>
      <c r="H97" s="6151"/>
      <c r="I97" s="6151"/>
      <c r="J97" s="6151"/>
      <c r="K97" s="6151"/>
      <c r="L97" s="6151"/>
      <c r="M97" s="6151"/>
      <c r="N97" s="6151"/>
      <c r="O97" s="6151"/>
      <c r="P97" s="6151"/>
      <c r="Q97" s="6152"/>
      <c r="R97" s="530"/>
      <c r="S97" s="524"/>
      <c r="T97" s="524"/>
      <c r="U97" s="1060"/>
      <c r="V97" s="6150"/>
      <c r="W97" s="6151"/>
      <c r="X97" s="6151"/>
      <c r="Y97" s="6151"/>
      <c r="Z97" s="6151"/>
      <c r="AA97" s="6151"/>
      <c r="AB97" s="6151"/>
      <c r="AC97" s="6151"/>
      <c r="AD97" s="6151"/>
      <c r="AE97" s="6151"/>
      <c r="AF97" s="6151"/>
      <c r="AG97" s="6151"/>
      <c r="AH97" s="6151"/>
      <c r="AI97" s="6151"/>
      <c r="AJ97" s="6152"/>
      <c r="AK97" s="530"/>
      <c r="AL97" s="524"/>
      <c r="AM97" s="588"/>
      <c r="AN97" s="1060"/>
      <c r="AO97" s="6150"/>
      <c r="AP97" s="6151"/>
      <c r="AQ97" s="6151"/>
      <c r="AR97" s="6151"/>
      <c r="AS97" s="6151"/>
      <c r="AT97" s="6151"/>
      <c r="AU97" s="6151"/>
      <c r="AV97" s="6151"/>
      <c r="AW97" s="6151"/>
      <c r="AX97" s="6151"/>
      <c r="AY97" s="6151"/>
      <c r="AZ97" s="6151"/>
      <c r="BA97" s="6151"/>
      <c r="BB97" s="6151"/>
      <c r="BC97" s="6152"/>
      <c r="BD97" s="530"/>
      <c r="BE97" s="524"/>
      <c r="BF97" s="524"/>
      <c r="BG97" s="1060"/>
      <c r="BH97" s="6150"/>
      <c r="BI97" s="6151"/>
      <c r="BJ97" s="6151"/>
      <c r="BK97" s="6151"/>
      <c r="BL97" s="6151"/>
      <c r="BM97" s="6151"/>
      <c r="BN97" s="6151"/>
      <c r="BO97" s="6151"/>
      <c r="BP97" s="6151"/>
      <c r="BQ97" s="6151"/>
      <c r="BR97" s="6151"/>
      <c r="BS97" s="6151"/>
      <c r="BT97" s="6151"/>
      <c r="BU97" s="6151"/>
      <c r="BV97" s="6152"/>
      <c r="BW97" s="530"/>
      <c r="BX97" s="524"/>
      <c r="BY97" s="524"/>
      <c r="BZ97" s="1060"/>
      <c r="CA97" s="6150"/>
      <c r="CB97" s="6151"/>
      <c r="CC97" s="6151"/>
      <c r="CD97" s="6151"/>
      <c r="CE97" s="6151"/>
      <c r="CF97" s="6151"/>
      <c r="CG97" s="6151"/>
      <c r="CH97" s="6151"/>
      <c r="CI97" s="6151"/>
      <c r="CJ97" s="6151"/>
      <c r="CK97" s="6151"/>
      <c r="CL97" s="6151"/>
      <c r="CM97" s="6151"/>
      <c r="CN97" s="6151"/>
      <c r="CO97" s="6152"/>
      <c r="CP97" s="530"/>
      <c r="CQ97" s="524"/>
    </row>
    <row r="98" spans="1:95" ht="12" customHeight="1" thickBot="1" x14ac:dyDescent="0.25">
      <c r="A98" s="524"/>
      <c r="B98" s="1060"/>
      <c r="C98" s="6153"/>
      <c r="D98" s="6154"/>
      <c r="E98" s="6154"/>
      <c r="F98" s="6154"/>
      <c r="G98" s="6154"/>
      <c r="H98" s="6154"/>
      <c r="I98" s="6154"/>
      <c r="J98" s="6154"/>
      <c r="K98" s="6154"/>
      <c r="L98" s="6154"/>
      <c r="M98" s="6154"/>
      <c r="N98" s="6154"/>
      <c r="O98" s="6154"/>
      <c r="P98" s="6154"/>
      <c r="Q98" s="6155"/>
      <c r="R98" s="530"/>
      <c r="S98" s="524"/>
      <c r="T98" s="524"/>
      <c r="U98" s="1060"/>
      <c r="V98" s="6153"/>
      <c r="W98" s="6154"/>
      <c r="X98" s="6154"/>
      <c r="Y98" s="6154"/>
      <c r="Z98" s="6154"/>
      <c r="AA98" s="6154"/>
      <c r="AB98" s="6154"/>
      <c r="AC98" s="6154"/>
      <c r="AD98" s="6154"/>
      <c r="AE98" s="6154"/>
      <c r="AF98" s="6154"/>
      <c r="AG98" s="6154"/>
      <c r="AH98" s="6154"/>
      <c r="AI98" s="6154"/>
      <c r="AJ98" s="6155"/>
      <c r="AK98" s="530"/>
      <c r="AL98" s="524"/>
      <c r="AM98" s="588"/>
      <c r="AN98" s="1060"/>
      <c r="AO98" s="6153"/>
      <c r="AP98" s="6154"/>
      <c r="AQ98" s="6154"/>
      <c r="AR98" s="6154"/>
      <c r="AS98" s="6154"/>
      <c r="AT98" s="6154"/>
      <c r="AU98" s="6154"/>
      <c r="AV98" s="6154"/>
      <c r="AW98" s="6154"/>
      <c r="AX98" s="6154"/>
      <c r="AY98" s="6154"/>
      <c r="AZ98" s="6154"/>
      <c r="BA98" s="6154"/>
      <c r="BB98" s="6154"/>
      <c r="BC98" s="6155"/>
      <c r="BD98" s="530"/>
      <c r="BE98" s="524"/>
      <c r="BF98" s="524"/>
      <c r="BG98" s="1060"/>
      <c r="BH98" s="6153"/>
      <c r="BI98" s="6154"/>
      <c r="BJ98" s="6154"/>
      <c r="BK98" s="6154"/>
      <c r="BL98" s="6154"/>
      <c r="BM98" s="6154"/>
      <c r="BN98" s="6154"/>
      <c r="BO98" s="6154"/>
      <c r="BP98" s="6154"/>
      <c r="BQ98" s="6154"/>
      <c r="BR98" s="6154"/>
      <c r="BS98" s="6154"/>
      <c r="BT98" s="6154"/>
      <c r="BU98" s="6154"/>
      <c r="BV98" s="6155"/>
      <c r="BW98" s="530"/>
      <c r="BX98" s="524"/>
      <c r="BY98" s="524"/>
      <c r="BZ98" s="1060"/>
      <c r="CA98" s="6153"/>
      <c r="CB98" s="6154"/>
      <c r="CC98" s="6154"/>
      <c r="CD98" s="6154"/>
      <c r="CE98" s="6154"/>
      <c r="CF98" s="6154"/>
      <c r="CG98" s="6154"/>
      <c r="CH98" s="6154"/>
      <c r="CI98" s="6154"/>
      <c r="CJ98" s="6154"/>
      <c r="CK98" s="6154"/>
      <c r="CL98" s="6154"/>
      <c r="CM98" s="6154"/>
      <c r="CN98" s="6154"/>
      <c r="CO98" s="6155"/>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7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79"/>
      <c r="E100" s="6179"/>
      <c r="F100" s="6179"/>
      <c r="G100" s="6179"/>
      <c r="H100" s="537" t="s">
        <v>1597</v>
      </c>
      <c r="I100" s="538">
        <f>B100</f>
        <v>18</v>
      </c>
      <c r="J100" s="6173" t="s">
        <v>6888</v>
      </c>
      <c r="K100" s="6173"/>
      <c r="L100" s="6173"/>
      <c r="M100" s="6161" t="e">
        <f>IF(C100=0,"",VLOOKUP(C100,'Tablas Magia'!$D$6:$Z$680,2,FALSE))</f>
        <v>#N/A</v>
      </c>
      <c r="N100" s="6161"/>
      <c r="O100" s="2428"/>
      <c r="P100" s="6177" t="str">
        <f>IFERROR(IF(M100="Libre Acceso","Aprendido",IF(IFERROR(VLOOKUP(M100,Místicos!$C$15:$H$25,6,0)&gt;=I100,FALSE),"Aprendido",IF(IFERROR(VLOOKUP(M100,Místicos!$E$15:$H$25,4,0)&gt;=I100,FALSE),"Aprendido",""))),"")</f>
        <v/>
      </c>
      <c r="Q100" s="6178"/>
      <c r="R100" s="530"/>
      <c r="S100" s="524"/>
      <c r="T100" s="524"/>
      <c r="U100" s="1060">
        <f>U89+2</f>
        <v>38</v>
      </c>
      <c r="V100" s="617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79"/>
      <c r="X100" s="6179"/>
      <c r="Y100" s="6179"/>
      <c r="Z100" s="6179"/>
      <c r="AA100" s="537" t="s">
        <v>1597</v>
      </c>
      <c r="AB100" s="538">
        <f>U100</f>
        <v>38</v>
      </c>
      <c r="AC100" s="6173" t="s">
        <v>6888</v>
      </c>
      <c r="AD100" s="6173"/>
      <c r="AE100" s="6173"/>
      <c r="AF100" s="6161" t="e">
        <f>IF(V100=0,"",VLOOKUP(V100,'Tablas Magia'!$D$6:$Z$680,2,FALSE))</f>
        <v>#N/A</v>
      </c>
      <c r="AG100" s="6161"/>
      <c r="AH100" s="2428"/>
      <c r="AI100" s="6177" t="str">
        <f>IFERROR(IF(AF100="Libre Acceso","Aprendido",IF(IFERROR(VLOOKUP(AF100,Místicos!$C$15:$H$25,6,0)&gt;=AB100,FALSE),"Aprendido",IF(IFERROR(VLOOKUP(AF100,Místicos!$E$15:$H$25,4,0)&gt;=AB100,FALSE),"Aprendido",""))),"")</f>
        <v/>
      </c>
      <c r="AJ100" s="6178"/>
      <c r="AK100" s="530"/>
      <c r="AL100" s="524"/>
      <c r="AM100" s="588"/>
      <c r="AN100" s="1060">
        <f>AN89+2</f>
        <v>58</v>
      </c>
      <c r="AO100" s="617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79"/>
      <c r="AQ100" s="6179"/>
      <c r="AR100" s="6179"/>
      <c r="AS100" s="6179"/>
      <c r="AT100" s="537" t="s">
        <v>1597</v>
      </c>
      <c r="AU100" s="538">
        <f>AN100</f>
        <v>58</v>
      </c>
      <c r="AV100" s="6173" t="s">
        <v>6888</v>
      </c>
      <c r="AW100" s="6173"/>
      <c r="AX100" s="6173"/>
      <c r="AY100" s="6161" t="e">
        <f>IF(AO100=0,"",VLOOKUP(AO100,'Tablas Magia'!$D$6:$Z$680,2,FALSE))</f>
        <v>#N/A</v>
      </c>
      <c r="AZ100" s="6161"/>
      <c r="BA100" s="2428"/>
      <c r="BB100" s="6177" t="str">
        <f>IFERROR(IF(AY100="Libre Acceso","Aprendido",IF(IFERROR(VLOOKUP(AY100,Místicos!$C$15:$H$25,6,0)&gt;=AU100,FALSE),"Aprendido",IF(IFERROR(VLOOKUP(AY100,Místicos!$E$15:$H$25,4,0)&gt;=AU100,FALSE),"Aprendido",""))),"")</f>
        <v/>
      </c>
      <c r="BC100" s="6178"/>
      <c r="BD100" s="530"/>
      <c r="BE100" s="524"/>
      <c r="BF100" s="524"/>
      <c r="BG100" s="1060">
        <f>BG89+2</f>
        <v>78</v>
      </c>
      <c r="BH100" s="617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79"/>
      <c r="BJ100" s="6179"/>
      <c r="BK100" s="6179"/>
      <c r="BL100" s="6179"/>
      <c r="BM100" s="537" t="s">
        <v>1597</v>
      </c>
      <c r="BN100" s="538">
        <f>BG100</f>
        <v>78</v>
      </c>
      <c r="BO100" s="6173" t="s">
        <v>6888</v>
      </c>
      <c r="BP100" s="6173"/>
      <c r="BQ100" s="6173"/>
      <c r="BR100" s="6161" t="e">
        <f>IF(BH100=0,"",VLOOKUP(BH100,'Tablas Magia'!$D$6:$Z$680,2,FALSE))</f>
        <v>#N/A</v>
      </c>
      <c r="BS100" s="6161"/>
      <c r="BT100" s="2428"/>
      <c r="BU100" s="6177" t="str">
        <f>IFERROR(IF(BR100="Libre Acceso","Aprendido",IF(IFERROR(VLOOKUP(BR100,Místicos!$C$15:$H$25,6,0)&gt;=BN100,FALSE),"Aprendido",IF(IFERROR(VLOOKUP(BR100,Místicos!$E$15:$H$25,4,0)&gt;=BN100,FALSE),"Aprendido",""))),"")</f>
        <v/>
      </c>
      <c r="BV100" s="6178"/>
      <c r="BW100" s="530"/>
      <c r="BX100" s="524"/>
      <c r="BY100" s="524"/>
      <c r="BZ100" s="1060">
        <f>BZ89+2</f>
        <v>98</v>
      </c>
      <c r="CA100" s="617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79"/>
      <c r="CC100" s="6179"/>
      <c r="CD100" s="6179"/>
      <c r="CE100" s="6179"/>
      <c r="CF100" s="537" t="s">
        <v>1597</v>
      </c>
      <c r="CG100" s="538">
        <f>BZ100</f>
        <v>98</v>
      </c>
      <c r="CH100" s="6173" t="s">
        <v>6888</v>
      </c>
      <c r="CI100" s="6173"/>
      <c r="CJ100" s="6173"/>
      <c r="CK100" s="6161" t="e">
        <f>IF(CA100=0,"",VLOOKUP(CA100,'Tablas Magia'!$D$6:$Z$680,2,FALSE))</f>
        <v>#N/A</v>
      </c>
      <c r="CL100" s="6161"/>
      <c r="CM100" s="2428"/>
      <c r="CN100" s="6177" t="str">
        <f>IFERROR(IF(CK100="Libre Acceso","Aprendido",IF(IFERROR(VLOOKUP(CK100,Místicos!$C$15:$H$25,6,0)&gt;=CG100,FALSE),"Aprendido",IF(IFERROR(VLOOKUP(CK100,Místicos!$E$15:$H$25,4,0)&gt;=CG100,FALSE),"Aprendido",""))),"")</f>
        <v/>
      </c>
      <c r="CO100" s="6178"/>
      <c r="CP100" s="530"/>
      <c r="CQ100" s="524"/>
    </row>
    <row r="101" spans="1:95" ht="12" customHeight="1" x14ac:dyDescent="0.2">
      <c r="A101" s="524"/>
      <c r="B101" s="1060"/>
      <c r="C101" s="6156" t="s">
        <v>6889</v>
      </c>
      <c r="D101" s="6172"/>
      <c r="E101" s="2452" t="s">
        <v>6890</v>
      </c>
      <c r="F101" s="2452" t="s">
        <v>1783</v>
      </c>
      <c r="G101" s="2452" t="s">
        <v>3227</v>
      </c>
      <c r="H101" s="2453" t="s">
        <v>2121</v>
      </c>
      <c r="I101" s="6170" t="e">
        <f>IF(C100=0,"",VLOOKUP(C100,'Tablas Magia'!$D$6:$Z$680,5,FALSE))</f>
        <v>#N/A</v>
      </c>
      <c r="J101" s="6170"/>
      <c r="K101" s="6171" t="s">
        <v>6891</v>
      </c>
      <c r="L101" s="6171"/>
      <c r="M101" s="6170" t="e">
        <f>IF(C100=0,"",VLOOKUP(C100,'Tablas Magia'!$D$6:$Z$680,6,FALSE))</f>
        <v>#N/A</v>
      </c>
      <c r="N101" s="6170"/>
      <c r="O101" s="6169" t="s">
        <v>6892</v>
      </c>
      <c r="P101" s="6169"/>
      <c r="Q101" s="2454" t="e">
        <f>IF(C100=0,"",VLOOKUP(C100,'Tablas Magia'!$D$6:$Z$680,4,FALSE))</f>
        <v>#N/A</v>
      </c>
      <c r="R101" s="530"/>
      <c r="S101" s="524"/>
      <c r="T101" s="524"/>
      <c r="U101" s="1060"/>
      <c r="V101" s="6156" t="s">
        <v>6889</v>
      </c>
      <c r="W101" s="6172"/>
      <c r="X101" s="2452" t="s">
        <v>6890</v>
      </c>
      <c r="Y101" s="2452" t="s">
        <v>1783</v>
      </c>
      <c r="Z101" s="2452" t="s">
        <v>3227</v>
      </c>
      <c r="AA101" s="2453" t="s">
        <v>2121</v>
      </c>
      <c r="AB101" s="6170" t="e">
        <f>IF(V100=0,"",VLOOKUP(V100,'Tablas Magia'!$D$6:$Z$680,5,FALSE))</f>
        <v>#N/A</v>
      </c>
      <c r="AC101" s="6170"/>
      <c r="AD101" s="6171" t="s">
        <v>6891</v>
      </c>
      <c r="AE101" s="6171"/>
      <c r="AF101" s="6170" t="e">
        <f>IF(V100=0,"",VLOOKUP(V100,'Tablas Magia'!$D$6:$Z$680,6,FALSE))</f>
        <v>#N/A</v>
      </c>
      <c r="AG101" s="6170"/>
      <c r="AH101" s="6169" t="s">
        <v>6892</v>
      </c>
      <c r="AI101" s="6169"/>
      <c r="AJ101" s="2454" t="e">
        <f>IF(V100=0,"",VLOOKUP(V100,'Tablas Magia'!$D$6:$Z$680,4,FALSE))</f>
        <v>#N/A</v>
      </c>
      <c r="AK101" s="530"/>
      <c r="AL101" s="524"/>
      <c r="AM101" s="588"/>
      <c r="AN101" s="1060"/>
      <c r="AO101" s="6156" t="s">
        <v>6889</v>
      </c>
      <c r="AP101" s="6172"/>
      <c r="AQ101" s="2452" t="s">
        <v>6890</v>
      </c>
      <c r="AR101" s="2452" t="s">
        <v>1783</v>
      </c>
      <c r="AS101" s="2452" t="s">
        <v>3227</v>
      </c>
      <c r="AT101" s="2453" t="s">
        <v>2121</v>
      </c>
      <c r="AU101" s="6170" t="e">
        <f>IF(AO100=0,"",VLOOKUP(AO100,'Tablas Magia'!$D$6:$Z$680,5,FALSE))</f>
        <v>#N/A</v>
      </c>
      <c r="AV101" s="6170"/>
      <c r="AW101" s="6171" t="s">
        <v>6891</v>
      </c>
      <c r="AX101" s="6171"/>
      <c r="AY101" s="6170" t="e">
        <f>IF(AO100=0,"",VLOOKUP(AO100,'Tablas Magia'!$D$6:$Z$680,6,FALSE))</f>
        <v>#N/A</v>
      </c>
      <c r="AZ101" s="6170"/>
      <c r="BA101" s="6169" t="s">
        <v>6892</v>
      </c>
      <c r="BB101" s="6169"/>
      <c r="BC101" s="2454" t="e">
        <f>IF(AO100=0,"",VLOOKUP(AO100,'Tablas Magia'!$D$6:$Z$680,4,FALSE))</f>
        <v>#N/A</v>
      </c>
      <c r="BD101" s="530"/>
      <c r="BE101" s="524"/>
      <c r="BF101" s="524"/>
      <c r="BG101" s="1060"/>
      <c r="BH101" s="6156" t="s">
        <v>6889</v>
      </c>
      <c r="BI101" s="6172"/>
      <c r="BJ101" s="2452" t="s">
        <v>6890</v>
      </c>
      <c r="BK101" s="2452" t="s">
        <v>1783</v>
      </c>
      <c r="BL101" s="2452" t="s">
        <v>3227</v>
      </c>
      <c r="BM101" s="2453" t="s">
        <v>2121</v>
      </c>
      <c r="BN101" s="6170" t="e">
        <f>IF(BH100=0,"",VLOOKUP(BH100,'Tablas Magia'!$D$6:$Z$680,5,FALSE))</f>
        <v>#N/A</v>
      </c>
      <c r="BO101" s="6170"/>
      <c r="BP101" s="6171" t="s">
        <v>6891</v>
      </c>
      <c r="BQ101" s="6171"/>
      <c r="BR101" s="6170" t="e">
        <f>IF(BH100=0,"",VLOOKUP(BH100,'Tablas Magia'!$D$6:$Z$680,6,FALSE))</f>
        <v>#N/A</v>
      </c>
      <c r="BS101" s="6170"/>
      <c r="BT101" s="6169" t="s">
        <v>6892</v>
      </c>
      <c r="BU101" s="6169"/>
      <c r="BV101" s="2454" t="e">
        <f>IF(BH100=0,"",VLOOKUP(BH100,'Tablas Magia'!$D$6:$Z$680,4,FALSE))</f>
        <v>#N/A</v>
      </c>
      <c r="BW101" s="530"/>
      <c r="BX101" s="524"/>
      <c r="BY101" s="524"/>
      <c r="BZ101" s="1060"/>
      <c r="CA101" s="6156" t="s">
        <v>6889</v>
      </c>
      <c r="CB101" s="6172"/>
      <c r="CC101" s="2452" t="s">
        <v>6890</v>
      </c>
      <c r="CD101" s="2452" t="s">
        <v>1783</v>
      </c>
      <c r="CE101" s="2452" t="s">
        <v>3227</v>
      </c>
      <c r="CF101" s="2453" t="s">
        <v>2121</v>
      </c>
      <c r="CG101" s="6170" t="e">
        <f>IF(CA100=0,"",VLOOKUP(CA100,'Tablas Magia'!$D$6:$Z$680,5,FALSE))</f>
        <v>#N/A</v>
      </c>
      <c r="CH101" s="6170"/>
      <c r="CI101" s="6171" t="s">
        <v>6891</v>
      </c>
      <c r="CJ101" s="6171"/>
      <c r="CK101" s="6170" t="e">
        <f>IF(CA100=0,"",VLOOKUP(CA100,'Tablas Magia'!$D$6:$Z$680,6,FALSE))</f>
        <v>#N/A</v>
      </c>
      <c r="CL101" s="6170"/>
      <c r="CM101" s="6169" t="s">
        <v>6892</v>
      </c>
      <c r="CN101" s="6169"/>
      <c r="CO101" s="2454" t="e">
        <f>IF(CA100=0,"",VLOOKUP(CA100,'Tablas Magia'!$D$6:$Z$680,4,FALSE))</f>
        <v>#N/A</v>
      </c>
      <c r="CP101" s="530"/>
      <c r="CQ101" s="524"/>
    </row>
    <row r="102" spans="1:95" ht="12" customHeight="1" x14ac:dyDescent="0.2">
      <c r="A102" s="524"/>
      <c r="B102" s="1060"/>
      <c r="C102" s="6132" t="s">
        <v>1638</v>
      </c>
      <c r="D102" s="6133"/>
      <c r="E102" s="542" t="e">
        <f>IF(C100=0,"",VLOOKUP(C100,'Tablas Magia'!$D$6:$Z$680,7,FALSE))</f>
        <v>#N/A</v>
      </c>
      <c r="F102" s="542" t="e">
        <f>IF(C100=0,"",VLOOKUP(C100,'Tablas Magia'!$D$6:$Z$680,11,FALSE))</f>
        <v>#N/A</v>
      </c>
      <c r="G102" s="543" t="e">
        <f>IF(C100=0,"",VLOOKUP(C100,'Tablas Magia'!$D$6:$Z$680,15,FALSE))</f>
        <v>#N/A</v>
      </c>
      <c r="H102" s="6134" t="e">
        <f>IF(C100=0,"",VLOOKUP(C100,'Tablas Magia'!$D$6:$Z$680,19,FALSE))</f>
        <v>#N/A</v>
      </c>
      <c r="I102" s="6135"/>
      <c r="J102" s="6135"/>
      <c r="K102" s="6135"/>
      <c r="L102" s="6135"/>
      <c r="M102" s="6135"/>
      <c r="N102" s="6135"/>
      <c r="O102" s="6135"/>
      <c r="P102" s="6135"/>
      <c r="Q102" s="6136"/>
      <c r="R102" s="530"/>
      <c r="S102" s="524"/>
      <c r="T102" s="524"/>
      <c r="U102" s="1060"/>
      <c r="V102" s="6132" t="s">
        <v>1638</v>
      </c>
      <c r="W102" s="6133"/>
      <c r="X102" s="542" t="e">
        <f>IF(V100=0,"",VLOOKUP(V100,'Tablas Magia'!$D$6:$Z$680,7,FALSE))</f>
        <v>#N/A</v>
      </c>
      <c r="Y102" s="542" t="e">
        <f>IF(V100=0,"",VLOOKUP(V100,'Tablas Magia'!$D$6:$Z$680,11,FALSE))</f>
        <v>#N/A</v>
      </c>
      <c r="Z102" s="543" t="e">
        <f>IF(V100=0,"",VLOOKUP(V100,'Tablas Magia'!$D$6:$Z$680,15,FALSE))</f>
        <v>#N/A</v>
      </c>
      <c r="AA102" s="6134" t="e">
        <f>IF(V100=0,"",VLOOKUP(V100,'Tablas Magia'!$D$6:$Z$680,19,FALSE))</f>
        <v>#N/A</v>
      </c>
      <c r="AB102" s="6135"/>
      <c r="AC102" s="6135"/>
      <c r="AD102" s="6135"/>
      <c r="AE102" s="6135"/>
      <c r="AF102" s="6135"/>
      <c r="AG102" s="6135"/>
      <c r="AH102" s="6135"/>
      <c r="AI102" s="6135"/>
      <c r="AJ102" s="6136"/>
      <c r="AK102" s="530"/>
      <c r="AL102" s="524"/>
      <c r="AM102" s="588"/>
      <c r="AN102" s="1060"/>
      <c r="AO102" s="6132" t="s">
        <v>1638</v>
      </c>
      <c r="AP102" s="6133"/>
      <c r="AQ102" s="542" t="e">
        <f>IF(AO100=0,"",VLOOKUP(AO100,'Tablas Magia'!$D$6:$Z$680,7,FALSE))</f>
        <v>#N/A</v>
      </c>
      <c r="AR102" s="542" t="e">
        <f>IF(AO100=0,"",VLOOKUP(AO100,'Tablas Magia'!$D$6:$Z$680,11,FALSE))</f>
        <v>#N/A</v>
      </c>
      <c r="AS102" s="543" t="e">
        <f>IF(AO100=0,"",VLOOKUP(AO100,'Tablas Magia'!$D$6:$Z$680,15,FALSE))</f>
        <v>#N/A</v>
      </c>
      <c r="AT102" s="6134" t="e">
        <f>IF(AO100=0,"",VLOOKUP(AO100,'Tablas Magia'!$D$6:$Z$680,19,FALSE))</f>
        <v>#N/A</v>
      </c>
      <c r="AU102" s="6135"/>
      <c r="AV102" s="6135"/>
      <c r="AW102" s="6135"/>
      <c r="AX102" s="6135"/>
      <c r="AY102" s="6135"/>
      <c r="AZ102" s="6135"/>
      <c r="BA102" s="6135"/>
      <c r="BB102" s="6135"/>
      <c r="BC102" s="6136"/>
      <c r="BD102" s="530"/>
      <c r="BE102" s="524"/>
      <c r="BF102" s="524"/>
      <c r="BG102" s="1060"/>
      <c r="BH102" s="6132" t="s">
        <v>1638</v>
      </c>
      <c r="BI102" s="6133"/>
      <c r="BJ102" s="542" t="e">
        <f>IF(BH100=0,"",VLOOKUP(BH100,'Tablas Magia'!$D$6:$Z$680,7,FALSE))</f>
        <v>#N/A</v>
      </c>
      <c r="BK102" s="542" t="e">
        <f>IF(BH100=0,"",VLOOKUP(BH100,'Tablas Magia'!$D$6:$Z$680,11,FALSE))</f>
        <v>#N/A</v>
      </c>
      <c r="BL102" s="543" t="e">
        <f>IF(BH100=0,"",VLOOKUP(BH100,'Tablas Magia'!$D$6:$Z$680,15,FALSE))</f>
        <v>#N/A</v>
      </c>
      <c r="BM102" s="6134" t="e">
        <f>IF(BH100=0,"",VLOOKUP(BH100,'Tablas Magia'!$D$6:$Z$680,19,FALSE))</f>
        <v>#N/A</v>
      </c>
      <c r="BN102" s="6135"/>
      <c r="BO102" s="6135"/>
      <c r="BP102" s="6135"/>
      <c r="BQ102" s="6135"/>
      <c r="BR102" s="6135"/>
      <c r="BS102" s="6135"/>
      <c r="BT102" s="6135"/>
      <c r="BU102" s="6135"/>
      <c r="BV102" s="6136"/>
      <c r="BW102" s="530"/>
      <c r="BX102" s="524"/>
      <c r="BY102" s="524"/>
      <c r="BZ102" s="1060"/>
      <c r="CA102" s="6132" t="s">
        <v>1638</v>
      </c>
      <c r="CB102" s="6133"/>
      <c r="CC102" s="542" t="e">
        <f>IF(CA100=0,"",VLOOKUP(CA100,'Tablas Magia'!$D$6:$Z$680,7,FALSE))</f>
        <v>#N/A</v>
      </c>
      <c r="CD102" s="542" t="e">
        <f>IF(CA100=0,"",VLOOKUP(CA100,'Tablas Magia'!$D$6:$Z$680,11,FALSE))</f>
        <v>#N/A</v>
      </c>
      <c r="CE102" s="543" t="e">
        <f>IF(CA100=0,"",VLOOKUP(CA100,'Tablas Magia'!$D$6:$Z$680,15,FALSE))</f>
        <v>#N/A</v>
      </c>
      <c r="CF102" s="6134" t="e">
        <f>IF(CA100=0,"",VLOOKUP(CA100,'Tablas Magia'!$D$6:$Z$680,19,FALSE))</f>
        <v>#N/A</v>
      </c>
      <c r="CG102" s="6135"/>
      <c r="CH102" s="6135"/>
      <c r="CI102" s="6135"/>
      <c r="CJ102" s="6135"/>
      <c r="CK102" s="6135"/>
      <c r="CL102" s="6135"/>
      <c r="CM102" s="6135"/>
      <c r="CN102" s="6135"/>
      <c r="CO102" s="6136"/>
      <c r="CP102" s="530"/>
      <c r="CQ102" s="524"/>
    </row>
    <row r="103" spans="1:95" ht="12" customHeight="1" x14ac:dyDescent="0.2">
      <c r="A103" s="524"/>
      <c r="B103" s="1060"/>
      <c r="C103" s="6137" t="s">
        <v>3777</v>
      </c>
      <c r="D103" s="6138"/>
      <c r="E103" s="544" t="e">
        <f>IF(C100=0,"",VLOOKUP(C100,'Tablas Magia'!$D$6:$Z$680,8,FALSE))</f>
        <v>#N/A</v>
      </c>
      <c r="F103" s="544" t="e">
        <f>IF(C100=0,"",VLOOKUP(C100,'Tablas Magia'!$D$6:$Z$680,12,FALSE))</f>
        <v>#N/A</v>
      </c>
      <c r="G103" s="545" t="e">
        <f>IF(C100=0,"",VLOOKUP(C100,'Tablas Magia'!$D$6:$Z$680,16,FALSE))</f>
        <v>#N/A</v>
      </c>
      <c r="H103" s="6139" t="e">
        <f>IF(C100=0,"",VLOOKUP(C100,'Tablas Magia'!$D$6:$Z$680,20,FALSE))</f>
        <v>#N/A</v>
      </c>
      <c r="I103" s="6140"/>
      <c r="J103" s="6140"/>
      <c r="K103" s="6140"/>
      <c r="L103" s="6140"/>
      <c r="M103" s="6140"/>
      <c r="N103" s="6140"/>
      <c r="O103" s="6140"/>
      <c r="P103" s="6140"/>
      <c r="Q103" s="6141"/>
      <c r="R103" s="530"/>
      <c r="S103" s="524"/>
      <c r="T103" s="524"/>
      <c r="U103" s="1060"/>
      <c r="V103" s="6137" t="s">
        <v>3777</v>
      </c>
      <c r="W103" s="6138"/>
      <c r="X103" s="544" t="e">
        <f>IF(V100=0,"",VLOOKUP(V100,'Tablas Magia'!$D$6:$Z$680,8,FALSE))</f>
        <v>#N/A</v>
      </c>
      <c r="Y103" s="544" t="e">
        <f>IF(V100=0,"",VLOOKUP(V100,'Tablas Magia'!$D$6:$Z$680,12,FALSE))</f>
        <v>#N/A</v>
      </c>
      <c r="Z103" s="545" t="e">
        <f>IF(V100=0,"",VLOOKUP(V100,'Tablas Magia'!$D$6:$Z$680,16,FALSE))</f>
        <v>#N/A</v>
      </c>
      <c r="AA103" s="6139" t="e">
        <f>IF(V100=0,"",VLOOKUP(V100,'Tablas Magia'!$D$6:$Z$680,20,FALSE))</f>
        <v>#N/A</v>
      </c>
      <c r="AB103" s="6140"/>
      <c r="AC103" s="6140"/>
      <c r="AD103" s="6140"/>
      <c r="AE103" s="6140"/>
      <c r="AF103" s="6140"/>
      <c r="AG103" s="6140"/>
      <c r="AH103" s="6140"/>
      <c r="AI103" s="6140"/>
      <c r="AJ103" s="6141"/>
      <c r="AK103" s="530"/>
      <c r="AL103" s="524"/>
      <c r="AM103" s="588"/>
      <c r="AN103" s="1060"/>
      <c r="AO103" s="6137" t="s">
        <v>3777</v>
      </c>
      <c r="AP103" s="6138"/>
      <c r="AQ103" s="544" t="e">
        <f>IF(AO100=0,"",VLOOKUP(AO100,'Tablas Magia'!$D$6:$Z$680,8,FALSE))</f>
        <v>#N/A</v>
      </c>
      <c r="AR103" s="544" t="e">
        <f>IF(AO100=0,"",VLOOKUP(AO100,'Tablas Magia'!$D$6:$Z$680,12,FALSE))</f>
        <v>#N/A</v>
      </c>
      <c r="AS103" s="545" t="e">
        <f>IF(AO100=0,"",VLOOKUP(AO100,'Tablas Magia'!$D$6:$Z$680,16,FALSE))</f>
        <v>#N/A</v>
      </c>
      <c r="AT103" s="6139" t="e">
        <f>IF(AO100=0,"",VLOOKUP(AO100,'Tablas Magia'!$D$6:$Z$680,20,FALSE))</f>
        <v>#N/A</v>
      </c>
      <c r="AU103" s="6140"/>
      <c r="AV103" s="6140"/>
      <c r="AW103" s="6140"/>
      <c r="AX103" s="6140"/>
      <c r="AY103" s="6140"/>
      <c r="AZ103" s="6140"/>
      <c r="BA103" s="6140"/>
      <c r="BB103" s="6140"/>
      <c r="BC103" s="6141"/>
      <c r="BD103" s="530"/>
      <c r="BE103" s="524"/>
      <c r="BF103" s="524"/>
      <c r="BG103" s="1060"/>
      <c r="BH103" s="6137" t="s">
        <v>3777</v>
      </c>
      <c r="BI103" s="6138"/>
      <c r="BJ103" s="544" t="e">
        <f>IF(BH100=0,"",VLOOKUP(BH100,'Tablas Magia'!$D$6:$Z$680,8,FALSE))</f>
        <v>#N/A</v>
      </c>
      <c r="BK103" s="544" t="e">
        <f>IF(BH100=0,"",VLOOKUP(BH100,'Tablas Magia'!$D$6:$Z$680,12,FALSE))</f>
        <v>#N/A</v>
      </c>
      <c r="BL103" s="545" t="e">
        <f>IF(BH100=0,"",VLOOKUP(BH100,'Tablas Magia'!$D$6:$Z$680,16,FALSE))</f>
        <v>#N/A</v>
      </c>
      <c r="BM103" s="6139" t="e">
        <f>IF(BH100=0,"",VLOOKUP(BH100,'Tablas Magia'!$D$6:$Z$680,20,FALSE))</f>
        <v>#N/A</v>
      </c>
      <c r="BN103" s="6140"/>
      <c r="BO103" s="6140"/>
      <c r="BP103" s="6140"/>
      <c r="BQ103" s="6140"/>
      <c r="BR103" s="6140"/>
      <c r="BS103" s="6140"/>
      <c r="BT103" s="6140"/>
      <c r="BU103" s="6140"/>
      <c r="BV103" s="6141"/>
      <c r="BW103" s="530"/>
      <c r="BX103" s="524"/>
      <c r="BY103" s="524"/>
      <c r="BZ103" s="1060"/>
      <c r="CA103" s="6137" t="s">
        <v>3777</v>
      </c>
      <c r="CB103" s="6138"/>
      <c r="CC103" s="544" t="e">
        <f>IF(CA100=0,"",VLOOKUP(CA100,'Tablas Magia'!$D$6:$Z$680,8,FALSE))</f>
        <v>#N/A</v>
      </c>
      <c r="CD103" s="544" t="e">
        <f>IF(CA100=0,"",VLOOKUP(CA100,'Tablas Magia'!$D$6:$Z$680,12,FALSE))</f>
        <v>#N/A</v>
      </c>
      <c r="CE103" s="545" t="e">
        <f>IF(CA100=0,"",VLOOKUP(CA100,'Tablas Magia'!$D$6:$Z$680,16,FALSE))</f>
        <v>#N/A</v>
      </c>
      <c r="CF103" s="6139" t="e">
        <f>IF(CA100=0,"",VLOOKUP(CA100,'Tablas Magia'!$D$6:$Z$680,20,FALSE))</f>
        <v>#N/A</v>
      </c>
      <c r="CG103" s="6140"/>
      <c r="CH103" s="6140"/>
      <c r="CI103" s="6140"/>
      <c r="CJ103" s="6140"/>
      <c r="CK103" s="6140"/>
      <c r="CL103" s="6140"/>
      <c r="CM103" s="6140"/>
      <c r="CN103" s="6140"/>
      <c r="CO103" s="6141"/>
      <c r="CP103" s="530"/>
      <c r="CQ103" s="524"/>
    </row>
    <row r="104" spans="1:95" ht="12" customHeight="1" x14ac:dyDescent="0.2">
      <c r="A104" s="524"/>
      <c r="B104" s="1060"/>
      <c r="C104" s="6132" t="s">
        <v>3778</v>
      </c>
      <c r="D104" s="6133"/>
      <c r="E104" s="542" t="e">
        <f>IF(C100=0,"",VLOOKUP(C100,'Tablas Magia'!$D$6:$Z$680,9,FALSE))</f>
        <v>#N/A</v>
      </c>
      <c r="F104" s="542" t="e">
        <f>IF(C100=0,"",VLOOKUP(C100,'Tablas Magia'!$D$6:$Z$680,13,FALSE))</f>
        <v>#N/A</v>
      </c>
      <c r="G104" s="543" t="e">
        <f>IF(C100=0,"",VLOOKUP(C100,'Tablas Magia'!$D$6:$Z$680,17,FALSE))</f>
        <v>#N/A</v>
      </c>
      <c r="H104" s="6134" t="e">
        <f>IF(C100=0,"",VLOOKUP(C100,'Tablas Magia'!$D$6:$Z$680,21,FALSE))</f>
        <v>#N/A</v>
      </c>
      <c r="I104" s="6135"/>
      <c r="J104" s="6135"/>
      <c r="K104" s="6135"/>
      <c r="L104" s="6135"/>
      <c r="M104" s="6135"/>
      <c r="N104" s="6135"/>
      <c r="O104" s="6135"/>
      <c r="P104" s="6135"/>
      <c r="Q104" s="6136"/>
      <c r="R104" s="530"/>
      <c r="S104" s="524"/>
      <c r="T104" s="524"/>
      <c r="U104" s="1060"/>
      <c r="V104" s="6132" t="s">
        <v>3778</v>
      </c>
      <c r="W104" s="6133"/>
      <c r="X104" s="542" t="e">
        <f>IF(V100=0,"",VLOOKUP(V100,'Tablas Magia'!$D$6:$Z$680,9,FALSE))</f>
        <v>#N/A</v>
      </c>
      <c r="Y104" s="542" t="e">
        <f>IF(V100=0,"",VLOOKUP(V100,'Tablas Magia'!$D$6:$Z$680,13,FALSE))</f>
        <v>#N/A</v>
      </c>
      <c r="Z104" s="543" t="e">
        <f>IF(V100=0,"",VLOOKUP(V100,'Tablas Magia'!$D$6:$Z$680,17,FALSE))</f>
        <v>#N/A</v>
      </c>
      <c r="AA104" s="6134" t="e">
        <f>IF(V100=0,"",VLOOKUP(V100,'Tablas Magia'!$D$6:$Z$680,21,FALSE))</f>
        <v>#N/A</v>
      </c>
      <c r="AB104" s="6135"/>
      <c r="AC104" s="6135"/>
      <c r="AD104" s="6135"/>
      <c r="AE104" s="6135"/>
      <c r="AF104" s="6135"/>
      <c r="AG104" s="6135"/>
      <c r="AH104" s="6135"/>
      <c r="AI104" s="6135"/>
      <c r="AJ104" s="6136"/>
      <c r="AK104" s="530"/>
      <c r="AL104" s="524"/>
      <c r="AM104" s="588"/>
      <c r="AN104" s="1060"/>
      <c r="AO104" s="6132" t="s">
        <v>3778</v>
      </c>
      <c r="AP104" s="6133"/>
      <c r="AQ104" s="542" t="e">
        <f>IF(AO100=0,"",VLOOKUP(AO100,'Tablas Magia'!$D$6:$Z$680,9,FALSE))</f>
        <v>#N/A</v>
      </c>
      <c r="AR104" s="542" t="e">
        <f>IF(AO100=0,"",VLOOKUP(AO100,'Tablas Magia'!$D$6:$Z$680,13,FALSE))</f>
        <v>#N/A</v>
      </c>
      <c r="AS104" s="543" t="e">
        <f>IF(AO100=0,"",VLOOKUP(AO100,'Tablas Magia'!$D$6:$Z$680,17,FALSE))</f>
        <v>#N/A</v>
      </c>
      <c r="AT104" s="6134" t="e">
        <f>IF(AO100=0,"",VLOOKUP(AO100,'Tablas Magia'!$D$6:$Z$680,21,FALSE))</f>
        <v>#N/A</v>
      </c>
      <c r="AU104" s="6135"/>
      <c r="AV104" s="6135"/>
      <c r="AW104" s="6135"/>
      <c r="AX104" s="6135"/>
      <c r="AY104" s="6135"/>
      <c r="AZ104" s="6135"/>
      <c r="BA104" s="6135"/>
      <c r="BB104" s="6135"/>
      <c r="BC104" s="6136"/>
      <c r="BD104" s="530"/>
      <c r="BE104" s="524"/>
      <c r="BF104" s="524"/>
      <c r="BG104" s="1060"/>
      <c r="BH104" s="6132" t="s">
        <v>3778</v>
      </c>
      <c r="BI104" s="6133"/>
      <c r="BJ104" s="542" t="e">
        <f>IF(BH100=0,"",VLOOKUP(BH100,'Tablas Magia'!$D$6:$Z$680,9,FALSE))</f>
        <v>#N/A</v>
      </c>
      <c r="BK104" s="542" t="e">
        <f>IF(BH100=0,"",VLOOKUP(BH100,'Tablas Magia'!$D$6:$Z$680,13,FALSE))</f>
        <v>#N/A</v>
      </c>
      <c r="BL104" s="543" t="e">
        <f>IF(BH100=0,"",VLOOKUP(BH100,'Tablas Magia'!$D$6:$Z$680,17,FALSE))</f>
        <v>#N/A</v>
      </c>
      <c r="BM104" s="6134" t="e">
        <f>IF(BH100=0,"",VLOOKUP(BH100,'Tablas Magia'!$D$6:$Z$680,21,FALSE))</f>
        <v>#N/A</v>
      </c>
      <c r="BN104" s="6135"/>
      <c r="BO104" s="6135"/>
      <c r="BP104" s="6135"/>
      <c r="BQ104" s="6135"/>
      <c r="BR104" s="6135"/>
      <c r="BS104" s="6135"/>
      <c r="BT104" s="6135"/>
      <c r="BU104" s="6135"/>
      <c r="BV104" s="6136"/>
      <c r="BW104" s="530"/>
      <c r="BX104" s="524"/>
      <c r="BY104" s="524"/>
      <c r="BZ104" s="1060"/>
      <c r="CA104" s="6132" t="s">
        <v>3778</v>
      </c>
      <c r="CB104" s="6133"/>
      <c r="CC104" s="542" t="e">
        <f>IF(CA100=0,"",VLOOKUP(CA100,'Tablas Magia'!$D$6:$Z$680,9,FALSE))</f>
        <v>#N/A</v>
      </c>
      <c r="CD104" s="542" t="e">
        <f>IF(CA100=0,"",VLOOKUP(CA100,'Tablas Magia'!$D$6:$Z$680,13,FALSE))</f>
        <v>#N/A</v>
      </c>
      <c r="CE104" s="543" t="e">
        <f>IF(CA100=0,"",VLOOKUP(CA100,'Tablas Magia'!$D$6:$Z$680,17,FALSE))</f>
        <v>#N/A</v>
      </c>
      <c r="CF104" s="6134" t="e">
        <f>IF(CA100=0,"",VLOOKUP(CA100,'Tablas Magia'!$D$6:$Z$680,21,FALSE))</f>
        <v>#N/A</v>
      </c>
      <c r="CG104" s="6135"/>
      <c r="CH104" s="6135"/>
      <c r="CI104" s="6135"/>
      <c r="CJ104" s="6135"/>
      <c r="CK104" s="6135"/>
      <c r="CL104" s="6135"/>
      <c r="CM104" s="6135"/>
      <c r="CN104" s="6135"/>
      <c r="CO104" s="6136"/>
      <c r="CP104" s="530"/>
      <c r="CQ104" s="524"/>
    </row>
    <row r="105" spans="1:95" ht="12" customHeight="1" thickBot="1" x14ac:dyDescent="0.25">
      <c r="A105" s="524"/>
      <c r="B105" s="1060"/>
      <c r="C105" s="6142" t="s">
        <v>3779</v>
      </c>
      <c r="D105" s="6143"/>
      <c r="E105" s="546" t="e">
        <f>IF(C100=0,"",VLOOKUP(C100,'Tablas Magia'!$D$6:$Z$680,10,FALSE))</f>
        <v>#N/A</v>
      </c>
      <c r="F105" s="546" t="e">
        <f>IF(C100=0,"",VLOOKUP(C100,'Tablas Magia'!$D$6:$Z$680,14,FALSE))</f>
        <v>#N/A</v>
      </c>
      <c r="G105" s="547" t="e">
        <f>IF(C100=0,"",VLOOKUP(C100,'Tablas Magia'!$D$6:$Z$680,18,FALSE))</f>
        <v>#N/A</v>
      </c>
      <c r="H105" s="6144" t="e">
        <f>IF(C100=0,"",VLOOKUP(C100,'Tablas Magia'!$D$6:$Z$680,22,FALSE))</f>
        <v>#N/A</v>
      </c>
      <c r="I105" s="6145"/>
      <c r="J105" s="6145"/>
      <c r="K105" s="6145"/>
      <c r="L105" s="6145"/>
      <c r="M105" s="6145"/>
      <c r="N105" s="6145"/>
      <c r="O105" s="6145"/>
      <c r="P105" s="6145"/>
      <c r="Q105" s="6146"/>
      <c r="R105" s="530"/>
      <c r="S105" s="524"/>
      <c r="T105" s="524"/>
      <c r="U105" s="1060"/>
      <c r="V105" s="6142" t="s">
        <v>3779</v>
      </c>
      <c r="W105" s="6143"/>
      <c r="X105" s="546" t="e">
        <f>IF(V100=0,"",VLOOKUP(V100,'Tablas Magia'!$D$6:$Z$680,10,FALSE))</f>
        <v>#N/A</v>
      </c>
      <c r="Y105" s="546" t="e">
        <f>IF(V100=0,"",VLOOKUP(V100,'Tablas Magia'!$D$6:$Z$680,14,FALSE))</f>
        <v>#N/A</v>
      </c>
      <c r="Z105" s="547" t="e">
        <f>IF(V100=0,"",VLOOKUP(V100,'Tablas Magia'!$D$6:$Z$680,18,FALSE))</f>
        <v>#N/A</v>
      </c>
      <c r="AA105" s="6144" t="e">
        <f>IF(V100=0,"",VLOOKUP(V100,'Tablas Magia'!$D$6:$Z$680,22,FALSE))</f>
        <v>#N/A</v>
      </c>
      <c r="AB105" s="6145"/>
      <c r="AC105" s="6145"/>
      <c r="AD105" s="6145"/>
      <c r="AE105" s="6145"/>
      <c r="AF105" s="6145"/>
      <c r="AG105" s="6145"/>
      <c r="AH105" s="6145"/>
      <c r="AI105" s="6145"/>
      <c r="AJ105" s="6146"/>
      <c r="AK105" s="530"/>
      <c r="AL105" s="524"/>
      <c r="AM105" s="588"/>
      <c r="AN105" s="1060"/>
      <c r="AO105" s="6142" t="s">
        <v>3779</v>
      </c>
      <c r="AP105" s="6143"/>
      <c r="AQ105" s="546" t="e">
        <f>IF(AO100=0,"",VLOOKUP(AO100,'Tablas Magia'!$D$6:$Z$680,10,FALSE))</f>
        <v>#N/A</v>
      </c>
      <c r="AR105" s="546" t="e">
        <f>IF(AO100=0,"",VLOOKUP(AO100,'Tablas Magia'!$D$6:$Z$680,14,FALSE))</f>
        <v>#N/A</v>
      </c>
      <c r="AS105" s="547" t="e">
        <f>IF(AO100=0,"",VLOOKUP(AO100,'Tablas Magia'!$D$6:$Z$680,18,FALSE))</f>
        <v>#N/A</v>
      </c>
      <c r="AT105" s="6144" t="e">
        <f>IF(AO100=0,"",VLOOKUP(AO100,'Tablas Magia'!$D$6:$Z$680,22,FALSE))</f>
        <v>#N/A</v>
      </c>
      <c r="AU105" s="6145"/>
      <c r="AV105" s="6145"/>
      <c r="AW105" s="6145"/>
      <c r="AX105" s="6145"/>
      <c r="AY105" s="6145"/>
      <c r="AZ105" s="6145"/>
      <c r="BA105" s="6145"/>
      <c r="BB105" s="6145"/>
      <c r="BC105" s="6146"/>
      <c r="BD105" s="530"/>
      <c r="BE105" s="524"/>
      <c r="BF105" s="524"/>
      <c r="BG105" s="1060"/>
      <c r="BH105" s="6142" t="s">
        <v>3779</v>
      </c>
      <c r="BI105" s="6143"/>
      <c r="BJ105" s="546" t="e">
        <f>IF(BH100=0,"",VLOOKUP(BH100,'Tablas Magia'!$D$6:$Z$680,10,FALSE))</f>
        <v>#N/A</v>
      </c>
      <c r="BK105" s="546" t="e">
        <f>IF(BH100=0,"",VLOOKUP(BH100,'Tablas Magia'!$D$6:$Z$680,14,FALSE))</f>
        <v>#N/A</v>
      </c>
      <c r="BL105" s="547" t="e">
        <f>IF(BH100=0,"",VLOOKUP(BH100,'Tablas Magia'!$D$6:$Z$680,18,FALSE))</f>
        <v>#N/A</v>
      </c>
      <c r="BM105" s="6144" t="e">
        <f>IF(BH100=0,"",VLOOKUP(BH100,'Tablas Magia'!$D$6:$Z$680,22,FALSE))</f>
        <v>#N/A</v>
      </c>
      <c r="BN105" s="6145"/>
      <c r="BO105" s="6145"/>
      <c r="BP105" s="6145"/>
      <c r="BQ105" s="6145"/>
      <c r="BR105" s="6145"/>
      <c r="BS105" s="6145"/>
      <c r="BT105" s="6145"/>
      <c r="BU105" s="6145"/>
      <c r="BV105" s="6146"/>
      <c r="BW105" s="530"/>
      <c r="BX105" s="524"/>
      <c r="BY105" s="524"/>
      <c r="BZ105" s="1060"/>
      <c r="CA105" s="6142" t="s">
        <v>3779</v>
      </c>
      <c r="CB105" s="6143"/>
      <c r="CC105" s="546" t="e">
        <f>IF(CA100=0,"",VLOOKUP(CA100,'Tablas Magia'!$D$6:$Z$680,10,FALSE))</f>
        <v>#N/A</v>
      </c>
      <c r="CD105" s="546" t="e">
        <f>IF(CA100=0,"",VLOOKUP(CA100,'Tablas Magia'!$D$6:$Z$680,14,FALSE))</f>
        <v>#N/A</v>
      </c>
      <c r="CE105" s="547" t="e">
        <f>IF(CA100=0,"",VLOOKUP(CA100,'Tablas Magia'!$D$6:$Z$680,18,FALSE))</f>
        <v>#N/A</v>
      </c>
      <c r="CF105" s="6144" t="e">
        <f>IF(CA100=0,"",VLOOKUP(CA100,'Tablas Magia'!$D$6:$Z$680,22,FALSE))</f>
        <v>#N/A</v>
      </c>
      <c r="CG105" s="6145"/>
      <c r="CH105" s="6145"/>
      <c r="CI105" s="6145"/>
      <c r="CJ105" s="6145"/>
      <c r="CK105" s="6145"/>
      <c r="CL105" s="6145"/>
      <c r="CM105" s="6145"/>
      <c r="CN105" s="6145"/>
      <c r="CO105" s="6146"/>
      <c r="CP105" s="530"/>
      <c r="CQ105" s="524"/>
    </row>
    <row r="106" spans="1:95" ht="12.75" customHeight="1" x14ac:dyDescent="0.2">
      <c r="A106" s="524"/>
      <c r="B106" s="1060"/>
      <c r="C106" s="6147" t="e">
        <f>IF(C100=0,"",VLOOKUP(C100,'Tablas Magia'!$D$6:$Z$680,23,FALSE))</f>
        <v>#N/A</v>
      </c>
      <c r="D106" s="6148"/>
      <c r="E106" s="6148"/>
      <c r="F106" s="6148"/>
      <c r="G106" s="6148"/>
      <c r="H106" s="6148"/>
      <c r="I106" s="6148"/>
      <c r="J106" s="6148"/>
      <c r="K106" s="6148"/>
      <c r="L106" s="6148"/>
      <c r="M106" s="6148"/>
      <c r="N106" s="6148"/>
      <c r="O106" s="6148"/>
      <c r="P106" s="6148"/>
      <c r="Q106" s="6149"/>
      <c r="R106" s="530"/>
      <c r="S106" s="524"/>
      <c r="T106" s="524"/>
      <c r="U106" s="1060"/>
      <c r="V106" s="6147" t="e">
        <f>IF(V100=0,"",VLOOKUP(V100,'Tablas Magia'!$D$6:$Z$680,23,FALSE))</f>
        <v>#N/A</v>
      </c>
      <c r="W106" s="6148"/>
      <c r="X106" s="6148"/>
      <c r="Y106" s="6148"/>
      <c r="Z106" s="6148"/>
      <c r="AA106" s="6148"/>
      <c r="AB106" s="6148"/>
      <c r="AC106" s="6148"/>
      <c r="AD106" s="6148"/>
      <c r="AE106" s="6148"/>
      <c r="AF106" s="6148"/>
      <c r="AG106" s="6148"/>
      <c r="AH106" s="6148"/>
      <c r="AI106" s="6148"/>
      <c r="AJ106" s="6149"/>
      <c r="AK106" s="530"/>
      <c r="AL106" s="524"/>
      <c r="AM106" s="588"/>
      <c r="AN106" s="1060"/>
      <c r="AO106" s="6147" t="e">
        <f>IF(AO100=0,"",VLOOKUP(AO100,'Tablas Magia'!$D$6:$Z$680,23,FALSE))</f>
        <v>#N/A</v>
      </c>
      <c r="AP106" s="6148"/>
      <c r="AQ106" s="6148"/>
      <c r="AR106" s="6148"/>
      <c r="AS106" s="6148"/>
      <c r="AT106" s="6148"/>
      <c r="AU106" s="6148"/>
      <c r="AV106" s="6148"/>
      <c r="AW106" s="6148"/>
      <c r="AX106" s="6148"/>
      <c r="AY106" s="6148"/>
      <c r="AZ106" s="6148"/>
      <c r="BA106" s="6148"/>
      <c r="BB106" s="6148"/>
      <c r="BC106" s="6149"/>
      <c r="BD106" s="530"/>
      <c r="BE106" s="524"/>
      <c r="BF106" s="524"/>
      <c r="BG106" s="1060"/>
      <c r="BH106" s="6147" t="e">
        <f>IF(BH100=0,"",VLOOKUP(BH100,'Tablas Magia'!$D$6:$Z$680,23,FALSE))</f>
        <v>#N/A</v>
      </c>
      <c r="BI106" s="6148"/>
      <c r="BJ106" s="6148"/>
      <c r="BK106" s="6148"/>
      <c r="BL106" s="6148"/>
      <c r="BM106" s="6148"/>
      <c r="BN106" s="6148"/>
      <c r="BO106" s="6148"/>
      <c r="BP106" s="6148"/>
      <c r="BQ106" s="6148"/>
      <c r="BR106" s="6148"/>
      <c r="BS106" s="6148"/>
      <c r="BT106" s="6148"/>
      <c r="BU106" s="6148"/>
      <c r="BV106" s="6149"/>
      <c r="BW106" s="530"/>
      <c r="BX106" s="524"/>
      <c r="BY106" s="524"/>
      <c r="BZ106" s="1060"/>
      <c r="CA106" s="6147" t="e">
        <f>IF(CA100=0,"",VLOOKUP(CA100,'Tablas Magia'!$D$6:$Z$680,23,FALSE))</f>
        <v>#N/A</v>
      </c>
      <c r="CB106" s="6148"/>
      <c r="CC106" s="6148"/>
      <c r="CD106" s="6148"/>
      <c r="CE106" s="6148"/>
      <c r="CF106" s="6148"/>
      <c r="CG106" s="6148"/>
      <c r="CH106" s="6148"/>
      <c r="CI106" s="6148"/>
      <c r="CJ106" s="6148"/>
      <c r="CK106" s="6148"/>
      <c r="CL106" s="6148"/>
      <c r="CM106" s="6148"/>
      <c r="CN106" s="6148"/>
      <c r="CO106" s="6149"/>
      <c r="CP106" s="530"/>
      <c r="CQ106" s="524"/>
    </row>
    <row r="107" spans="1:95" x14ac:dyDescent="0.2">
      <c r="A107" s="524"/>
      <c r="B107" s="1060"/>
      <c r="C107" s="6150"/>
      <c r="D107" s="6151"/>
      <c r="E107" s="6151"/>
      <c r="F107" s="6151"/>
      <c r="G107" s="6151"/>
      <c r="H107" s="6151"/>
      <c r="I107" s="6151"/>
      <c r="J107" s="6151"/>
      <c r="K107" s="6151"/>
      <c r="L107" s="6151"/>
      <c r="M107" s="6151"/>
      <c r="N107" s="6151"/>
      <c r="O107" s="6151"/>
      <c r="P107" s="6151"/>
      <c r="Q107" s="6152"/>
      <c r="R107" s="530"/>
      <c r="S107" s="524"/>
      <c r="T107" s="524"/>
      <c r="U107" s="1060"/>
      <c r="V107" s="6150"/>
      <c r="W107" s="6151"/>
      <c r="X107" s="6151"/>
      <c r="Y107" s="6151"/>
      <c r="Z107" s="6151"/>
      <c r="AA107" s="6151"/>
      <c r="AB107" s="6151"/>
      <c r="AC107" s="6151"/>
      <c r="AD107" s="6151"/>
      <c r="AE107" s="6151"/>
      <c r="AF107" s="6151"/>
      <c r="AG107" s="6151"/>
      <c r="AH107" s="6151"/>
      <c r="AI107" s="6151"/>
      <c r="AJ107" s="6152"/>
      <c r="AK107" s="530"/>
      <c r="AL107" s="524"/>
      <c r="AM107" s="588"/>
      <c r="AN107" s="1060"/>
      <c r="AO107" s="6150"/>
      <c r="AP107" s="6151"/>
      <c r="AQ107" s="6151"/>
      <c r="AR107" s="6151"/>
      <c r="AS107" s="6151"/>
      <c r="AT107" s="6151"/>
      <c r="AU107" s="6151"/>
      <c r="AV107" s="6151"/>
      <c r="AW107" s="6151"/>
      <c r="AX107" s="6151"/>
      <c r="AY107" s="6151"/>
      <c r="AZ107" s="6151"/>
      <c r="BA107" s="6151"/>
      <c r="BB107" s="6151"/>
      <c r="BC107" s="6152"/>
      <c r="BD107" s="530"/>
      <c r="BE107" s="524"/>
      <c r="BF107" s="524"/>
      <c r="BG107" s="1060"/>
      <c r="BH107" s="6150"/>
      <c r="BI107" s="6151"/>
      <c r="BJ107" s="6151"/>
      <c r="BK107" s="6151"/>
      <c r="BL107" s="6151"/>
      <c r="BM107" s="6151"/>
      <c r="BN107" s="6151"/>
      <c r="BO107" s="6151"/>
      <c r="BP107" s="6151"/>
      <c r="BQ107" s="6151"/>
      <c r="BR107" s="6151"/>
      <c r="BS107" s="6151"/>
      <c r="BT107" s="6151"/>
      <c r="BU107" s="6151"/>
      <c r="BV107" s="6152"/>
      <c r="BW107" s="530"/>
      <c r="BX107" s="524"/>
      <c r="BY107" s="524"/>
      <c r="BZ107" s="1060"/>
      <c r="CA107" s="6150"/>
      <c r="CB107" s="6151"/>
      <c r="CC107" s="6151"/>
      <c r="CD107" s="6151"/>
      <c r="CE107" s="6151"/>
      <c r="CF107" s="6151"/>
      <c r="CG107" s="6151"/>
      <c r="CH107" s="6151"/>
      <c r="CI107" s="6151"/>
      <c r="CJ107" s="6151"/>
      <c r="CK107" s="6151"/>
      <c r="CL107" s="6151"/>
      <c r="CM107" s="6151"/>
      <c r="CN107" s="6151"/>
      <c r="CO107" s="6152"/>
      <c r="CP107" s="530"/>
      <c r="CQ107" s="524"/>
    </row>
    <row r="108" spans="1:95" ht="12.75" customHeight="1" x14ac:dyDescent="0.2">
      <c r="A108" s="524"/>
      <c r="B108" s="1060"/>
      <c r="C108" s="6150"/>
      <c r="D108" s="6151"/>
      <c r="E108" s="6151"/>
      <c r="F108" s="6151"/>
      <c r="G108" s="6151"/>
      <c r="H108" s="6151"/>
      <c r="I108" s="6151"/>
      <c r="J108" s="6151"/>
      <c r="K108" s="6151"/>
      <c r="L108" s="6151"/>
      <c r="M108" s="6151"/>
      <c r="N108" s="6151"/>
      <c r="O108" s="6151"/>
      <c r="P108" s="6151"/>
      <c r="Q108" s="6152"/>
      <c r="R108" s="530"/>
      <c r="S108" s="524"/>
      <c r="T108" s="524"/>
      <c r="U108" s="1060"/>
      <c r="V108" s="6150"/>
      <c r="W108" s="6151"/>
      <c r="X108" s="6151"/>
      <c r="Y108" s="6151"/>
      <c r="Z108" s="6151"/>
      <c r="AA108" s="6151"/>
      <c r="AB108" s="6151"/>
      <c r="AC108" s="6151"/>
      <c r="AD108" s="6151"/>
      <c r="AE108" s="6151"/>
      <c r="AF108" s="6151"/>
      <c r="AG108" s="6151"/>
      <c r="AH108" s="6151"/>
      <c r="AI108" s="6151"/>
      <c r="AJ108" s="6152"/>
      <c r="AK108" s="530"/>
      <c r="AL108" s="524"/>
      <c r="AM108" s="588"/>
      <c r="AN108" s="1060"/>
      <c r="AO108" s="6150"/>
      <c r="AP108" s="6151"/>
      <c r="AQ108" s="6151"/>
      <c r="AR108" s="6151"/>
      <c r="AS108" s="6151"/>
      <c r="AT108" s="6151"/>
      <c r="AU108" s="6151"/>
      <c r="AV108" s="6151"/>
      <c r="AW108" s="6151"/>
      <c r="AX108" s="6151"/>
      <c r="AY108" s="6151"/>
      <c r="AZ108" s="6151"/>
      <c r="BA108" s="6151"/>
      <c r="BB108" s="6151"/>
      <c r="BC108" s="6152"/>
      <c r="BD108" s="530"/>
      <c r="BE108" s="524"/>
      <c r="BF108" s="524"/>
      <c r="BG108" s="1060"/>
      <c r="BH108" s="6150"/>
      <c r="BI108" s="6151"/>
      <c r="BJ108" s="6151"/>
      <c r="BK108" s="6151"/>
      <c r="BL108" s="6151"/>
      <c r="BM108" s="6151"/>
      <c r="BN108" s="6151"/>
      <c r="BO108" s="6151"/>
      <c r="BP108" s="6151"/>
      <c r="BQ108" s="6151"/>
      <c r="BR108" s="6151"/>
      <c r="BS108" s="6151"/>
      <c r="BT108" s="6151"/>
      <c r="BU108" s="6151"/>
      <c r="BV108" s="6152"/>
      <c r="BW108" s="530"/>
      <c r="BX108" s="524"/>
      <c r="BY108" s="524"/>
      <c r="BZ108" s="1060"/>
      <c r="CA108" s="6150"/>
      <c r="CB108" s="6151"/>
      <c r="CC108" s="6151"/>
      <c r="CD108" s="6151"/>
      <c r="CE108" s="6151"/>
      <c r="CF108" s="6151"/>
      <c r="CG108" s="6151"/>
      <c r="CH108" s="6151"/>
      <c r="CI108" s="6151"/>
      <c r="CJ108" s="6151"/>
      <c r="CK108" s="6151"/>
      <c r="CL108" s="6151"/>
      <c r="CM108" s="6151"/>
      <c r="CN108" s="6151"/>
      <c r="CO108" s="6152"/>
      <c r="CP108" s="530"/>
      <c r="CQ108" s="524"/>
    </row>
    <row r="109" spans="1:95" ht="12.75" customHeight="1" thickBot="1" x14ac:dyDescent="0.25">
      <c r="A109" s="524"/>
      <c r="B109" s="1060"/>
      <c r="C109" s="6153"/>
      <c r="D109" s="6154"/>
      <c r="E109" s="6154"/>
      <c r="F109" s="6154"/>
      <c r="G109" s="6154"/>
      <c r="H109" s="6154"/>
      <c r="I109" s="6154"/>
      <c r="J109" s="6154"/>
      <c r="K109" s="6154"/>
      <c r="L109" s="6154"/>
      <c r="M109" s="6154"/>
      <c r="N109" s="6154"/>
      <c r="O109" s="6154"/>
      <c r="P109" s="6154"/>
      <c r="Q109" s="6155"/>
      <c r="R109" s="530"/>
      <c r="S109" s="524"/>
      <c r="T109" s="524"/>
      <c r="U109" s="1060"/>
      <c r="V109" s="6153"/>
      <c r="W109" s="6154"/>
      <c r="X109" s="6154"/>
      <c r="Y109" s="6154"/>
      <c r="Z109" s="6154"/>
      <c r="AA109" s="6154"/>
      <c r="AB109" s="6154"/>
      <c r="AC109" s="6154"/>
      <c r="AD109" s="6154"/>
      <c r="AE109" s="6154"/>
      <c r="AF109" s="6154"/>
      <c r="AG109" s="6154"/>
      <c r="AH109" s="6154"/>
      <c r="AI109" s="6154"/>
      <c r="AJ109" s="6155"/>
      <c r="AK109" s="530"/>
      <c r="AL109" s="524"/>
      <c r="AM109" s="588"/>
      <c r="AN109" s="1060"/>
      <c r="AO109" s="6153"/>
      <c r="AP109" s="6154"/>
      <c r="AQ109" s="6154"/>
      <c r="AR109" s="6154"/>
      <c r="AS109" s="6154"/>
      <c r="AT109" s="6154"/>
      <c r="AU109" s="6154"/>
      <c r="AV109" s="6154"/>
      <c r="AW109" s="6154"/>
      <c r="AX109" s="6154"/>
      <c r="AY109" s="6154"/>
      <c r="AZ109" s="6154"/>
      <c r="BA109" s="6154"/>
      <c r="BB109" s="6154"/>
      <c r="BC109" s="6155"/>
      <c r="BD109" s="530"/>
      <c r="BE109" s="524"/>
      <c r="BF109" s="524"/>
      <c r="BG109" s="1060"/>
      <c r="BH109" s="6153"/>
      <c r="BI109" s="6154"/>
      <c r="BJ109" s="6154"/>
      <c r="BK109" s="6154"/>
      <c r="BL109" s="6154"/>
      <c r="BM109" s="6154"/>
      <c r="BN109" s="6154"/>
      <c r="BO109" s="6154"/>
      <c r="BP109" s="6154"/>
      <c r="BQ109" s="6154"/>
      <c r="BR109" s="6154"/>
      <c r="BS109" s="6154"/>
      <c r="BT109" s="6154"/>
      <c r="BU109" s="6154"/>
      <c r="BV109" s="6155"/>
      <c r="BW109" s="530"/>
      <c r="BX109" s="524"/>
      <c r="BY109" s="524"/>
      <c r="BZ109" s="1060"/>
      <c r="CA109" s="6153"/>
      <c r="CB109" s="6154"/>
      <c r="CC109" s="6154"/>
      <c r="CD109" s="6154"/>
      <c r="CE109" s="6154"/>
      <c r="CF109" s="6154"/>
      <c r="CG109" s="6154"/>
      <c r="CH109" s="6154"/>
      <c r="CI109" s="6154"/>
      <c r="CJ109" s="6154"/>
      <c r="CK109" s="6154"/>
      <c r="CL109" s="6154"/>
      <c r="CM109" s="6154"/>
      <c r="CN109" s="6154"/>
      <c r="CO109" s="6155"/>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7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79"/>
      <c r="E111" s="6179"/>
      <c r="F111" s="6179"/>
      <c r="G111" s="6179"/>
      <c r="H111" s="537" t="s">
        <v>1597</v>
      </c>
      <c r="I111" s="538">
        <f>B111</f>
        <v>20</v>
      </c>
      <c r="J111" s="6173" t="s">
        <v>6888</v>
      </c>
      <c r="K111" s="6173"/>
      <c r="L111" s="6173"/>
      <c r="M111" s="6161" t="str">
        <f>IF(C111=0,"",VLOOKUP(C111,'Tablas Magia'!$D$6:$Z$680,2,FALSE))</f>
        <v>Agua</v>
      </c>
      <c r="N111" s="6161"/>
      <c r="O111" s="2428"/>
      <c r="P111" s="6177" t="str">
        <f>IFERROR(IF(M111="Libre Acceso","Aprendido",IF(IFERROR(VLOOKUP(M111,Místicos!$C$15:$H$25,6,0)&gt;=I111,FALSE),"Aprendido",IF(IFERROR(VLOOKUP(M111,Místicos!$E$15:$H$25,4,0)&gt;=I111,FALSE),"Aprendido",""))),"")</f>
        <v/>
      </c>
      <c r="Q111" s="6178"/>
      <c r="R111" s="530"/>
      <c r="S111" s="524"/>
      <c r="T111" s="524"/>
      <c r="U111" s="1060">
        <f>U100+2</f>
        <v>40</v>
      </c>
      <c r="V111" s="617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79"/>
      <c r="X111" s="6179"/>
      <c r="Y111" s="6179"/>
      <c r="Z111" s="6179"/>
      <c r="AA111" s="537" t="s">
        <v>1597</v>
      </c>
      <c r="AB111" s="538">
        <f>U111</f>
        <v>40</v>
      </c>
      <c r="AC111" s="6173" t="s">
        <v>6888</v>
      </c>
      <c r="AD111" s="6173"/>
      <c r="AE111" s="6173"/>
      <c r="AF111" s="6161" t="str">
        <f>IF(V111=0,"",VLOOKUP(V111,'Tablas Magia'!$D$6:$Z$680,2,FALSE))</f>
        <v>Agua</v>
      </c>
      <c r="AG111" s="6161"/>
      <c r="AH111" s="2428"/>
      <c r="AI111" s="6177" t="str">
        <f>IFERROR(IF(AF111="Libre Acceso","Aprendido",IF(IFERROR(VLOOKUP(AF111,Místicos!$C$15:$H$25,6,0)&gt;=AB111,FALSE),"Aprendido",IF(IFERROR(VLOOKUP(AF111,Místicos!$E$15:$H$25,4,0)&gt;=AB111,FALSE),"Aprendido",""))),"")</f>
        <v/>
      </c>
      <c r="AJ111" s="6178"/>
      <c r="AK111" s="530"/>
      <c r="AL111" s="524"/>
      <c r="AM111" s="588"/>
      <c r="AN111" s="1060">
        <f>AN100+2</f>
        <v>60</v>
      </c>
      <c r="AO111" s="617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79"/>
      <c r="AQ111" s="6179"/>
      <c r="AR111" s="6179"/>
      <c r="AS111" s="6179"/>
      <c r="AT111" s="537" t="s">
        <v>1597</v>
      </c>
      <c r="AU111" s="538">
        <f>AN111</f>
        <v>60</v>
      </c>
      <c r="AV111" s="6173" t="s">
        <v>6888</v>
      </c>
      <c r="AW111" s="6173"/>
      <c r="AX111" s="6173"/>
      <c r="AY111" s="6161" t="str">
        <f>IF(AO111=0,"",VLOOKUP(AO111,'Tablas Magia'!$D$6:$Z$680,2,FALSE))</f>
        <v>Agua</v>
      </c>
      <c r="AZ111" s="6161"/>
      <c r="BA111" s="2428"/>
      <c r="BB111" s="6177" t="str">
        <f>IFERROR(IF(AY111="Libre Acceso","Aprendido",IF(IFERROR(VLOOKUP(AY111,Místicos!$C$15:$H$25,6,0)&gt;=AU111,FALSE),"Aprendido",IF(IFERROR(VLOOKUP(AY111,Místicos!$E$15:$H$25,4,0)&gt;=AU111,FALSE),"Aprendido",""))),"")</f>
        <v/>
      </c>
      <c r="BC111" s="6178"/>
      <c r="BD111" s="530"/>
      <c r="BE111" s="524"/>
      <c r="BF111" s="524"/>
      <c r="BG111" s="1060">
        <f>BG100+2</f>
        <v>80</v>
      </c>
      <c r="BH111" s="617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79"/>
      <c r="BJ111" s="6179"/>
      <c r="BK111" s="6179"/>
      <c r="BL111" s="6179"/>
      <c r="BM111" s="537" t="s">
        <v>1597</v>
      </c>
      <c r="BN111" s="538">
        <f>BG111</f>
        <v>80</v>
      </c>
      <c r="BO111" s="6173" t="s">
        <v>6888</v>
      </c>
      <c r="BP111" s="6173"/>
      <c r="BQ111" s="6173"/>
      <c r="BR111" s="6161" t="str">
        <f>IF(BH111=0,"",VLOOKUP(BH111,'Tablas Magia'!$D$6:$Z$680,2,FALSE))</f>
        <v>Agua</v>
      </c>
      <c r="BS111" s="6161"/>
      <c r="BT111" s="2428"/>
      <c r="BU111" s="6177" t="str">
        <f>IFERROR(IF(BR111="Libre Acceso","Aprendido",IF(IFERROR(VLOOKUP(BR111,Místicos!$C$15:$H$25,6,0)&gt;=BN111,FALSE),"Aprendido",IF(IFERROR(VLOOKUP(BR111,Místicos!$E$15:$H$25,4,0)&gt;=BN111,FALSE),"Aprendido",""))),"")</f>
        <v/>
      </c>
      <c r="BV111" s="6178"/>
      <c r="BW111" s="530"/>
      <c r="BX111" s="524"/>
      <c r="BY111" s="524"/>
      <c r="BZ111" s="1060">
        <f>BZ100+2</f>
        <v>100</v>
      </c>
      <c r="CA111" s="617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79"/>
      <c r="CC111" s="6179"/>
      <c r="CD111" s="6179"/>
      <c r="CE111" s="6179"/>
      <c r="CF111" s="537" t="s">
        <v>1597</v>
      </c>
      <c r="CG111" s="538">
        <f>BZ111</f>
        <v>100</v>
      </c>
      <c r="CH111" s="6173" t="s">
        <v>6888</v>
      </c>
      <c r="CI111" s="6173"/>
      <c r="CJ111" s="6173"/>
      <c r="CK111" s="6161" t="str">
        <f>IF(CA111=0,"",VLOOKUP(CA111,'Tablas Magia'!$D$6:$Z$680,2,FALSE))</f>
        <v>Agua</v>
      </c>
      <c r="CL111" s="6161"/>
      <c r="CM111" s="2428"/>
      <c r="CN111" s="6177" t="str">
        <f>IFERROR(IF(CK111="Libre Acceso","Aprendido",IF(IFERROR(VLOOKUP(CK111,Místicos!$C$15:$H$25,6,0)&gt;=CG111,FALSE),"Aprendido",IF(IFERROR(VLOOKUP(CK111,Místicos!$E$15:$H$25,4,0)&gt;=CG111,FALSE),"Aprendido",""))),"")</f>
        <v/>
      </c>
      <c r="CO111" s="6178"/>
      <c r="CP111" s="530"/>
      <c r="CQ111" s="524"/>
    </row>
    <row r="112" spans="1:95" ht="12.75" customHeight="1" x14ac:dyDescent="0.2">
      <c r="A112" s="524"/>
      <c r="B112" s="1060"/>
      <c r="C112" s="6156" t="s">
        <v>6889</v>
      </c>
      <c r="D112" s="6172"/>
      <c r="E112" s="2452" t="s">
        <v>6890</v>
      </c>
      <c r="F112" s="2452" t="s">
        <v>1783</v>
      </c>
      <c r="G112" s="2452" t="s">
        <v>3227</v>
      </c>
      <c r="H112" s="2453" t="s">
        <v>2121</v>
      </c>
      <c r="I112" s="6170" t="str">
        <f>IF(C111=0,"",VLOOKUP(C111,'Tablas Magia'!$D$6:$Z$680,5,FALSE))</f>
        <v>Ataque</v>
      </c>
      <c r="J112" s="6170"/>
      <c r="K112" s="6171" t="s">
        <v>6891</v>
      </c>
      <c r="L112" s="6171"/>
      <c r="M112" s="6170" t="str">
        <f>IF(C111=0,"",VLOOKUP(C111,'Tablas Magia'!$D$6:$Z$680,6,FALSE))</f>
        <v>Activa</v>
      </c>
      <c r="N112" s="6170"/>
      <c r="O112" s="6169" t="s">
        <v>6892</v>
      </c>
      <c r="P112" s="6169"/>
      <c r="Q112" s="2454" t="str">
        <f>IF(C111=0,"",VLOOKUP(C111,'Tablas Magia'!$D$6:$Z$680,4,FALSE))</f>
        <v>No</v>
      </c>
      <c r="R112" s="530"/>
      <c r="S112" s="524"/>
      <c r="T112" s="524"/>
      <c r="U112" s="1060"/>
      <c r="V112" s="6156" t="s">
        <v>6889</v>
      </c>
      <c r="W112" s="6172"/>
      <c r="X112" s="2452" t="s">
        <v>6890</v>
      </c>
      <c r="Y112" s="2452" t="s">
        <v>1783</v>
      </c>
      <c r="Z112" s="2452" t="s">
        <v>3227</v>
      </c>
      <c r="AA112" s="2453" t="s">
        <v>2121</v>
      </c>
      <c r="AB112" s="6170" t="str">
        <f>IF(V111=0,"",VLOOKUP(V111,'Tablas Magia'!$D$6:$Z$680,5,FALSE))</f>
        <v>Efecto</v>
      </c>
      <c r="AC112" s="6170"/>
      <c r="AD112" s="6171" t="s">
        <v>6891</v>
      </c>
      <c r="AE112" s="6171"/>
      <c r="AF112" s="6170" t="str">
        <f>IF(V111=0,"",VLOOKUP(V111,'Tablas Magia'!$D$6:$Z$680,6,FALSE))</f>
        <v>Activa</v>
      </c>
      <c r="AG112" s="6170"/>
      <c r="AH112" s="6169" t="s">
        <v>6892</v>
      </c>
      <c r="AI112" s="6169"/>
      <c r="AJ112" s="2454" t="str">
        <f>IF(V111=0,"",VLOOKUP(V111,'Tablas Magia'!$D$6:$Z$680,4,FALSE))</f>
        <v>Si</v>
      </c>
      <c r="AK112" s="530"/>
      <c r="AL112" s="524"/>
      <c r="AM112" s="588"/>
      <c r="AN112" s="1060"/>
      <c r="AO112" s="6156" t="s">
        <v>6889</v>
      </c>
      <c r="AP112" s="6172"/>
      <c r="AQ112" s="2452" t="s">
        <v>6890</v>
      </c>
      <c r="AR112" s="2452" t="s">
        <v>1783</v>
      </c>
      <c r="AS112" s="2452" t="s">
        <v>3227</v>
      </c>
      <c r="AT112" s="2453" t="s">
        <v>2121</v>
      </c>
      <c r="AU112" s="6170" t="str">
        <f>IF(AO111=0,"",VLOOKUP(AO111,'Tablas Magia'!$D$6:$Z$680,5,FALSE))</f>
        <v>Auto</v>
      </c>
      <c r="AV112" s="6170"/>
      <c r="AW112" s="6171" t="s">
        <v>6891</v>
      </c>
      <c r="AX112" s="6171"/>
      <c r="AY112" s="6170" t="str">
        <f>IF(AO111=0,"",VLOOKUP(AO111,'Tablas Magia'!$D$6:$Z$680,6,FALSE))</f>
        <v>Activa</v>
      </c>
      <c r="AZ112" s="6170"/>
      <c r="BA112" s="6169" t="s">
        <v>6892</v>
      </c>
      <c r="BB112" s="6169"/>
      <c r="BC112" s="2454" t="str">
        <f>IF(AO111=0,"",VLOOKUP(AO111,'Tablas Magia'!$D$6:$Z$680,4,FALSE))</f>
        <v>No</v>
      </c>
      <c r="BD112" s="530"/>
      <c r="BE112" s="524"/>
      <c r="BF112" s="524"/>
      <c r="BG112" s="1060"/>
      <c r="BH112" s="6156" t="s">
        <v>6889</v>
      </c>
      <c r="BI112" s="6172"/>
      <c r="BJ112" s="2452" t="s">
        <v>6890</v>
      </c>
      <c r="BK112" s="2452" t="s">
        <v>1783</v>
      </c>
      <c r="BL112" s="2452" t="s">
        <v>3227</v>
      </c>
      <c r="BM112" s="2453" t="s">
        <v>2121</v>
      </c>
      <c r="BN112" s="6170" t="str">
        <f>IF(BH111=0,"",VLOOKUP(BH111,'Tablas Magia'!$D$6:$Z$680,5,FALSE))</f>
        <v>Auto</v>
      </c>
      <c r="BO112" s="6170"/>
      <c r="BP112" s="6171" t="s">
        <v>6891</v>
      </c>
      <c r="BQ112" s="6171"/>
      <c r="BR112" s="6170" t="str">
        <f>IF(BH111=0,"",VLOOKUP(BH111,'Tablas Magia'!$D$6:$Z$680,6,FALSE))</f>
        <v>Activa</v>
      </c>
      <c r="BS112" s="6170"/>
      <c r="BT112" s="6169" t="s">
        <v>6892</v>
      </c>
      <c r="BU112" s="6169"/>
      <c r="BV112" s="2454" t="str">
        <f>IF(BH111=0,"",VLOOKUP(BH111,'Tablas Magia'!$D$6:$Z$680,4,FALSE))</f>
        <v>No</v>
      </c>
      <c r="BW112" s="530"/>
      <c r="BX112" s="524"/>
      <c r="BY112" s="524"/>
      <c r="BZ112" s="1060"/>
      <c r="CA112" s="6156" t="s">
        <v>6889</v>
      </c>
      <c r="CB112" s="6172"/>
      <c r="CC112" s="2452" t="s">
        <v>6890</v>
      </c>
      <c r="CD112" s="2452" t="s">
        <v>1783</v>
      </c>
      <c r="CE112" s="2452" t="s">
        <v>3227</v>
      </c>
      <c r="CF112" s="2453" t="s">
        <v>2121</v>
      </c>
      <c r="CG112" s="6170" t="str">
        <f>IF(CA111=0,"",VLOOKUP(CA111,'Tablas Magia'!$D$6:$Z$680,5,FALSE))</f>
        <v>Auto</v>
      </c>
      <c r="CH112" s="6170"/>
      <c r="CI112" s="6171" t="s">
        <v>6891</v>
      </c>
      <c r="CJ112" s="6171"/>
      <c r="CK112" s="6170" t="str">
        <f>IF(CA111=0,"",VLOOKUP(CA111,'Tablas Magia'!$D$6:$Z$680,6,FALSE))</f>
        <v>Activa</v>
      </c>
      <c r="CL112" s="6170"/>
      <c r="CM112" s="6169" t="s">
        <v>6892</v>
      </c>
      <c r="CN112" s="6169"/>
      <c r="CO112" s="2454" t="str">
        <f>IF(CA111=0,"",VLOOKUP(CA111,'Tablas Magia'!$D$6:$Z$680,4,FALSE))</f>
        <v>Si</v>
      </c>
      <c r="CP112" s="530"/>
      <c r="CQ112" s="524"/>
    </row>
    <row r="113" spans="1:95" x14ac:dyDescent="0.2">
      <c r="A113" s="524"/>
      <c r="B113" s="1060"/>
      <c r="C113" s="6132" t="s">
        <v>1638</v>
      </c>
      <c r="D113" s="6133"/>
      <c r="E113" s="542">
        <f>IF(C111=0,"",VLOOKUP(C111,'Tablas Magia'!$D$6:$Z$680,7,FALSE))</f>
        <v>5</v>
      </c>
      <c r="F113" s="542">
        <f>IF(C111=0,"",VLOOKUP(C111,'Tablas Magia'!$D$6:$Z$680,11,FALSE))</f>
        <v>50</v>
      </c>
      <c r="G113" s="543" t="str">
        <f>IF(C111=0,"",VLOOKUP(C111,'Tablas Magia'!$D$6:$Z$680,15,FALSE))</f>
        <v>No</v>
      </c>
      <c r="H113" s="6134" t="str">
        <f>IF(C111=0,"",VLOOKUP(C111,'Tablas Magia'!$D$6:$Z$680,19,FALSE))</f>
        <v>Daño 40 / Fuerza 8.</v>
      </c>
      <c r="I113" s="6135"/>
      <c r="J113" s="6135"/>
      <c r="K113" s="6135"/>
      <c r="L113" s="6135"/>
      <c r="M113" s="6135"/>
      <c r="N113" s="6135"/>
      <c r="O113" s="6135"/>
      <c r="P113" s="6135"/>
      <c r="Q113" s="6136"/>
      <c r="R113" s="530"/>
      <c r="S113" s="524"/>
      <c r="T113" s="524"/>
      <c r="U113" s="1060"/>
      <c r="V113" s="6132" t="s">
        <v>1638</v>
      </c>
      <c r="W113" s="6133"/>
      <c r="X113" s="542">
        <f>IF(V111=0,"",VLOOKUP(V111,'Tablas Magia'!$D$6:$Z$680,7,FALSE))</f>
        <v>6</v>
      </c>
      <c r="Y113" s="542">
        <f>IF(V111=0,"",VLOOKUP(V111,'Tablas Magia'!$D$6:$Z$680,11,FALSE))</f>
        <v>80</v>
      </c>
      <c r="Z113" s="543">
        <f>IF(V111=0,"",VLOOKUP(V111,'Tablas Magia'!$D$6:$Z$680,15,FALSE))</f>
        <v>10</v>
      </c>
      <c r="AA113" s="6134" t="str">
        <f>IF(V111=0,"",VLOOKUP(V111,'Tablas Magia'!$D$6:$Z$680,19,FALSE))</f>
        <v>50 litros de agua.</v>
      </c>
      <c r="AB113" s="6135"/>
      <c r="AC113" s="6135"/>
      <c r="AD113" s="6135"/>
      <c r="AE113" s="6135"/>
      <c r="AF113" s="6135"/>
      <c r="AG113" s="6135"/>
      <c r="AH113" s="6135"/>
      <c r="AI113" s="6135"/>
      <c r="AJ113" s="6136"/>
      <c r="AK113" s="530"/>
      <c r="AL113" s="524"/>
      <c r="AM113" s="588"/>
      <c r="AN113" s="1060"/>
      <c r="AO113" s="6132" t="s">
        <v>1638</v>
      </c>
      <c r="AP113" s="6133"/>
      <c r="AQ113" s="542">
        <f>IF(AO111=0,"",VLOOKUP(AO111,'Tablas Magia'!$D$6:$Z$680,7,FALSE))</f>
        <v>7</v>
      </c>
      <c r="AR113" s="542">
        <f>IF(AO111=0,"",VLOOKUP(AO111,'Tablas Magia'!$D$6:$Z$680,11,FALSE))</f>
        <v>120</v>
      </c>
      <c r="AS113" s="543">
        <f>IF(AO111=0,"",VLOOKUP(AO111,'Tablas Magia'!$D$6:$Z$680,15,FALSE))</f>
        <v>10</v>
      </c>
      <c r="AT113" s="6134" t="str">
        <f>IF(AO111=0,"",VLOOKUP(AO111,'Tablas Magia'!$D$6:$Z$680,19,FALSE))</f>
        <v>50 metros de radio.</v>
      </c>
      <c r="AU113" s="6135"/>
      <c r="AV113" s="6135"/>
      <c r="AW113" s="6135"/>
      <c r="AX113" s="6135"/>
      <c r="AY113" s="6135"/>
      <c r="AZ113" s="6135"/>
      <c r="BA113" s="6135"/>
      <c r="BB113" s="6135"/>
      <c r="BC113" s="6136"/>
      <c r="BD113" s="530"/>
      <c r="BE113" s="524"/>
      <c r="BF113" s="524"/>
      <c r="BG113" s="1060"/>
      <c r="BH113" s="6132" t="s">
        <v>1638</v>
      </c>
      <c r="BI113" s="6133"/>
      <c r="BJ113" s="542">
        <f>IF(BH111=0,"",VLOOKUP(BH111,'Tablas Magia'!$D$6:$Z$680,7,FALSE))</f>
        <v>10</v>
      </c>
      <c r="BK113" s="542">
        <f>IF(BH111=0,"",VLOOKUP(BH111,'Tablas Magia'!$D$6:$Z$680,11,FALSE))</f>
        <v>200</v>
      </c>
      <c r="BL113" s="543">
        <f>IF(BH111=0,"",VLOOKUP(BH111,'Tablas Magia'!$D$6:$Z$680,15,FALSE))</f>
        <v>20</v>
      </c>
      <c r="BM113" s="6134" t="str">
        <f>IF(BH111=0,"",VLOOKUP(BH111,'Tablas Magia'!$D$6:$Z$680,19,FALSE))</f>
        <v>100 metros de radio / RM 120 / El tiempo se reduce una décima parte.</v>
      </c>
      <c r="BN113" s="6135"/>
      <c r="BO113" s="6135"/>
      <c r="BP113" s="6135"/>
      <c r="BQ113" s="6135"/>
      <c r="BR113" s="6135"/>
      <c r="BS113" s="6135"/>
      <c r="BT113" s="6135"/>
      <c r="BU113" s="6135"/>
      <c r="BV113" s="6136"/>
      <c r="BW113" s="530"/>
      <c r="BX113" s="524"/>
      <c r="BY113" s="524"/>
      <c r="BZ113" s="1060"/>
      <c r="CA113" s="6132" t="s">
        <v>1638</v>
      </c>
      <c r="CB113" s="6133"/>
      <c r="CC113" s="542">
        <f>IF(CA111=0,"",VLOOKUP(CA111,'Tablas Magia'!$D$6:$Z$680,7,FALSE))</f>
        <v>12</v>
      </c>
      <c r="CD113" s="542">
        <f>IF(CA111=0,"",VLOOKUP(CA111,'Tablas Magia'!$D$6:$Z$680,11,FALSE))</f>
        <v>450</v>
      </c>
      <c r="CE113" s="543">
        <f>IF(CA111=0,"",VLOOKUP(CA111,'Tablas Magia'!$D$6:$Z$680,15,FALSE))</f>
        <v>90</v>
      </c>
      <c r="CF113" s="6134" t="str">
        <f>IF(CA111=0,"",VLOOKUP(CA111,'Tablas Magia'!$D$6:$Z$680,19,FALSE))</f>
        <v>RM 120.</v>
      </c>
      <c r="CG113" s="6135"/>
      <c r="CH113" s="6135"/>
      <c r="CI113" s="6135"/>
      <c r="CJ113" s="6135"/>
      <c r="CK113" s="6135"/>
      <c r="CL113" s="6135"/>
      <c r="CM113" s="6135"/>
      <c r="CN113" s="6135"/>
      <c r="CO113" s="6136"/>
      <c r="CP113" s="530"/>
      <c r="CQ113" s="524"/>
    </row>
    <row r="114" spans="1:95" ht="12.75" customHeight="1" x14ac:dyDescent="0.2">
      <c r="A114" s="524"/>
      <c r="B114" s="1060"/>
      <c r="C114" s="6137" t="s">
        <v>3777</v>
      </c>
      <c r="D114" s="6138"/>
      <c r="E114" s="544">
        <f>IF(C111=0,"",VLOOKUP(C111,'Tablas Magia'!$D$6:$Z$680,8,FALSE))</f>
        <v>8</v>
      </c>
      <c r="F114" s="544">
        <f>IF(C111=0,"",VLOOKUP(C111,'Tablas Magia'!$D$6:$Z$680,12,FALSE))</f>
        <v>90</v>
      </c>
      <c r="G114" s="545" t="str">
        <f>IF(C111=0,"",VLOOKUP(C111,'Tablas Magia'!$D$6:$Z$680,16,FALSE))</f>
        <v>No</v>
      </c>
      <c r="H114" s="6139" t="str">
        <f>IF(C111=0,"",VLOOKUP(C111,'Tablas Magia'!$D$6:$Z$680,20,FALSE))</f>
        <v>Daño 60 / Fuerza 10.</v>
      </c>
      <c r="I114" s="6140"/>
      <c r="J114" s="6140"/>
      <c r="K114" s="6140"/>
      <c r="L114" s="6140"/>
      <c r="M114" s="6140"/>
      <c r="N114" s="6140"/>
      <c r="O114" s="6140"/>
      <c r="P114" s="6140"/>
      <c r="Q114" s="6141"/>
      <c r="R114" s="530"/>
      <c r="S114" s="524"/>
      <c r="T114" s="524"/>
      <c r="U114" s="1060"/>
      <c r="V114" s="6137" t="s">
        <v>3777</v>
      </c>
      <c r="W114" s="6138"/>
      <c r="X114" s="544">
        <f>IF(V111=0,"",VLOOKUP(V111,'Tablas Magia'!$D$6:$Z$680,8,FALSE))</f>
        <v>9</v>
      </c>
      <c r="Y114" s="544">
        <f>IF(V111=0,"",VLOOKUP(V111,'Tablas Magia'!$D$6:$Z$680,12,FALSE))</f>
        <v>140</v>
      </c>
      <c r="Z114" s="545">
        <f>IF(V111=0,"",VLOOKUP(V111,'Tablas Magia'!$D$6:$Z$680,16,FALSE))</f>
        <v>20</v>
      </c>
      <c r="AA114" s="6139" t="str">
        <f>IF(V111=0,"",VLOOKUP(V111,'Tablas Magia'!$D$6:$Z$680,20,FALSE))</f>
        <v>500 litros de agua.</v>
      </c>
      <c r="AB114" s="6140"/>
      <c r="AC114" s="6140"/>
      <c r="AD114" s="6140"/>
      <c r="AE114" s="6140"/>
      <c r="AF114" s="6140"/>
      <c r="AG114" s="6140"/>
      <c r="AH114" s="6140"/>
      <c r="AI114" s="6140"/>
      <c r="AJ114" s="6141"/>
      <c r="AK114" s="530"/>
      <c r="AL114" s="524"/>
      <c r="AM114" s="588"/>
      <c r="AN114" s="1060"/>
      <c r="AO114" s="6137" t="s">
        <v>3777</v>
      </c>
      <c r="AP114" s="6138"/>
      <c r="AQ114" s="544">
        <f>IF(AO111=0,"",VLOOKUP(AO111,'Tablas Magia'!$D$6:$Z$680,8,FALSE))</f>
        <v>10</v>
      </c>
      <c r="AR114" s="544">
        <f>IF(AO111=0,"",VLOOKUP(AO111,'Tablas Magia'!$D$6:$Z$680,12,FALSE))</f>
        <v>180</v>
      </c>
      <c r="AS114" s="545">
        <f>IF(AO111=0,"",VLOOKUP(AO111,'Tablas Magia'!$D$6:$Z$680,16,FALSE))</f>
        <v>10</v>
      </c>
      <c r="AT114" s="6139" t="str">
        <f>IF(AO111=0,"",VLOOKUP(AO111,'Tablas Magia'!$D$6:$Z$680,20,FALSE))</f>
        <v>150 metros de radio.</v>
      </c>
      <c r="AU114" s="6140"/>
      <c r="AV114" s="6140"/>
      <c r="AW114" s="6140"/>
      <c r="AX114" s="6140"/>
      <c r="AY114" s="6140"/>
      <c r="AZ114" s="6140"/>
      <c r="BA114" s="6140"/>
      <c r="BB114" s="6140"/>
      <c r="BC114" s="6141"/>
      <c r="BD114" s="530"/>
      <c r="BE114" s="524"/>
      <c r="BF114" s="524"/>
      <c r="BG114" s="1060"/>
      <c r="BH114" s="6137" t="s">
        <v>3777</v>
      </c>
      <c r="BI114" s="6138"/>
      <c r="BJ114" s="544">
        <f>IF(BH111=0,"",VLOOKUP(BH111,'Tablas Magia'!$D$6:$Z$680,8,FALSE))</f>
        <v>12</v>
      </c>
      <c r="BK114" s="544">
        <f>IF(BH111=0,"",VLOOKUP(BH111,'Tablas Magia'!$D$6:$Z$680,12,FALSE))</f>
        <v>320</v>
      </c>
      <c r="BL114" s="545">
        <f>IF(BH111=0,"",VLOOKUP(BH111,'Tablas Magia'!$D$6:$Z$680,16,FALSE))</f>
        <v>25</v>
      </c>
      <c r="BM114" s="6139" t="str">
        <f>IF(BH111=0,"",VLOOKUP(BH111,'Tablas Magia'!$D$6:$Z$680,20,FALSE))</f>
        <v>200 metros de radio / RM 140 / El tiempo se reduce una centésima parte.</v>
      </c>
      <c r="BN114" s="6140"/>
      <c r="BO114" s="6140"/>
      <c r="BP114" s="6140"/>
      <c r="BQ114" s="6140"/>
      <c r="BR114" s="6140"/>
      <c r="BS114" s="6140"/>
      <c r="BT114" s="6140"/>
      <c r="BU114" s="6140"/>
      <c r="BV114" s="6141"/>
      <c r="BW114" s="530"/>
      <c r="BX114" s="524"/>
      <c r="BY114" s="524"/>
      <c r="BZ114" s="1060"/>
      <c r="CA114" s="6137" t="s">
        <v>3777</v>
      </c>
      <c r="CB114" s="6138"/>
      <c r="CC114" s="544">
        <f>IF(CA111=0,"",VLOOKUP(CA111,'Tablas Magia'!$D$6:$Z$680,8,FALSE))</f>
        <v>15</v>
      </c>
      <c r="CD114" s="544">
        <f>IF(CA111=0,"",VLOOKUP(CA111,'Tablas Magia'!$D$6:$Z$680,12,FALSE))</f>
        <v>800</v>
      </c>
      <c r="CE114" s="545">
        <f>IF(CA111=0,"",VLOOKUP(CA111,'Tablas Magia'!$D$6:$Z$680,16,FALSE))</f>
        <v>115</v>
      </c>
      <c r="CF114" s="6139" t="str">
        <f>IF(CA111=0,"",VLOOKUP(CA111,'Tablas Magia'!$D$6:$Z$680,20,FALSE))</f>
        <v>RM 180.</v>
      </c>
      <c r="CG114" s="6140"/>
      <c r="CH114" s="6140"/>
      <c r="CI114" s="6140"/>
      <c r="CJ114" s="6140"/>
      <c r="CK114" s="6140"/>
      <c r="CL114" s="6140"/>
      <c r="CM114" s="6140"/>
      <c r="CN114" s="6140"/>
      <c r="CO114" s="6141"/>
      <c r="CP114" s="530"/>
      <c r="CQ114" s="524"/>
    </row>
    <row r="115" spans="1:95" x14ac:dyDescent="0.2">
      <c r="A115" s="524"/>
      <c r="B115" s="1060"/>
      <c r="C115" s="6132" t="s">
        <v>3778</v>
      </c>
      <c r="D115" s="6133"/>
      <c r="E115" s="542">
        <f>IF(C111=0,"",VLOOKUP(C111,'Tablas Magia'!$D$6:$Z$680,9,FALSE))</f>
        <v>10</v>
      </c>
      <c r="F115" s="542">
        <f>IF(C111=0,"",VLOOKUP(C111,'Tablas Magia'!$D$6:$Z$680,13,FALSE))</f>
        <v>140</v>
      </c>
      <c r="G115" s="543" t="str">
        <f>IF(C111=0,"",VLOOKUP(C111,'Tablas Magia'!$D$6:$Z$680,17,FALSE))</f>
        <v>No</v>
      </c>
      <c r="H115" s="6134" t="str">
        <f>IF(C111=0,"",VLOOKUP(C111,'Tablas Magia'!$D$6:$Z$680,21,FALSE))</f>
        <v>Daño 80 / Fuerza 12.</v>
      </c>
      <c r="I115" s="6135"/>
      <c r="J115" s="6135"/>
      <c r="K115" s="6135"/>
      <c r="L115" s="6135"/>
      <c r="M115" s="6135"/>
      <c r="N115" s="6135"/>
      <c r="O115" s="6135"/>
      <c r="P115" s="6135"/>
      <c r="Q115" s="6136"/>
      <c r="R115" s="530"/>
      <c r="S115" s="524"/>
      <c r="T115" s="524"/>
      <c r="U115" s="1060"/>
      <c r="V115" s="6132" t="s">
        <v>3778</v>
      </c>
      <c r="W115" s="6133"/>
      <c r="X115" s="542">
        <f>IF(V111=0,"",VLOOKUP(V111,'Tablas Magia'!$D$6:$Z$680,9,FALSE))</f>
        <v>12</v>
      </c>
      <c r="Y115" s="542">
        <f>IF(V111=0,"",VLOOKUP(V111,'Tablas Magia'!$D$6:$Z$680,13,FALSE))</f>
        <v>240</v>
      </c>
      <c r="Z115" s="543">
        <f>IF(V111=0,"",VLOOKUP(V111,'Tablas Magia'!$D$6:$Z$680,17,FALSE))</f>
        <v>25</v>
      </c>
      <c r="AA115" s="6134" t="str">
        <f>IF(V111=0,"",VLOOKUP(V111,'Tablas Magia'!$D$6:$Z$680,21,FALSE))</f>
        <v>5.000 litros de agua.</v>
      </c>
      <c r="AB115" s="6135"/>
      <c r="AC115" s="6135"/>
      <c r="AD115" s="6135"/>
      <c r="AE115" s="6135"/>
      <c r="AF115" s="6135"/>
      <c r="AG115" s="6135"/>
      <c r="AH115" s="6135"/>
      <c r="AI115" s="6135"/>
      <c r="AJ115" s="6136"/>
      <c r="AK115" s="530"/>
      <c r="AL115" s="524"/>
      <c r="AM115" s="588"/>
      <c r="AN115" s="1060"/>
      <c r="AO115" s="6132" t="s">
        <v>3778</v>
      </c>
      <c r="AP115" s="6133"/>
      <c r="AQ115" s="542">
        <f>IF(AO111=0,"",VLOOKUP(AO111,'Tablas Magia'!$D$6:$Z$680,9,FALSE))</f>
        <v>12</v>
      </c>
      <c r="AR115" s="542">
        <f>IF(AO111=0,"",VLOOKUP(AO111,'Tablas Magia'!$D$6:$Z$680,13,FALSE))</f>
        <v>240</v>
      </c>
      <c r="AS115" s="543">
        <f>IF(AO111=0,"",VLOOKUP(AO111,'Tablas Magia'!$D$6:$Z$680,17,FALSE))</f>
        <v>15</v>
      </c>
      <c r="AT115" s="6134" t="str">
        <f>IF(AO111=0,"",VLOOKUP(AO111,'Tablas Magia'!$D$6:$Z$680,21,FALSE))</f>
        <v>500 metros de radio / La RF se incrementa hasta 160.</v>
      </c>
      <c r="AU115" s="6135"/>
      <c r="AV115" s="6135"/>
      <c r="AW115" s="6135"/>
      <c r="AX115" s="6135"/>
      <c r="AY115" s="6135"/>
      <c r="AZ115" s="6135"/>
      <c r="BA115" s="6135"/>
      <c r="BB115" s="6135"/>
      <c r="BC115" s="6136"/>
      <c r="BD115" s="530"/>
      <c r="BE115" s="524"/>
      <c r="BF115" s="524"/>
      <c r="BG115" s="1060"/>
      <c r="BH115" s="6132" t="s">
        <v>3778</v>
      </c>
      <c r="BI115" s="6133"/>
      <c r="BJ115" s="542">
        <f>IF(BH111=0,"",VLOOKUP(BH111,'Tablas Magia'!$D$6:$Z$680,9,FALSE))</f>
        <v>14</v>
      </c>
      <c r="BK115" s="542">
        <f>IF(BH111=0,"",VLOOKUP(BH111,'Tablas Magia'!$D$6:$Z$680,13,FALSE))</f>
        <v>450</v>
      </c>
      <c r="BL115" s="543">
        <f>IF(BH111=0,"",VLOOKUP(BH111,'Tablas Magia'!$D$6:$Z$680,17,FALSE))</f>
        <v>30</v>
      </c>
      <c r="BM115" s="6134" t="str">
        <f>IF(BH111=0,"",VLOOKUP(BH111,'Tablas Magia'!$D$6:$Z$680,21,FALSE))</f>
        <v>500 metros de radio / RM 160 / El tiempo se reduce una milésima parte.</v>
      </c>
      <c r="BN115" s="6135"/>
      <c r="BO115" s="6135"/>
      <c r="BP115" s="6135"/>
      <c r="BQ115" s="6135"/>
      <c r="BR115" s="6135"/>
      <c r="BS115" s="6135"/>
      <c r="BT115" s="6135"/>
      <c r="BU115" s="6135"/>
      <c r="BV115" s="6136"/>
      <c r="BW115" s="530"/>
      <c r="BX115" s="524"/>
      <c r="BY115" s="524"/>
      <c r="BZ115" s="1060"/>
      <c r="CA115" s="6132" t="s">
        <v>3778</v>
      </c>
      <c r="CB115" s="6133"/>
      <c r="CC115" s="542">
        <f>IF(CA111=0,"",VLOOKUP(CA111,'Tablas Magia'!$D$6:$Z$680,9,FALSE))</f>
        <v>17</v>
      </c>
      <c r="CD115" s="542">
        <f>IF(CA111=0,"",VLOOKUP(CA111,'Tablas Magia'!$D$6:$Z$680,13,FALSE))</f>
        <v>1200</v>
      </c>
      <c r="CE115" s="543">
        <f>IF(CA111=0,"",VLOOKUP(CA111,'Tablas Magia'!$D$6:$Z$680,17,FALSE))</f>
        <v>130</v>
      </c>
      <c r="CF115" s="6134" t="str">
        <f>IF(CA111=0,"",VLOOKUP(CA111,'Tablas Magia'!$D$6:$Z$680,21,FALSE))</f>
        <v>RM 220.</v>
      </c>
      <c r="CG115" s="6135"/>
      <c r="CH115" s="6135"/>
      <c r="CI115" s="6135"/>
      <c r="CJ115" s="6135"/>
      <c r="CK115" s="6135"/>
      <c r="CL115" s="6135"/>
      <c r="CM115" s="6135"/>
      <c r="CN115" s="6135"/>
      <c r="CO115" s="6136"/>
      <c r="CP115" s="530"/>
      <c r="CQ115" s="524"/>
    </row>
    <row r="116" spans="1:95" ht="13.5" thickBot="1" x14ac:dyDescent="0.25">
      <c r="A116" s="524"/>
      <c r="B116" s="1060"/>
      <c r="C116" s="6142" t="s">
        <v>3779</v>
      </c>
      <c r="D116" s="6143"/>
      <c r="E116" s="546">
        <f>IF(C111=0,"",VLOOKUP(C111,'Tablas Magia'!$D$6:$Z$680,10,FALSE))</f>
        <v>12</v>
      </c>
      <c r="F116" s="546">
        <f>IF(C111=0,"",VLOOKUP(C111,'Tablas Magia'!$D$6:$Z$680,14,FALSE))</f>
        <v>200</v>
      </c>
      <c r="G116" s="547" t="str">
        <f>IF(C111=0,"",VLOOKUP(C111,'Tablas Magia'!$D$6:$Z$680,18,FALSE))</f>
        <v>No</v>
      </c>
      <c r="H116" s="6144" t="str">
        <f>IF(C111=0,"",VLOOKUP(C111,'Tablas Magia'!$D$6:$Z$680,22,FALSE))</f>
        <v>Daño 100 / Fuerza 14.</v>
      </c>
      <c r="I116" s="6145"/>
      <c r="J116" s="6145"/>
      <c r="K116" s="6145"/>
      <c r="L116" s="6145"/>
      <c r="M116" s="6145"/>
      <c r="N116" s="6145"/>
      <c r="O116" s="6145"/>
      <c r="P116" s="6145"/>
      <c r="Q116" s="6146"/>
      <c r="R116" s="530"/>
      <c r="S116" s="524"/>
      <c r="T116" s="524"/>
      <c r="U116" s="1060"/>
      <c r="V116" s="6142" t="s">
        <v>3779</v>
      </c>
      <c r="W116" s="6143"/>
      <c r="X116" s="546">
        <f>IF(V111=0,"",VLOOKUP(V111,'Tablas Magia'!$D$6:$Z$680,10,FALSE))</f>
        <v>16</v>
      </c>
      <c r="Y116" s="546">
        <f>IF(V111=0,"",VLOOKUP(V111,'Tablas Magia'!$D$6:$Z$680,14,FALSE))</f>
        <v>350</v>
      </c>
      <c r="Z116" s="547">
        <f>IF(V111=0,"",VLOOKUP(V111,'Tablas Magia'!$D$6:$Z$680,18,FALSE))</f>
        <v>30</v>
      </c>
      <c r="AA116" s="6144" t="str">
        <f>IF(V111=0,"",VLOOKUP(V111,'Tablas Magia'!$D$6:$Z$680,22,FALSE))</f>
        <v>50.000 litros de agua.</v>
      </c>
      <c r="AB116" s="6145"/>
      <c r="AC116" s="6145"/>
      <c r="AD116" s="6145"/>
      <c r="AE116" s="6145"/>
      <c r="AF116" s="6145"/>
      <c r="AG116" s="6145"/>
      <c r="AH116" s="6145"/>
      <c r="AI116" s="6145"/>
      <c r="AJ116" s="6146"/>
      <c r="AK116" s="530"/>
      <c r="AL116" s="524"/>
      <c r="AM116" s="588"/>
      <c r="AN116" s="1060"/>
      <c r="AO116" s="6142" t="s">
        <v>3779</v>
      </c>
      <c r="AP116" s="6143"/>
      <c r="AQ116" s="546">
        <f>IF(AO111=0,"",VLOOKUP(AO111,'Tablas Magia'!$D$6:$Z$680,10,FALSE))</f>
        <v>15</v>
      </c>
      <c r="AR116" s="546">
        <f>IF(AO111=0,"",VLOOKUP(AO111,'Tablas Magia'!$D$6:$Z$680,14,FALSE))</f>
        <v>320</v>
      </c>
      <c r="AS116" s="547">
        <f>IF(AO111=0,"",VLOOKUP(AO111,'Tablas Magia'!$D$6:$Z$680,18,FALSE))</f>
        <v>15</v>
      </c>
      <c r="AT116" s="6144" t="str">
        <f>IF(AO111=0,"",VLOOKUP(AO111,'Tablas Magia'!$D$6:$Z$680,22,FALSE))</f>
        <v>1 kilómetro de radio / La RF se incrementa hasta 180.</v>
      </c>
      <c r="AU116" s="6145"/>
      <c r="AV116" s="6145"/>
      <c r="AW116" s="6145"/>
      <c r="AX116" s="6145"/>
      <c r="AY116" s="6145"/>
      <c r="AZ116" s="6145"/>
      <c r="BA116" s="6145"/>
      <c r="BB116" s="6145"/>
      <c r="BC116" s="6146"/>
      <c r="BD116" s="530"/>
      <c r="BE116" s="524"/>
      <c r="BF116" s="524"/>
      <c r="BG116" s="1060"/>
      <c r="BH116" s="6142" t="s">
        <v>3779</v>
      </c>
      <c r="BI116" s="6143"/>
      <c r="BJ116" s="546">
        <f>IF(BH111=0,"",VLOOKUP(BH111,'Tablas Magia'!$D$6:$Z$680,10,FALSE))</f>
        <v>16</v>
      </c>
      <c r="BK116" s="546">
        <f>IF(BH111=0,"",VLOOKUP(BH111,'Tablas Magia'!$D$6:$Z$680,14,FALSE))</f>
        <v>600</v>
      </c>
      <c r="BL116" s="547">
        <f>IF(BH111=0,"",VLOOKUP(BH111,'Tablas Magia'!$D$6:$Z$680,18,FALSE))</f>
        <v>35</v>
      </c>
      <c r="BM116" s="6144" t="str">
        <f>IF(BH111=0,"",VLOOKUP(BH111,'Tablas Magia'!$D$6:$Z$680,22,FALSE))</f>
        <v>1 kilómetro de radio / RM 180 / El tiempo se reduce una millonésima parte.</v>
      </c>
      <c r="BN116" s="6145"/>
      <c r="BO116" s="6145"/>
      <c r="BP116" s="6145"/>
      <c r="BQ116" s="6145"/>
      <c r="BR116" s="6145"/>
      <c r="BS116" s="6145"/>
      <c r="BT116" s="6145"/>
      <c r="BU116" s="6145"/>
      <c r="BV116" s="6146"/>
      <c r="BW116" s="530"/>
      <c r="BX116" s="524"/>
      <c r="BY116" s="524"/>
      <c r="BZ116" s="1060"/>
      <c r="CA116" s="6142" t="s">
        <v>3779</v>
      </c>
      <c r="CB116" s="6143"/>
      <c r="CC116" s="546">
        <f>IF(CA111=0,"",VLOOKUP(CA111,'Tablas Magia'!$D$6:$Z$680,10,FALSE))</f>
        <v>20</v>
      </c>
      <c r="CD116" s="546">
        <f>IF(CA111=0,"",VLOOKUP(CA111,'Tablas Magia'!$D$6:$Z$680,14,FALSE))</f>
        <v>1600</v>
      </c>
      <c r="CE116" s="547">
        <f>IF(CA111=0,"",VLOOKUP(CA111,'Tablas Magia'!$D$6:$Z$680,18,FALSE))</f>
        <v>145</v>
      </c>
      <c r="CF116" s="6144" t="str">
        <f>IF(CA111=0,"",VLOOKUP(CA111,'Tablas Magia'!$D$6:$Z$680,22,FALSE))</f>
        <v>RM 260.</v>
      </c>
      <c r="CG116" s="6145"/>
      <c r="CH116" s="6145"/>
      <c r="CI116" s="6145"/>
      <c r="CJ116" s="6145"/>
      <c r="CK116" s="6145"/>
      <c r="CL116" s="6145"/>
      <c r="CM116" s="6145"/>
      <c r="CN116" s="6145"/>
      <c r="CO116" s="6146"/>
      <c r="CP116" s="530"/>
      <c r="CQ116" s="524"/>
    </row>
    <row r="117" spans="1:95" ht="12.75" customHeight="1" x14ac:dyDescent="0.2">
      <c r="A117" s="524"/>
      <c r="B117" s="1060"/>
      <c r="C117" s="6147"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48"/>
      <c r="E117" s="6148"/>
      <c r="F117" s="6148"/>
      <c r="G117" s="6148"/>
      <c r="H117" s="6148"/>
      <c r="I117" s="6148"/>
      <c r="J117" s="6148"/>
      <c r="K117" s="6148"/>
      <c r="L117" s="6148"/>
      <c r="M117" s="6148"/>
      <c r="N117" s="6148"/>
      <c r="O117" s="6148"/>
      <c r="P117" s="6148"/>
      <c r="Q117" s="6149"/>
      <c r="R117" s="530"/>
      <c r="S117" s="524"/>
      <c r="T117" s="524"/>
      <c r="U117" s="1060"/>
      <c r="V117" s="6147"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48"/>
      <c r="X117" s="6148"/>
      <c r="Y117" s="6148"/>
      <c r="Z117" s="6148"/>
      <c r="AA117" s="6148"/>
      <c r="AB117" s="6148"/>
      <c r="AC117" s="6148"/>
      <c r="AD117" s="6148"/>
      <c r="AE117" s="6148"/>
      <c r="AF117" s="6148"/>
      <c r="AG117" s="6148"/>
      <c r="AH117" s="6148"/>
      <c r="AI117" s="6148"/>
      <c r="AJ117" s="6149"/>
      <c r="AK117" s="530"/>
      <c r="AL117" s="524"/>
      <c r="AM117" s="588"/>
      <c r="AN117" s="1060"/>
      <c r="AO117" s="6147"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48"/>
      <c r="AQ117" s="6148"/>
      <c r="AR117" s="6148"/>
      <c r="AS117" s="6148"/>
      <c r="AT117" s="6148"/>
      <c r="AU117" s="6148"/>
      <c r="AV117" s="6148"/>
      <c r="AW117" s="6148"/>
      <c r="AX117" s="6148"/>
      <c r="AY117" s="6148"/>
      <c r="AZ117" s="6148"/>
      <c r="BA117" s="6148"/>
      <c r="BB117" s="6148"/>
      <c r="BC117" s="6149"/>
      <c r="BD117" s="530"/>
      <c r="BE117" s="524"/>
      <c r="BF117" s="524"/>
      <c r="BG117" s="1060"/>
      <c r="BH117" s="6147"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48"/>
      <c r="BJ117" s="6148"/>
      <c r="BK117" s="6148"/>
      <c r="BL117" s="6148"/>
      <c r="BM117" s="6148"/>
      <c r="BN117" s="6148"/>
      <c r="BO117" s="6148"/>
      <c r="BP117" s="6148"/>
      <c r="BQ117" s="6148"/>
      <c r="BR117" s="6148"/>
      <c r="BS117" s="6148"/>
      <c r="BT117" s="6148"/>
      <c r="BU117" s="6148"/>
      <c r="BV117" s="6149"/>
      <c r="BW117" s="530"/>
      <c r="BX117" s="524"/>
      <c r="BY117" s="524"/>
      <c r="BZ117" s="1060"/>
      <c r="CA117" s="6147"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48"/>
      <c r="CC117" s="6148"/>
      <c r="CD117" s="6148"/>
      <c r="CE117" s="6148"/>
      <c r="CF117" s="6148"/>
      <c r="CG117" s="6148"/>
      <c r="CH117" s="6148"/>
      <c r="CI117" s="6148"/>
      <c r="CJ117" s="6148"/>
      <c r="CK117" s="6148"/>
      <c r="CL117" s="6148"/>
      <c r="CM117" s="6148"/>
      <c r="CN117" s="6148"/>
      <c r="CO117" s="6149"/>
      <c r="CP117" s="530"/>
      <c r="CQ117" s="524"/>
    </row>
    <row r="118" spans="1:95" x14ac:dyDescent="0.2">
      <c r="A118" s="524"/>
      <c r="B118" s="1060"/>
      <c r="C118" s="6150"/>
      <c r="D118" s="6151"/>
      <c r="E118" s="6151"/>
      <c r="F118" s="6151"/>
      <c r="G118" s="6151"/>
      <c r="H118" s="6151"/>
      <c r="I118" s="6151"/>
      <c r="J118" s="6151"/>
      <c r="K118" s="6151"/>
      <c r="L118" s="6151"/>
      <c r="M118" s="6151"/>
      <c r="N118" s="6151"/>
      <c r="O118" s="6151"/>
      <c r="P118" s="6151"/>
      <c r="Q118" s="6152"/>
      <c r="R118" s="530"/>
      <c r="S118" s="524"/>
      <c r="T118" s="524"/>
      <c r="U118" s="1060"/>
      <c r="V118" s="6150"/>
      <c r="W118" s="6151"/>
      <c r="X118" s="6151"/>
      <c r="Y118" s="6151"/>
      <c r="Z118" s="6151"/>
      <c r="AA118" s="6151"/>
      <c r="AB118" s="6151"/>
      <c r="AC118" s="6151"/>
      <c r="AD118" s="6151"/>
      <c r="AE118" s="6151"/>
      <c r="AF118" s="6151"/>
      <c r="AG118" s="6151"/>
      <c r="AH118" s="6151"/>
      <c r="AI118" s="6151"/>
      <c r="AJ118" s="6152"/>
      <c r="AK118" s="530"/>
      <c r="AL118" s="524"/>
      <c r="AM118" s="588"/>
      <c r="AN118" s="1060"/>
      <c r="AO118" s="6150"/>
      <c r="AP118" s="6151"/>
      <c r="AQ118" s="6151"/>
      <c r="AR118" s="6151"/>
      <c r="AS118" s="6151"/>
      <c r="AT118" s="6151"/>
      <c r="AU118" s="6151"/>
      <c r="AV118" s="6151"/>
      <c r="AW118" s="6151"/>
      <c r="AX118" s="6151"/>
      <c r="AY118" s="6151"/>
      <c r="AZ118" s="6151"/>
      <c r="BA118" s="6151"/>
      <c r="BB118" s="6151"/>
      <c r="BC118" s="6152"/>
      <c r="BD118" s="530"/>
      <c r="BE118" s="524"/>
      <c r="BF118" s="524"/>
      <c r="BG118" s="1060"/>
      <c r="BH118" s="6150"/>
      <c r="BI118" s="6151"/>
      <c r="BJ118" s="6151"/>
      <c r="BK118" s="6151"/>
      <c r="BL118" s="6151"/>
      <c r="BM118" s="6151"/>
      <c r="BN118" s="6151"/>
      <c r="BO118" s="6151"/>
      <c r="BP118" s="6151"/>
      <c r="BQ118" s="6151"/>
      <c r="BR118" s="6151"/>
      <c r="BS118" s="6151"/>
      <c r="BT118" s="6151"/>
      <c r="BU118" s="6151"/>
      <c r="BV118" s="6152"/>
      <c r="BW118" s="530"/>
      <c r="BX118" s="524"/>
      <c r="BY118" s="524"/>
      <c r="BZ118" s="1060"/>
      <c r="CA118" s="6150"/>
      <c r="CB118" s="6151"/>
      <c r="CC118" s="6151"/>
      <c r="CD118" s="6151"/>
      <c r="CE118" s="6151"/>
      <c r="CF118" s="6151"/>
      <c r="CG118" s="6151"/>
      <c r="CH118" s="6151"/>
      <c r="CI118" s="6151"/>
      <c r="CJ118" s="6151"/>
      <c r="CK118" s="6151"/>
      <c r="CL118" s="6151"/>
      <c r="CM118" s="6151"/>
      <c r="CN118" s="6151"/>
      <c r="CO118" s="6152"/>
      <c r="CP118" s="530"/>
      <c r="CQ118" s="524"/>
    </row>
    <row r="119" spans="1:95" x14ac:dyDescent="0.2">
      <c r="A119" s="524"/>
      <c r="B119" s="1060"/>
      <c r="C119" s="6150"/>
      <c r="D119" s="6151"/>
      <c r="E119" s="6151"/>
      <c r="F119" s="6151"/>
      <c r="G119" s="6151"/>
      <c r="H119" s="6151"/>
      <c r="I119" s="6151"/>
      <c r="J119" s="6151"/>
      <c r="K119" s="6151"/>
      <c r="L119" s="6151"/>
      <c r="M119" s="6151"/>
      <c r="N119" s="6151"/>
      <c r="O119" s="6151"/>
      <c r="P119" s="6151"/>
      <c r="Q119" s="6152"/>
      <c r="R119" s="530"/>
      <c r="S119" s="524"/>
      <c r="T119" s="524"/>
      <c r="U119" s="1060"/>
      <c r="V119" s="6150"/>
      <c r="W119" s="6151"/>
      <c r="X119" s="6151"/>
      <c r="Y119" s="6151"/>
      <c r="Z119" s="6151"/>
      <c r="AA119" s="6151"/>
      <c r="AB119" s="6151"/>
      <c r="AC119" s="6151"/>
      <c r="AD119" s="6151"/>
      <c r="AE119" s="6151"/>
      <c r="AF119" s="6151"/>
      <c r="AG119" s="6151"/>
      <c r="AH119" s="6151"/>
      <c r="AI119" s="6151"/>
      <c r="AJ119" s="6152"/>
      <c r="AK119" s="530"/>
      <c r="AL119" s="524"/>
      <c r="AM119" s="588"/>
      <c r="AN119" s="1060"/>
      <c r="AO119" s="6150"/>
      <c r="AP119" s="6151"/>
      <c r="AQ119" s="6151"/>
      <c r="AR119" s="6151"/>
      <c r="AS119" s="6151"/>
      <c r="AT119" s="6151"/>
      <c r="AU119" s="6151"/>
      <c r="AV119" s="6151"/>
      <c r="AW119" s="6151"/>
      <c r="AX119" s="6151"/>
      <c r="AY119" s="6151"/>
      <c r="AZ119" s="6151"/>
      <c r="BA119" s="6151"/>
      <c r="BB119" s="6151"/>
      <c r="BC119" s="6152"/>
      <c r="BD119" s="530"/>
      <c r="BE119" s="524"/>
      <c r="BF119" s="524"/>
      <c r="BG119" s="1060"/>
      <c r="BH119" s="6150"/>
      <c r="BI119" s="6151"/>
      <c r="BJ119" s="6151"/>
      <c r="BK119" s="6151"/>
      <c r="BL119" s="6151"/>
      <c r="BM119" s="6151"/>
      <c r="BN119" s="6151"/>
      <c r="BO119" s="6151"/>
      <c r="BP119" s="6151"/>
      <c r="BQ119" s="6151"/>
      <c r="BR119" s="6151"/>
      <c r="BS119" s="6151"/>
      <c r="BT119" s="6151"/>
      <c r="BU119" s="6151"/>
      <c r="BV119" s="6152"/>
      <c r="BW119" s="530"/>
      <c r="BX119" s="524"/>
      <c r="BY119" s="524"/>
      <c r="BZ119" s="1060"/>
      <c r="CA119" s="6150"/>
      <c r="CB119" s="6151"/>
      <c r="CC119" s="6151"/>
      <c r="CD119" s="6151"/>
      <c r="CE119" s="6151"/>
      <c r="CF119" s="6151"/>
      <c r="CG119" s="6151"/>
      <c r="CH119" s="6151"/>
      <c r="CI119" s="6151"/>
      <c r="CJ119" s="6151"/>
      <c r="CK119" s="6151"/>
      <c r="CL119" s="6151"/>
      <c r="CM119" s="6151"/>
      <c r="CN119" s="6151"/>
      <c r="CO119" s="6152"/>
      <c r="CP119" s="530"/>
      <c r="CQ119" s="524"/>
    </row>
    <row r="120" spans="1:95" ht="13.5" thickBot="1" x14ac:dyDescent="0.25">
      <c r="A120" s="1967"/>
      <c r="B120" s="1060"/>
      <c r="C120" s="6153"/>
      <c r="D120" s="6154"/>
      <c r="E120" s="6154"/>
      <c r="F120" s="6154"/>
      <c r="G120" s="6154"/>
      <c r="H120" s="6154"/>
      <c r="I120" s="6154"/>
      <c r="J120" s="6154"/>
      <c r="K120" s="6154"/>
      <c r="L120" s="6154"/>
      <c r="M120" s="6154"/>
      <c r="N120" s="6154"/>
      <c r="O120" s="6154"/>
      <c r="P120" s="6154"/>
      <c r="Q120" s="6155"/>
      <c r="R120" s="530"/>
      <c r="S120" s="524"/>
      <c r="T120" s="524"/>
      <c r="U120" s="1060"/>
      <c r="V120" s="6153"/>
      <c r="W120" s="6154"/>
      <c r="X120" s="6154"/>
      <c r="Y120" s="6154"/>
      <c r="Z120" s="6154"/>
      <c r="AA120" s="6154"/>
      <c r="AB120" s="6154"/>
      <c r="AC120" s="6154"/>
      <c r="AD120" s="6154"/>
      <c r="AE120" s="6154"/>
      <c r="AF120" s="6154"/>
      <c r="AG120" s="6154"/>
      <c r="AH120" s="6154"/>
      <c r="AI120" s="6154"/>
      <c r="AJ120" s="6155"/>
      <c r="AK120" s="530"/>
      <c r="AL120" s="524"/>
      <c r="AM120" s="588"/>
      <c r="AN120" s="1060"/>
      <c r="AO120" s="6153"/>
      <c r="AP120" s="6154"/>
      <c r="AQ120" s="6154"/>
      <c r="AR120" s="6154"/>
      <c r="AS120" s="6154"/>
      <c r="AT120" s="6154"/>
      <c r="AU120" s="6154"/>
      <c r="AV120" s="6154"/>
      <c r="AW120" s="6154"/>
      <c r="AX120" s="6154"/>
      <c r="AY120" s="6154"/>
      <c r="AZ120" s="6154"/>
      <c r="BA120" s="6154"/>
      <c r="BB120" s="6154"/>
      <c r="BC120" s="6155"/>
      <c r="BD120" s="530"/>
      <c r="BE120" s="524"/>
      <c r="BF120" s="524"/>
      <c r="BG120" s="1060"/>
      <c r="BH120" s="6153"/>
      <c r="BI120" s="6154"/>
      <c r="BJ120" s="6154"/>
      <c r="BK120" s="6154"/>
      <c r="BL120" s="6154"/>
      <c r="BM120" s="6154"/>
      <c r="BN120" s="6154"/>
      <c r="BO120" s="6154"/>
      <c r="BP120" s="6154"/>
      <c r="BQ120" s="6154"/>
      <c r="BR120" s="6154"/>
      <c r="BS120" s="6154"/>
      <c r="BT120" s="6154"/>
      <c r="BU120" s="6154"/>
      <c r="BV120" s="6155"/>
      <c r="BW120" s="530"/>
      <c r="BX120" s="524"/>
      <c r="BY120" s="524"/>
      <c r="BZ120" s="1060"/>
      <c r="CA120" s="6153"/>
      <c r="CB120" s="6154"/>
      <c r="CC120" s="6154"/>
      <c r="CD120" s="6154"/>
      <c r="CE120" s="6154"/>
      <c r="CF120" s="6154"/>
      <c r="CG120" s="6154"/>
      <c r="CH120" s="6154"/>
      <c r="CI120" s="6154"/>
      <c r="CJ120" s="6154"/>
      <c r="CK120" s="6154"/>
      <c r="CL120" s="6154"/>
      <c r="CM120" s="6154"/>
      <c r="CN120" s="6154"/>
      <c r="CO120" s="6155"/>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91" priority="2094" stopIfTrue="1">
      <formula>ISERROR(A1)</formula>
    </cfRule>
  </conditionalFormatting>
  <conditionalFormatting sqref="GH9:GH10">
    <cfRule type="containsErrors" dxfId="390" priority="2090" stopIfTrue="1">
      <formula>ISERROR(GH9)</formula>
    </cfRule>
  </conditionalFormatting>
  <conditionalFormatting sqref="H22:M22 H23:Q23">
    <cfRule type="containsErrors" dxfId="389" priority="2054" stopIfTrue="1">
      <formula>ISERROR(H22)</formula>
    </cfRule>
  </conditionalFormatting>
  <conditionalFormatting sqref="H33:M33 H34:Q34">
    <cfRule type="containsErrors" dxfId="388" priority="2052" stopIfTrue="1">
      <formula>ISERROR(H33)</formula>
    </cfRule>
  </conditionalFormatting>
  <conditionalFormatting sqref="H44:M44 H45:Q45">
    <cfRule type="containsErrors" dxfId="387" priority="2050" stopIfTrue="1">
      <formula>ISERROR(H44)</formula>
    </cfRule>
  </conditionalFormatting>
  <conditionalFormatting sqref="H55:M55 H56:Q56">
    <cfRule type="containsErrors" dxfId="386" priority="2048" stopIfTrue="1">
      <formula>ISERROR(H55)</formula>
    </cfRule>
  </conditionalFormatting>
  <conditionalFormatting sqref="H67:M67 H68:Q68">
    <cfRule type="containsErrors" dxfId="385" priority="2046" stopIfTrue="1">
      <formula>ISERROR(H67)</formula>
    </cfRule>
  </conditionalFormatting>
  <conditionalFormatting sqref="H78:M78 H79:Q79">
    <cfRule type="containsErrors" dxfId="384" priority="2044" stopIfTrue="1">
      <formula>ISERROR(H78)</formula>
    </cfRule>
  </conditionalFormatting>
  <conditionalFormatting sqref="H89:M89 H90:Q90">
    <cfRule type="containsErrors" dxfId="383" priority="2042" stopIfTrue="1">
      <formula>ISERROR(H89)</formula>
    </cfRule>
  </conditionalFormatting>
  <conditionalFormatting sqref="H100:M100 H101:Q101">
    <cfRule type="containsErrors" dxfId="382" priority="2040" stopIfTrue="1">
      <formula>ISERROR(H100)</formula>
    </cfRule>
  </conditionalFormatting>
  <conditionalFormatting sqref="H111:M111 H112:Q112">
    <cfRule type="containsErrors" dxfId="381" priority="2038" stopIfTrue="1">
      <formula>ISERROR(H111)</formula>
    </cfRule>
  </conditionalFormatting>
  <conditionalFormatting sqref="CZ9:GG9">
    <cfRule type="containsErrors" dxfId="380" priority="1889" stopIfTrue="1">
      <formula>ISERROR(CZ9)</formula>
    </cfRule>
  </conditionalFormatting>
  <conditionalFormatting sqref="CZ10:GG10">
    <cfRule type="containsErrors" dxfId="379" priority="1888" stopIfTrue="1">
      <formula>ISERROR(CZ10)</formula>
    </cfRule>
  </conditionalFormatting>
  <conditionalFormatting sqref="CZ11:GG11">
    <cfRule type="containsErrors" dxfId="378" priority="1887" stopIfTrue="1">
      <formula>ISERROR(CZ11)</formula>
    </cfRule>
  </conditionalFormatting>
  <conditionalFormatting sqref="C66:Q66">
    <cfRule type="containsErrors" dxfId="377" priority="1872" stopIfTrue="1">
      <formula>ISERROR(C66)</formula>
    </cfRule>
  </conditionalFormatting>
  <conditionalFormatting sqref="C10:Q10">
    <cfRule type="containsErrors" dxfId="376" priority="1869" stopIfTrue="1">
      <formula>ISERROR(C10)</formula>
    </cfRule>
  </conditionalFormatting>
  <conditionalFormatting sqref="O5">
    <cfRule type="containsErrors" dxfId="375" priority="1843" stopIfTrue="1">
      <formula>ISERROR(O5)</formula>
    </cfRule>
  </conditionalFormatting>
  <conditionalFormatting sqref="P11 P22 P33 P44 P55 P67 P78 P89 P100 P111">
    <cfRule type="expression" dxfId="374" priority="1585" stopIfTrue="1">
      <formula>$P$7&lt;&gt;"No"</formula>
    </cfRule>
    <cfRule type="containsText" dxfId="373" priority="1586" stopIfTrue="1" operator="containsText" text="Aprendido">
      <formula>NOT(ISERROR(SEARCH("Aprendido",P11)))</formula>
    </cfRule>
  </conditionalFormatting>
  <conditionalFormatting sqref="C11 C22 C33 C44 C55 C67 C78 C89 C100 C111">
    <cfRule type="expression" dxfId="372" priority="1014" stopIfTrue="1">
      <formula>$P$7="No"</formula>
    </cfRule>
    <cfRule type="expression" dxfId="371" priority="1015" stopIfTrue="1">
      <formula>AND($P$6&lt;&gt;0,I11&gt;$P$6)</formula>
    </cfRule>
    <cfRule type="expression" dxfId="370" priority="1016" stopIfTrue="1">
      <formula>M11="Vacío"</formula>
    </cfRule>
    <cfRule type="expression" dxfId="369" priority="1017" stopIfTrue="1">
      <formula>M11="Umbral"</formula>
    </cfRule>
    <cfRule type="expression" dxfId="368" priority="1018" stopIfTrue="1">
      <formula>M11="Tiempo"</formula>
    </cfRule>
    <cfRule type="expression" dxfId="367" priority="1019" stopIfTrue="1">
      <formula>M11="Sueños"</formula>
    </cfRule>
    <cfRule type="expression" dxfId="366" priority="1020" stopIfTrue="1">
      <formula>M11="Sangre"</formula>
    </cfRule>
    <cfRule type="expression" dxfId="365" priority="1021" stopIfTrue="1">
      <formula>M11="Conocimiento"</formula>
    </cfRule>
    <cfRule type="expression" dxfId="364" priority="1022" stopIfTrue="1">
      <formula>M11="Pecado"</formula>
    </cfRule>
    <cfRule type="expression" dxfId="363" priority="1023" stopIfTrue="1">
      <formula>M11="Paz"</formula>
    </cfRule>
    <cfRule type="expression" dxfId="362" priority="1024" stopIfTrue="1">
      <formula>M11="Nobleza"</formula>
    </cfRule>
    <cfRule type="expression" dxfId="361" priority="1025" stopIfTrue="1">
      <formula>M11="Musical"</formula>
    </cfRule>
    <cfRule type="expression" dxfId="360" priority="1026" stopIfTrue="1">
      <formula>M11="Muerte"</formula>
    </cfRule>
    <cfRule type="expression" dxfId="359" priority="1027" stopIfTrue="1">
      <formula>M11="Literae"</formula>
    </cfRule>
    <cfRule type="expression" dxfId="358" priority="1028" stopIfTrue="1">
      <formula>M11="Guerra"</formula>
    </cfRule>
    <cfRule type="expression" dxfId="357" priority="1029" stopIfTrue="1">
      <formula>M11="Caos"</formula>
    </cfRule>
    <cfRule type="expression" dxfId="356" priority="1030" stopIfTrue="1">
      <formula>M11="Nigromancia"</formula>
    </cfRule>
    <cfRule type="expression" dxfId="355" priority="1031" stopIfTrue="1">
      <formula>M11="Ilusión"</formula>
    </cfRule>
    <cfRule type="expression" dxfId="354" priority="1032" stopIfTrue="1">
      <formula>M11="Esencia"</formula>
    </cfRule>
    <cfRule type="expression" dxfId="353" priority="1033" stopIfTrue="1">
      <formula>M11="Tierra"</formula>
    </cfRule>
    <cfRule type="expression" dxfId="352" priority="1034" stopIfTrue="1">
      <formula>M11="Fuego"</formula>
    </cfRule>
    <cfRule type="expression" dxfId="351" priority="1035" stopIfTrue="1">
      <formula>M11="Agua"</formula>
    </cfRule>
    <cfRule type="expression" dxfId="350" priority="1036" stopIfTrue="1">
      <formula>M11="Aire"</formula>
    </cfRule>
    <cfRule type="expression" dxfId="349" priority="1037" stopIfTrue="1">
      <formula>M11="Destrucción"</formula>
    </cfRule>
    <cfRule type="expression" dxfId="348" priority="1038" stopIfTrue="1">
      <formula>M11="Creación"</formula>
    </cfRule>
    <cfRule type="expression" dxfId="347" priority="1039" stopIfTrue="1">
      <formula>M11="Oscuridad"</formula>
    </cfRule>
    <cfRule type="expression" dxfId="346"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5" priority="164" stopIfTrue="1">
      <formula>ISERROR(V11)</formula>
    </cfRule>
  </conditionalFormatting>
  <conditionalFormatting sqref="AA22:AF22 AA23:AJ23">
    <cfRule type="containsErrors" dxfId="344" priority="163" stopIfTrue="1">
      <formula>ISERROR(AA22)</formula>
    </cfRule>
  </conditionalFormatting>
  <conditionalFormatting sqref="AA33:AF33 AA34:AJ34">
    <cfRule type="containsErrors" dxfId="343" priority="162" stopIfTrue="1">
      <formula>ISERROR(AA33)</formula>
    </cfRule>
  </conditionalFormatting>
  <conditionalFormatting sqref="AA44:AF44 AA45:AJ45">
    <cfRule type="containsErrors" dxfId="342" priority="161" stopIfTrue="1">
      <formula>ISERROR(AA44)</formula>
    </cfRule>
  </conditionalFormatting>
  <conditionalFormatting sqref="AA55:AF55 AA56:AJ56">
    <cfRule type="containsErrors" dxfId="341" priority="160" stopIfTrue="1">
      <formula>ISERROR(AA55)</formula>
    </cfRule>
  </conditionalFormatting>
  <conditionalFormatting sqref="AA67:AF67 AA68:AJ68">
    <cfRule type="containsErrors" dxfId="340" priority="159" stopIfTrue="1">
      <formula>ISERROR(AA67)</formula>
    </cfRule>
  </conditionalFormatting>
  <conditionalFormatting sqref="AA78:AF78 AA79:AJ79">
    <cfRule type="containsErrors" dxfId="339" priority="158" stopIfTrue="1">
      <formula>ISERROR(AA78)</formula>
    </cfRule>
  </conditionalFormatting>
  <conditionalFormatting sqref="AA89:AF89 AA90:AJ90">
    <cfRule type="containsErrors" dxfId="338" priority="157" stopIfTrue="1">
      <formula>ISERROR(AA89)</formula>
    </cfRule>
  </conditionalFormatting>
  <conditionalFormatting sqref="AA100:AF100 AA101:AJ101">
    <cfRule type="containsErrors" dxfId="337" priority="156" stopIfTrue="1">
      <formula>ISERROR(AA100)</formula>
    </cfRule>
  </conditionalFormatting>
  <conditionalFormatting sqref="AA111:AF111 AA112:AJ112">
    <cfRule type="containsErrors" dxfId="336" priority="155" stopIfTrue="1">
      <formula>ISERROR(AA111)</formula>
    </cfRule>
  </conditionalFormatting>
  <conditionalFormatting sqref="V66:AJ66">
    <cfRule type="containsErrors" dxfId="335" priority="154" stopIfTrue="1">
      <formula>ISERROR(V66)</formula>
    </cfRule>
  </conditionalFormatting>
  <conditionalFormatting sqref="V10:AJ10">
    <cfRule type="containsErrors" dxfId="334" priority="153" stopIfTrue="1">
      <formula>ISERROR(V10)</formula>
    </cfRule>
  </conditionalFormatting>
  <conditionalFormatting sqref="AI11 AI22 AI33 AI44 AI55 AI67 AI78 AI89 AI100 AI111">
    <cfRule type="expression" dxfId="333" priority="151" stopIfTrue="1">
      <formula>$P$7&lt;&gt;"No"</formula>
    </cfRule>
    <cfRule type="containsText" dxfId="332" priority="152" stopIfTrue="1" operator="containsText" text="Aprendido">
      <formula>NOT(ISERROR(SEARCH("Aprendido",AI11)))</formula>
    </cfRule>
  </conditionalFormatting>
  <conditionalFormatting sqref="V11 V22 V33 V44 V55 V67 V78 V89 V100 V111">
    <cfRule type="expression" dxfId="331" priority="124" stopIfTrue="1">
      <formula>$P$7="No"</formula>
    </cfRule>
    <cfRule type="expression" dxfId="330" priority="125" stopIfTrue="1">
      <formula>AND($P$6&lt;&gt;0,AB11&gt;$P$6)</formula>
    </cfRule>
    <cfRule type="expression" dxfId="329" priority="126" stopIfTrue="1">
      <formula>AF11="Vacío"</formula>
    </cfRule>
    <cfRule type="expression" dxfId="328" priority="127" stopIfTrue="1">
      <formula>AF11="Umbral"</formula>
    </cfRule>
    <cfRule type="expression" dxfId="327" priority="128" stopIfTrue="1">
      <formula>AF11="Tiempo"</formula>
    </cfRule>
    <cfRule type="expression" dxfId="326" priority="129" stopIfTrue="1">
      <formula>AF11="Sueños"</formula>
    </cfRule>
    <cfRule type="expression" dxfId="325" priority="130" stopIfTrue="1">
      <formula>AF11="Sangre"</formula>
    </cfRule>
    <cfRule type="expression" dxfId="324" priority="131" stopIfTrue="1">
      <formula>AF11="Conocimiento"</formula>
    </cfRule>
    <cfRule type="expression" dxfId="323" priority="132" stopIfTrue="1">
      <formula>AF11="Pecado"</formula>
    </cfRule>
    <cfRule type="expression" dxfId="322" priority="133" stopIfTrue="1">
      <formula>AF11="Paz"</formula>
    </cfRule>
    <cfRule type="expression" dxfId="321" priority="134" stopIfTrue="1">
      <formula>AF11="Nobleza"</formula>
    </cfRule>
    <cfRule type="expression" dxfId="320" priority="135" stopIfTrue="1">
      <formula>AF11="Musical"</formula>
    </cfRule>
    <cfRule type="expression" dxfId="319" priority="136" stopIfTrue="1">
      <formula>AF11="Muerte"</formula>
    </cfRule>
    <cfRule type="expression" dxfId="318" priority="137" stopIfTrue="1">
      <formula>AF11="Literae"</formula>
    </cfRule>
    <cfRule type="expression" dxfId="317" priority="138" stopIfTrue="1">
      <formula>AF11="Guerra"</formula>
    </cfRule>
    <cfRule type="expression" dxfId="316" priority="139" stopIfTrue="1">
      <formula>AF11="Caos"</formula>
    </cfRule>
    <cfRule type="expression" dxfId="315" priority="140" stopIfTrue="1">
      <formula>AF11="Nigromancia"</formula>
    </cfRule>
    <cfRule type="expression" dxfId="314" priority="141" stopIfTrue="1">
      <formula>AF11="Ilusión"</formula>
    </cfRule>
    <cfRule type="expression" dxfId="313" priority="142" stopIfTrue="1">
      <formula>AF11="Esencia"</formula>
    </cfRule>
    <cfRule type="expression" dxfId="312" priority="143" stopIfTrue="1">
      <formula>AF11="Tierra"</formula>
    </cfRule>
    <cfRule type="expression" dxfId="311" priority="144" stopIfTrue="1">
      <formula>AF11="Fuego"</formula>
    </cfRule>
    <cfRule type="expression" dxfId="310" priority="145" stopIfTrue="1">
      <formula>AF11="Agua"</formula>
    </cfRule>
    <cfRule type="expression" dxfId="309" priority="146" stopIfTrue="1">
      <formula>AF11="Aire"</formula>
    </cfRule>
    <cfRule type="expression" dxfId="308" priority="147" stopIfTrue="1">
      <formula>AF11="Destrucción"</formula>
    </cfRule>
    <cfRule type="expression" dxfId="307" priority="148" stopIfTrue="1">
      <formula>AF11="Creación"</formula>
    </cfRule>
    <cfRule type="expression" dxfId="306" priority="149" stopIfTrue="1">
      <formula>AF11="Oscuridad"</formula>
    </cfRule>
    <cfRule type="expression" dxfId="305"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4" priority="123" stopIfTrue="1">
      <formula>ISERROR(AO11)</formula>
    </cfRule>
  </conditionalFormatting>
  <conditionalFormatting sqref="AT22:AY22 AT23:BC23">
    <cfRule type="containsErrors" dxfId="303" priority="122" stopIfTrue="1">
      <formula>ISERROR(AT22)</formula>
    </cfRule>
  </conditionalFormatting>
  <conditionalFormatting sqref="AT33:AY33 AT34:BC34">
    <cfRule type="containsErrors" dxfId="302" priority="121" stopIfTrue="1">
      <formula>ISERROR(AT33)</formula>
    </cfRule>
  </conditionalFormatting>
  <conditionalFormatting sqref="AT44:AY44 AT45:BC45">
    <cfRule type="containsErrors" dxfId="301" priority="120" stopIfTrue="1">
      <formula>ISERROR(AT44)</formula>
    </cfRule>
  </conditionalFormatting>
  <conditionalFormatting sqref="AT55:AY55 AT56:BC56">
    <cfRule type="containsErrors" dxfId="300" priority="119" stopIfTrue="1">
      <formula>ISERROR(AT55)</formula>
    </cfRule>
  </conditionalFormatting>
  <conditionalFormatting sqref="AT67:AY67 AT68:BC68">
    <cfRule type="containsErrors" dxfId="299" priority="118" stopIfTrue="1">
      <formula>ISERROR(AT67)</formula>
    </cfRule>
  </conditionalFormatting>
  <conditionalFormatting sqref="AT78:AY78 AT79:BC79">
    <cfRule type="containsErrors" dxfId="298" priority="117" stopIfTrue="1">
      <formula>ISERROR(AT78)</formula>
    </cfRule>
  </conditionalFormatting>
  <conditionalFormatting sqref="AT89:AY89 AT90:BC90">
    <cfRule type="containsErrors" dxfId="297" priority="116" stopIfTrue="1">
      <formula>ISERROR(AT89)</formula>
    </cfRule>
  </conditionalFormatting>
  <conditionalFormatting sqref="AT100:AY100 AT101:BC101">
    <cfRule type="containsErrors" dxfId="296" priority="115" stopIfTrue="1">
      <formula>ISERROR(AT100)</formula>
    </cfRule>
  </conditionalFormatting>
  <conditionalFormatting sqref="AT111:AY111 AT112:BC112">
    <cfRule type="containsErrors" dxfId="295" priority="114" stopIfTrue="1">
      <formula>ISERROR(AT111)</formula>
    </cfRule>
  </conditionalFormatting>
  <conditionalFormatting sqref="AO66:BC66">
    <cfRule type="containsErrors" dxfId="294" priority="113" stopIfTrue="1">
      <formula>ISERROR(AO66)</formula>
    </cfRule>
  </conditionalFormatting>
  <conditionalFormatting sqref="AO10:BC10">
    <cfRule type="containsErrors" dxfId="293" priority="112" stopIfTrue="1">
      <formula>ISERROR(AO10)</formula>
    </cfRule>
  </conditionalFormatting>
  <conditionalFormatting sqref="BB11 BB22 BB33 BB44 BB55 BB67 BB78 BB89 BB100 BB111">
    <cfRule type="expression" dxfId="292" priority="110" stopIfTrue="1">
      <formula>$P$7&lt;&gt;"No"</formula>
    </cfRule>
    <cfRule type="containsText" dxfId="291" priority="111" stopIfTrue="1" operator="containsText" text="Aprendido">
      <formula>NOT(ISERROR(SEARCH("Aprendido",BB11)))</formula>
    </cfRule>
  </conditionalFormatting>
  <conditionalFormatting sqref="AO11 AO22 AO33 AO44 AO55 AO67 AO78 AO89 AO100 AO111">
    <cfRule type="expression" dxfId="290" priority="83" stopIfTrue="1">
      <formula>$P$7="No"</formula>
    </cfRule>
    <cfRule type="expression" dxfId="289" priority="84" stopIfTrue="1">
      <formula>AND($P$6&lt;&gt;0,AU11&gt;$P$6)</formula>
    </cfRule>
    <cfRule type="expression" dxfId="288" priority="85" stopIfTrue="1">
      <formula>AY11="Vacío"</formula>
    </cfRule>
    <cfRule type="expression" dxfId="287" priority="86" stopIfTrue="1">
      <formula>AY11="Umbral"</formula>
    </cfRule>
    <cfRule type="expression" dxfId="286" priority="87" stopIfTrue="1">
      <formula>AY11="Tiempo"</formula>
    </cfRule>
    <cfRule type="expression" dxfId="285" priority="88" stopIfTrue="1">
      <formula>AY11="Sueños"</formula>
    </cfRule>
    <cfRule type="expression" dxfId="284" priority="89" stopIfTrue="1">
      <formula>AY11="Sangre"</formula>
    </cfRule>
    <cfRule type="expression" dxfId="283" priority="90" stopIfTrue="1">
      <formula>AY11="Conocimiento"</formula>
    </cfRule>
    <cfRule type="expression" dxfId="282" priority="91" stopIfTrue="1">
      <formula>AY11="Pecado"</formula>
    </cfRule>
    <cfRule type="expression" dxfId="281" priority="92" stopIfTrue="1">
      <formula>AY11="Paz"</formula>
    </cfRule>
    <cfRule type="expression" dxfId="280" priority="93" stopIfTrue="1">
      <formula>AY11="Nobleza"</formula>
    </cfRule>
    <cfRule type="expression" dxfId="279" priority="94" stopIfTrue="1">
      <formula>AY11="Musical"</formula>
    </cfRule>
    <cfRule type="expression" dxfId="278" priority="95" stopIfTrue="1">
      <formula>AY11="Muerte"</formula>
    </cfRule>
    <cfRule type="expression" dxfId="277" priority="96" stopIfTrue="1">
      <formula>AY11="Literae"</formula>
    </cfRule>
    <cfRule type="expression" dxfId="276" priority="97" stopIfTrue="1">
      <formula>AY11="Guerra"</formula>
    </cfRule>
    <cfRule type="expression" dxfId="275" priority="98" stopIfTrue="1">
      <formula>AY11="Caos"</formula>
    </cfRule>
    <cfRule type="expression" dxfId="274" priority="99" stopIfTrue="1">
      <formula>AY11="Nigromancia"</formula>
    </cfRule>
    <cfRule type="expression" dxfId="273" priority="100" stopIfTrue="1">
      <formula>AY11="Ilusión"</formula>
    </cfRule>
    <cfRule type="expression" dxfId="272" priority="101" stopIfTrue="1">
      <formula>AY11="Esencia"</formula>
    </cfRule>
    <cfRule type="expression" dxfId="271" priority="102" stopIfTrue="1">
      <formula>AY11="Tierra"</formula>
    </cfRule>
    <cfRule type="expression" dxfId="270" priority="103" stopIfTrue="1">
      <formula>AY11="Fuego"</formula>
    </cfRule>
    <cfRule type="expression" dxfId="269" priority="104" stopIfTrue="1">
      <formula>AY11="Agua"</formula>
    </cfRule>
    <cfRule type="expression" dxfId="268" priority="105" stopIfTrue="1">
      <formula>AY11="Aire"</formula>
    </cfRule>
    <cfRule type="expression" dxfId="267" priority="106" stopIfTrue="1">
      <formula>AY11="Destrucción"</formula>
    </cfRule>
    <cfRule type="expression" dxfId="266" priority="107" stopIfTrue="1">
      <formula>AY11="Creación"</formula>
    </cfRule>
    <cfRule type="expression" dxfId="265" priority="108" stopIfTrue="1">
      <formula>AY11="Oscuridad"</formula>
    </cfRule>
    <cfRule type="expression" dxfId="264"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3" priority="82" stopIfTrue="1">
      <formula>ISERROR(BH11)</formula>
    </cfRule>
  </conditionalFormatting>
  <conditionalFormatting sqref="BM22:BR22 BM23:BV23">
    <cfRule type="containsErrors" dxfId="262" priority="81" stopIfTrue="1">
      <formula>ISERROR(BM22)</formula>
    </cfRule>
  </conditionalFormatting>
  <conditionalFormatting sqref="BM33:BR33 BM34:BV34">
    <cfRule type="containsErrors" dxfId="261" priority="80" stopIfTrue="1">
      <formula>ISERROR(BM33)</formula>
    </cfRule>
  </conditionalFormatting>
  <conditionalFormatting sqref="BM44:BR44 BM45:BV45">
    <cfRule type="containsErrors" dxfId="260" priority="79" stopIfTrue="1">
      <formula>ISERROR(BM44)</formula>
    </cfRule>
  </conditionalFormatting>
  <conditionalFormatting sqref="BM55:BR55 BM56:BV56">
    <cfRule type="containsErrors" dxfId="259" priority="78" stopIfTrue="1">
      <formula>ISERROR(BM55)</formula>
    </cfRule>
  </conditionalFormatting>
  <conditionalFormatting sqref="BM67:BR67 BM68:BV68">
    <cfRule type="containsErrors" dxfId="258" priority="77" stopIfTrue="1">
      <formula>ISERROR(BM67)</formula>
    </cfRule>
  </conditionalFormatting>
  <conditionalFormatting sqref="BM78:BR78 BM79:BV79">
    <cfRule type="containsErrors" dxfId="257" priority="76" stopIfTrue="1">
      <formula>ISERROR(BM78)</formula>
    </cfRule>
  </conditionalFormatting>
  <conditionalFormatting sqref="BM89:BR89 BM90:BV90">
    <cfRule type="containsErrors" dxfId="256" priority="75" stopIfTrue="1">
      <formula>ISERROR(BM89)</formula>
    </cfRule>
  </conditionalFormatting>
  <conditionalFormatting sqref="BM100:BR100 BM101:BV101">
    <cfRule type="containsErrors" dxfId="255" priority="74" stopIfTrue="1">
      <formula>ISERROR(BM100)</formula>
    </cfRule>
  </conditionalFormatting>
  <conditionalFormatting sqref="BM111:BR111 BM112:BV112">
    <cfRule type="containsErrors" dxfId="254" priority="73" stopIfTrue="1">
      <formula>ISERROR(BM111)</formula>
    </cfRule>
  </conditionalFormatting>
  <conditionalFormatting sqref="BH66:BV66">
    <cfRule type="containsErrors" dxfId="253" priority="72" stopIfTrue="1">
      <formula>ISERROR(BH66)</formula>
    </cfRule>
  </conditionalFormatting>
  <conditionalFormatting sqref="BH10:BV10">
    <cfRule type="containsErrors" dxfId="252" priority="71" stopIfTrue="1">
      <formula>ISERROR(BH10)</formula>
    </cfRule>
  </conditionalFormatting>
  <conditionalFormatting sqref="BU11 BU22 BU33 BU44 BU55 BU67 BU78 BU89 BU100 BU111">
    <cfRule type="expression" dxfId="251" priority="69" stopIfTrue="1">
      <formula>$P$7&lt;&gt;"No"</formula>
    </cfRule>
    <cfRule type="containsText" dxfId="250" priority="70" stopIfTrue="1" operator="containsText" text="Aprendido">
      <formula>NOT(ISERROR(SEARCH("Aprendido",BU11)))</formula>
    </cfRule>
  </conditionalFormatting>
  <conditionalFormatting sqref="BH11 BH22 BH33 BH44 BH55 BH67 BH78 BH89 BH100 BH111">
    <cfRule type="expression" dxfId="249" priority="42" stopIfTrue="1">
      <formula>$P$7="No"</formula>
    </cfRule>
    <cfRule type="expression" dxfId="248" priority="43" stopIfTrue="1">
      <formula>AND($P$6&lt;&gt;0,BN11&gt;$P$6)</formula>
    </cfRule>
    <cfRule type="expression" dxfId="247" priority="44" stopIfTrue="1">
      <formula>BR11="Vacío"</formula>
    </cfRule>
    <cfRule type="expression" dxfId="246" priority="45" stopIfTrue="1">
      <formula>BR11="Umbral"</formula>
    </cfRule>
    <cfRule type="expression" dxfId="245" priority="46" stopIfTrue="1">
      <formula>BR11="Tiempo"</formula>
    </cfRule>
    <cfRule type="expression" dxfId="244" priority="47" stopIfTrue="1">
      <formula>BR11="Sueños"</formula>
    </cfRule>
    <cfRule type="expression" dxfId="243" priority="48" stopIfTrue="1">
      <formula>BR11="Sangre"</formula>
    </cfRule>
    <cfRule type="expression" dxfId="242" priority="49" stopIfTrue="1">
      <formula>BR11="Conocimiento"</formula>
    </cfRule>
    <cfRule type="expression" dxfId="241" priority="50" stopIfTrue="1">
      <formula>BR11="Pecado"</formula>
    </cfRule>
    <cfRule type="expression" dxfId="240" priority="51" stopIfTrue="1">
      <formula>BR11="Paz"</formula>
    </cfRule>
    <cfRule type="expression" dxfId="239" priority="52" stopIfTrue="1">
      <formula>BR11="Nobleza"</formula>
    </cfRule>
    <cfRule type="expression" dxfId="238" priority="53" stopIfTrue="1">
      <formula>BR11="Musical"</formula>
    </cfRule>
    <cfRule type="expression" dxfId="237" priority="54" stopIfTrue="1">
      <formula>BR11="Muerte"</formula>
    </cfRule>
    <cfRule type="expression" dxfId="236" priority="55" stopIfTrue="1">
      <formula>BR11="Literae"</formula>
    </cfRule>
    <cfRule type="expression" dxfId="235" priority="56" stopIfTrue="1">
      <formula>BR11="Guerra"</formula>
    </cfRule>
    <cfRule type="expression" dxfId="234" priority="57" stopIfTrue="1">
      <formula>BR11="Caos"</formula>
    </cfRule>
    <cfRule type="expression" dxfId="233" priority="58" stopIfTrue="1">
      <formula>BR11="Nigromancia"</formula>
    </cfRule>
    <cfRule type="expression" dxfId="232" priority="59" stopIfTrue="1">
      <formula>BR11="Ilusión"</formula>
    </cfRule>
    <cfRule type="expression" dxfId="231" priority="60" stopIfTrue="1">
      <formula>BR11="Esencia"</formula>
    </cfRule>
    <cfRule type="expression" dxfId="230" priority="61" stopIfTrue="1">
      <formula>BR11="Tierra"</formula>
    </cfRule>
    <cfRule type="expression" dxfId="229" priority="62" stopIfTrue="1">
      <formula>BR11="Fuego"</formula>
    </cfRule>
    <cfRule type="expression" dxfId="228" priority="63" stopIfTrue="1">
      <formula>BR11="Agua"</formula>
    </cfRule>
    <cfRule type="expression" dxfId="227" priority="64" stopIfTrue="1">
      <formula>BR11="Aire"</formula>
    </cfRule>
    <cfRule type="expression" dxfId="226" priority="65" stopIfTrue="1">
      <formula>BR11="Destrucción"</formula>
    </cfRule>
    <cfRule type="expression" dxfId="225" priority="66" stopIfTrue="1">
      <formula>BR11="Creación"</formula>
    </cfRule>
    <cfRule type="expression" dxfId="224" priority="67" stopIfTrue="1">
      <formula>BR11="Oscuridad"</formula>
    </cfRule>
    <cfRule type="expression" dxfId="223"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2" priority="41" stopIfTrue="1">
      <formula>ISERROR(CA11)</formula>
    </cfRule>
  </conditionalFormatting>
  <conditionalFormatting sqref="CF22:CK22 CF23:CO23">
    <cfRule type="containsErrors" dxfId="221" priority="40" stopIfTrue="1">
      <formula>ISERROR(CF22)</formula>
    </cfRule>
  </conditionalFormatting>
  <conditionalFormatting sqref="CF33:CK33 CF34:CO34">
    <cfRule type="containsErrors" dxfId="220" priority="39" stopIfTrue="1">
      <formula>ISERROR(CF33)</formula>
    </cfRule>
  </conditionalFormatting>
  <conditionalFormatting sqref="CF44:CK44 CF45:CO45">
    <cfRule type="containsErrors" dxfId="219" priority="38" stopIfTrue="1">
      <formula>ISERROR(CF44)</formula>
    </cfRule>
  </conditionalFormatting>
  <conditionalFormatting sqref="CF55:CK55 CF56:CO56">
    <cfRule type="containsErrors" dxfId="218" priority="37" stopIfTrue="1">
      <formula>ISERROR(CF55)</formula>
    </cfRule>
  </conditionalFormatting>
  <conditionalFormatting sqref="CF67:CK67 CF68:CO68">
    <cfRule type="containsErrors" dxfId="217" priority="36" stopIfTrue="1">
      <formula>ISERROR(CF67)</formula>
    </cfRule>
  </conditionalFormatting>
  <conditionalFormatting sqref="CF78:CK78 CF79:CO79">
    <cfRule type="containsErrors" dxfId="216" priority="35" stopIfTrue="1">
      <formula>ISERROR(CF78)</formula>
    </cfRule>
  </conditionalFormatting>
  <conditionalFormatting sqref="CF89:CK89 CF90:CO90">
    <cfRule type="containsErrors" dxfId="215" priority="34" stopIfTrue="1">
      <formula>ISERROR(CF89)</formula>
    </cfRule>
  </conditionalFormatting>
  <conditionalFormatting sqref="CF100:CK100 CF101:CO101">
    <cfRule type="containsErrors" dxfId="214" priority="33" stopIfTrue="1">
      <formula>ISERROR(CF100)</formula>
    </cfRule>
  </conditionalFormatting>
  <conditionalFormatting sqref="CF111:CK111 CF112:CO112">
    <cfRule type="containsErrors" dxfId="213" priority="32" stopIfTrue="1">
      <formula>ISERROR(CF111)</formula>
    </cfRule>
  </conditionalFormatting>
  <conditionalFormatting sqref="CA66:CO66">
    <cfRule type="containsErrors" dxfId="212" priority="31" stopIfTrue="1">
      <formula>ISERROR(CA66)</formula>
    </cfRule>
  </conditionalFormatting>
  <conditionalFormatting sqref="CA10:CO10">
    <cfRule type="containsErrors" dxfId="211" priority="30" stopIfTrue="1">
      <formula>ISERROR(CA10)</formula>
    </cfRule>
  </conditionalFormatting>
  <conditionalFormatting sqref="CN11 CN22 CN33 CN44 CN55 CN67 CN78 CN89 CN100 CN111">
    <cfRule type="expression" dxfId="210" priority="28" stopIfTrue="1">
      <formula>$P$7&lt;&gt;"No"</formula>
    </cfRule>
    <cfRule type="containsText" dxfId="209" priority="29" stopIfTrue="1" operator="containsText" text="Aprendido">
      <formula>NOT(ISERROR(SEARCH("Aprendido",CN11)))</formula>
    </cfRule>
  </conditionalFormatting>
  <conditionalFormatting sqref="CA11 CA22 CA33 CA44 CA55 CA67 CA78 CA89 CA100 CA111">
    <cfRule type="expression" dxfId="208" priority="1" stopIfTrue="1">
      <formula>$P$7="No"</formula>
    </cfRule>
    <cfRule type="expression" dxfId="207" priority="2" stopIfTrue="1">
      <formula>AND($P$6&lt;&gt;0,CG11&gt;$P$6)</formula>
    </cfRule>
    <cfRule type="expression" dxfId="206" priority="3" stopIfTrue="1">
      <formula>CK11="Vacío"</formula>
    </cfRule>
    <cfRule type="expression" dxfId="205" priority="4" stopIfTrue="1">
      <formula>CK11="Umbral"</formula>
    </cfRule>
    <cfRule type="expression" dxfId="204" priority="5" stopIfTrue="1">
      <formula>CK11="Tiempo"</formula>
    </cfRule>
    <cfRule type="expression" dxfId="203" priority="6" stopIfTrue="1">
      <formula>CK11="Sueños"</formula>
    </cfRule>
    <cfRule type="expression" dxfId="202" priority="7" stopIfTrue="1">
      <formula>CK11="Sangre"</formula>
    </cfRule>
    <cfRule type="expression" dxfId="201" priority="8" stopIfTrue="1">
      <formula>CK11="Conocimiento"</formula>
    </cfRule>
    <cfRule type="expression" dxfId="200" priority="9" stopIfTrue="1">
      <formula>CK11="Pecado"</formula>
    </cfRule>
    <cfRule type="expression" dxfId="199" priority="10" stopIfTrue="1">
      <formula>CK11="Paz"</formula>
    </cfRule>
    <cfRule type="expression" dxfId="198" priority="11" stopIfTrue="1">
      <formula>CK11="Nobleza"</formula>
    </cfRule>
    <cfRule type="expression" dxfId="197" priority="12" stopIfTrue="1">
      <formula>CK11="Musical"</formula>
    </cfRule>
    <cfRule type="expression" dxfId="196" priority="13" stopIfTrue="1">
      <formula>CK11="Muerte"</formula>
    </cfRule>
    <cfRule type="expression" dxfId="195" priority="14" stopIfTrue="1">
      <formula>CK11="Literae"</formula>
    </cfRule>
    <cfRule type="expression" dxfId="194" priority="15" stopIfTrue="1">
      <formula>CK11="Guerra"</formula>
    </cfRule>
    <cfRule type="expression" dxfId="193" priority="16" stopIfTrue="1">
      <formula>CK11="Caos"</formula>
    </cfRule>
    <cfRule type="expression" dxfId="192" priority="17" stopIfTrue="1">
      <formula>CK11="Nigromancia"</formula>
    </cfRule>
    <cfRule type="expression" dxfId="191" priority="18" stopIfTrue="1">
      <formula>CK11="Ilusión"</formula>
    </cfRule>
    <cfRule type="expression" dxfId="190" priority="19" stopIfTrue="1">
      <formula>CK11="Esencia"</formula>
    </cfRule>
    <cfRule type="expression" dxfId="189" priority="20" stopIfTrue="1">
      <formula>CK11="Tierra"</formula>
    </cfRule>
    <cfRule type="expression" dxfId="188" priority="21" stopIfTrue="1">
      <formula>CK11="Fuego"</formula>
    </cfRule>
    <cfRule type="expression" dxfId="187" priority="22" stopIfTrue="1">
      <formula>CK11="Agua"</formula>
    </cfRule>
    <cfRule type="expression" dxfId="186" priority="23" stopIfTrue="1">
      <formula>CK11="Aire"</formula>
    </cfRule>
    <cfRule type="expression" dxfId="185" priority="24" stopIfTrue="1">
      <formula>CK11="Destrucción"</formula>
    </cfRule>
    <cfRule type="expression" dxfId="184" priority="25" stopIfTrue="1">
      <formula>CK11="Creación"</formula>
    </cfRule>
    <cfRule type="expression" dxfId="183" priority="26" stopIfTrue="1">
      <formula>CK11="Oscuridad"</formula>
    </cfRule>
    <cfRule type="expression" dxfId="182"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A6" sqref="A6"/>
    </sheetView>
  </sheetViews>
  <sheetFormatPr baseColWidth="10"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52"/>
      <c r="D3" s="5053"/>
      <c r="E3" s="5053"/>
      <c r="F3" s="5053"/>
      <c r="G3" s="5053"/>
      <c r="H3" s="5053"/>
      <c r="I3" s="2265"/>
      <c r="J3" s="2265"/>
      <c r="K3" s="2265"/>
      <c r="L3" s="2265"/>
      <c r="M3" s="2265"/>
      <c r="N3" s="2265"/>
      <c r="O3" s="2265"/>
      <c r="P3" s="2265"/>
      <c r="Q3" s="2265"/>
      <c r="R3" s="2307"/>
      <c r="S3" s="2265"/>
      <c r="T3" s="2265"/>
      <c r="U3" s="2265"/>
      <c r="V3" s="2265"/>
      <c r="W3" s="2265"/>
      <c r="X3" s="2265"/>
      <c r="Y3" s="529"/>
      <c r="Z3" s="530"/>
      <c r="AA3" s="524"/>
      <c r="AB3" s="524"/>
      <c r="AC3" s="369"/>
      <c r="AD3" s="5052"/>
      <c r="AE3" s="5053"/>
      <c r="AF3" s="5053"/>
      <c r="AG3" s="5053"/>
      <c r="AH3" s="5053"/>
      <c r="AI3" s="5053"/>
      <c r="AJ3" s="2265"/>
      <c r="AK3" s="2265"/>
      <c r="AL3" s="2265"/>
      <c r="AM3" s="2265"/>
      <c r="AN3" s="2265"/>
      <c r="AO3" s="2265"/>
      <c r="AP3" s="2265"/>
      <c r="AQ3" s="2265"/>
      <c r="AR3" s="2265"/>
      <c r="AS3" s="2307"/>
      <c r="AT3" s="2265"/>
      <c r="AU3" s="2265"/>
      <c r="AV3" s="2265"/>
      <c r="AW3" s="2265"/>
      <c r="AX3" s="2265"/>
      <c r="AY3" s="2265"/>
      <c r="AZ3" s="529"/>
      <c r="BA3" s="530"/>
      <c r="BB3" s="524"/>
      <c r="BC3" s="524"/>
      <c r="BD3" s="369"/>
      <c r="BE3" s="5052"/>
      <c r="BF3" s="5053"/>
      <c r="BG3" s="5053"/>
      <c r="BH3" s="5053"/>
      <c r="BI3" s="5053"/>
      <c r="BJ3" s="5053"/>
      <c r="BK3" s="2265"/>
      <c r="BL3" s="2265"/>
      <c r="BM3" s="2265"/>
      <c r="BN3" s="2265"/>
      <c r="BO3" s="2265"/>
      <c r="BP3" s="2265"/>
      <c r="BQ3" s="2265"/>
      <c r="BR3" s="2265"/>
      <c r="BS3" s="2265"/>
      <c r="BT3" s="2307"/>
      <c r="BU3" s="2265"/>
      <c r="BV3" s="2265"/>
      <c r="BW3" s="2265"/>
      <c r="BX3" s="2265"/>
      <c r="BY3" s="2265"/>
      <c r="BZ3" s="2265"/>
      <c r="CA3" s="529"/>
      <c r="CB3" s="530"/>
      <c r="CC3" s="524"/>
      <c r="CD3" s="524"/>
      <c r="CE3" s="369"/>
      <c r="CF3" s="5052"/>
      <c r="CG3" s="5053"/>
      <c r="CH3" s="5053"/>
      <c r="CI3" s="5053"/>
      <c r="CJ3" s="5053"/>
      <c r="CK3" s="5053"/>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54"/>
      <c r="D4" s="5055"/>
      <c r="E4" s="5055"/>
      <c r="F4" s="5055"/>
      <c r="G4" s="5055"/>
      <c r="H4" s="5055"/>
      <c r="I4" s="2266"/>
      <c r="J4" s="5058" t="s">
        <v>1595</v>
      </c>
      <c r="K4" s="5059"/>
      <c r="L4" s="3233" t="str">
        <f>IF(OR(General!$F$22="",General!$F$22=0),"",General!$F$22)</f>
        <v/>
      </c>
      <c r="M4" s="3233"/>
      <c r="N4" s="3233"/>
      <c r="O4" s="3233"/>
      <c r="P4" s="3233"/>
      <c r="Q4" s="2308"/>
      <c r="R4" s="2309"/>
      <c r="S4" s="5050" t="s">
        <v>9572</v>
      </c>
      <c r="T4" s="5051"/>
      <c r="U4" s="5051"/>
      <c r="V4" s="5051"/>
      <c r="W4" s="5051"/>
      <c r="X4" s="5051"/>
      <c r="Y4" s="534"/>
      <c r="Z4" s="530"/>
      <c r="AA4" s="524"/>
      <c r="AB4" s="524"/>
      <c r="AC4" s="369"/>
      <c r="AD4" s="5054"/>
      <c r="AE4" s="5055"/>
      <c r="AF4" s="5055"/>
      <c r="AG4" s="5055"/>
      <c r="AH4" s="5055"/>
      <c r="AI4" s="5055"/>
      <c r="AJ4" s="2266"/>
      <c r="AK4" s="5058" t="s">
        <v>1595</v>
      </c>
      <c r="AL4" s="5059"/>
      <c r="AM4" s="3233" t="str">
        <f>IF(OR(General!$F$22="",General!$F$22=0),"",General!$F$22)</f>
        <v/>
      </c>
      <c r="AN4" s="3233"/>
      <c r="AO4" s="3233"/>
      <c r="AP4" s="3233"/>
      <c r="AQ4" s="3233"/>
      <c r="AR4" s="2308"/>
      <c r="AS4" s="2309"/>
      <c r="AT4" s="5050" t="s">
        <v>9573</v>
      </c>
      <c r="AU4" s="5051"/>
      <c r="AV4" s="5051"/>
      <c r="AW4" s="5051"/>
      <c r="AX4" s="5051"/>
      <c r="AY4" s="5051"/>
      <c r="AZ4" s="534"/>
      <c r="BA4" s="530"/>
      <c r="BB4" s="524"/>
      <c r="BC4" s="524"/>
      <c r="BD4" s="369"/>
      <c r="BE4" s="5054"/>
      <c r="BF4" s="5055"/>
      <c r="BG4" s="5055"/>
      <c r="BH4" s="5055"/>
      <c r="BI4" s="5055"/>
      <c r="BJ4" s="5055"/>
      <c r="BK4" s="2266"/>
      <c r="BL4" s="5058" t="s">
        <v>1595</v>
      </c>
      <c r="BM4" s="5059"/>
      <c r="BN4" s="3233" t="str">
        <f>IF(OR(General!$F$22="",General!$F$22=0),"",General!$F$22)</f>
        <v/>
      </c>
      <c r="BO4" s="3233"/>
      <c r="BP4" s="3233"/>
      <c r="BQ4" s="3233"/>
      <c r="BR4" s="3233"/>
      <c r="BS4" s="2308"/>
      <c r="BT4" s="2309"/>
      <c r="BU4" s="5050" t="s">
        <v>9574</v>
      </c>
      <c r="BV4" s="5051"/>
      <c r="BW4" s="5051"/>
      <c r="BX4" s="5051"/>
      <c r="BY4" s="5051"/>
      <c r="BZ4" s="5051"/>
      <c r="CA4" s="534"/>
      <c r="CB4" s="530"/>
      <c r="CC4" s="524"/>
      <c r="CD4" s="524"/>
      <c r="CE4" s="369"/>
      <c r="CF4" s="5054"/>
      <c r="CG4" s="5055"/>
      <c r="CH4" s="5055"/>
      <c r="CI4" s="5055"/>
      <c r="CJ4" s="5055"/>
      <c r="CK4" s="5055"/>
      <c r="CL4" s="2266"/>
      <c r="CM4" s="5058" t="s">
        <v>1595</v>
      </c>
      <c r="CN4" s="5059"/>
      <c r="CO4" s="3233" t="str">
        <f>IF(OR(General!$F$22="",General!$F$22=0),"",General!$F$22)</f>
        <v/>
      </c>
      <c r="CP4" s="3233"/>
      <c r="CQ4" s="3233"/>
      <c r="CR4" s="3233"/>
      <c r="CS4" s="3233"/>
      <c r="CT4" s="2308"/>
      <c r="CU4" s="2309"/>
      <c r="CV4" s="5050" t="s">
        <v>9575</v>
      </c>
      <c r="CW4" s="5051"/>
      <c r="CX4" s="5051"/>
      <c r="CY4" s="5051"/>
      <c r="CZ4" s="5051"/>
      <c r="DA4" s="5051"/>
      <c r="DB4" s="534"/>
      <c r="DC4" s="530"/>
      <c r="DD4" s="524"/>
    </row>
    <row r="5" spans="1:108" ht="12" customHeight="1" x14ac:dyDescent="0.2">
      <c r="A5" s="524"/>
      <c r="B5" s="369"/>
      <c r="C5" s="5054"/>
      <c r="D5" s="5055"/>
      <c r="E5" s="5055"/>
      <c r="F5" s="5055"/>
      <c r="G5" s="5055"/>
      <c r="H5" s="5055"/>
      <c r="I5" s="2266"/>
      <c r="J5" s="5046" t="s">
        <v>1596</v>
      </c>
      <c r="K5" s="5047"/>
      <c r="L5" s="5048" t="str">
        <f>Principal!$L$5</f>
        <v/>
      </c>
      <c r="M5" s="5049"/>
      <c r="N5" s="5049"/>
      <c r="O5" s="532" t="s">
        <v>1597</v>
      </c>
      <c r="P5" s="533" t="str">
        <f>Principal!$P$5</f>
        <v>0 + 1</v>
      </c>
      <c r="Q5" s="2266"/>
      <c r="R5" s="2309"/>
      <c r="S5" s="5051"/>
      <c r="T5" s="5051"/>
      <c r="U5" s="5051"/>
      <c r="V5" s="5051"/>
      <c r="W5" s="5051"/>
      <c r="X5" s="5051"/>
      <c r="Y5" s="534"/>
      <c r="Z5" s="530"/>
      <c r="AA5" s="524"/>
      <c r="AB5" s="524"/>
      <c r="AC5" s="369"/>
      <c r="AD5" s="5054"/>
      <c r="AE5" s="5055"/>
      <c r="AF5" s="5055"/>
      <c r="AG5" s="5055"/>
      <c r="AH5" s="5055"/>
      <c r="AI5" s="5055"/>
      <c r="AJ5" s="2266"/>
      <c r="AK5" s="5046" t="s">
        <v>1596</v>
      </c>
      <c r="AL5" s="5047"/>
      <c r="AM5" s="5048" t="str">
        <f>Principal!$L$5</f>
        <v/>
      </c>
      <c r="AN5" s="5049"/>
      <c r="AO5" s="5049"/>
      <c r="AP5" s="532" t="s">
        <v>1597</v>
      </c>
      <c r="AQ5" s="533" t="str">
        <f>Principal!$P$5</f>
        <v>0 + 1</v>
      </c>
      <c r="AR5" s="2266"/>
      <c r="AS5" s="2309"/>
      <c r="AT5" s="5051"/>
      <c r="AU5" s="5051"/>
      <c r="AV5" s="5051"/>
      <c r="AW5" s="5051"/>
      <c r="AX5" s="5051"/>
      <c r="AY5" s="5051"/>
      <c r="AZ5" s="534"/>
      <c r="BA5" s="530"/>
      <c r="BB5" s="524"/>
      <c r="BC5" s="524"/>
      <c r="BD5" s="369"/>
      <c r="BE5" s="5054"/>
      <c r="BF5" s="5055"/>
      <c r="BG5" s="5055"/>
      <c r="BH5" s="5055"/>
      <c r="BI5" s="5055"/>
      <c r="BJ5" s="5055"/>
      <c r="BK5" s="2266"/>
      <c r="BL5" s="5046" t="s">
        <v>1596</v>
      </c>
      <c r="BM5" s="5047"/>
      <c r="BN5" s="5048" t="str">
        <f>Principal!$L$5</f>
        <v/>
      </c>
      <c r="BO5" s="5049"/>
      <c r="BP5" s="5049"/>
      <c r="BQ5" s="532" t="s">
        <v>1597</v>
      </c>
      <c r="BR5" s="533" t="str">
        <f>Principal!$P$5</f>
        <v>0 + 1</v>
      </c>
      <c r="BS5" s="2266"/>
      <c r="BT5" s="2309"/>
      <c r="BU5" s="5051"/>
      <c r="BV5" s="5051"/>
      <c r="BW5" s="5051"/>
      <c r="BX5" s="5051"/>
      <c r="BY5" s="5051"/>
      <c r="BZ5" s="5051"/>
      <c r="CA5" s="534"/>
      <c r="CB5" s="530"/>
      <c r="CC5" s="524"/>
      <c r="CD5" s="524"/>
      <c r="CE5" s="369"/>
      <c r="CF5" s="5054"/>
      <c r="CG5" s="5055"/>
      <c r="CH5" s="5055"/>
      <c r="CI5" s="5055"/>
      <c r="CJ5" s="5055"/>
      <c r="CK5" s="5055"/>
      <c r="CL5" s="2266"/>
      <c r="CM5" s="5046" t="s">
        <v>1596</v>
      </c>
      <c r="CN5" s="5047"/>
      <c r="CO5" s="5048" t="str">
        <f>Principal!$L$5</f>
        <v/>
      </c>
      <c r="CP5" s="5049"/>
      <c r="CQ5" s="5049"/>
      <c r="CR5" s="532" t="s">
        <v>1597</v>
      </c>
      <c r="CS5" s="533" t="str">
        <f>Principal!$P$5</f>
        <v>0 + 1</v>
      </c>
      <c r="CT5" s="2266"/>
      <c r="CU5" s="2309"/>
      <c r="CV5" s="5051"/>
      <c r="CW5" s="5051"/>
      <c r="CX5" s="5051"/>
      <c r="CY5" s="5051"/>
      <c r="CZ5" s="5051"/>
      <c r="DA5" s="5051"/>
      <c r="DB5" s="534"/>
      <c r="DC5" s="530"/>
      <c r="DD5" s="524"/>
    </row>
    <row r="6" spans="1:108" ht="12" customHeight="1" x14ac:dyDescent="0.2">
      <c r="A6" s="524"/>
      <c r="B6" s="369"/>
      <c r="C6" s="5054"/>
      <c r="D6" s="5055"/>
      <c r="E6" s="5055"/>
      <c r="F6" s="5055"/>
      <c r="G6" s="5055"/>
      <c r="H6" s="5055"/>
      <c r="I6" s="2266"/>
      <c r="J6" s="5050" t="s">
        <v>6893</v>
      </c>
      <c r="K6" s="5051"/>
      <c r="L6" s="5051"/>
      <c r="M6" s="5051"/>
      <c r="N6" s="5051"/>
      <c r="O6" s="5051"/>
      <c r="P6" s="5051"/>
      <c r="Q6" s="2266"/>
      <c r="R6" s="2309"/>
      <c r="S6" s="6193"/>
      <c r="T6" s="6194"/>
      <c r="U6" s="6194"/>
      <c r="V6" s="6194"/>
      <c r="W6" s="6194"/>
      <c r="X6" s="6195"/>
      <c r="Y6" s="534"/>
      <c r="Z6" s="530"/>
      <c r="AA6" s="524"/>
      <c r="AB6" s="524"/>
      <c r="AC6" s="369"/>
      <c r="AD6" s="5054"/>
      <c r="AE6" s="5055"/>
      <c r="AF6" s="5055"/>
      <c r="AG6" s="5055"/>
      <c r="AH6" s="5055"/>
      <c r="AI6" s="5055"/>
      <c r="AJ6" s="2266"/>
      <c r="AK6" s="5050" t="s">
        <v>6893</v>
      </c>
      <c r="AL6" s="5051"/>
      <c r="AM6" s="5051"/>
      <c r="AN6" s="5051"/>
      <c r="AO6" s="5051"/>
      <c r="AP6" s="5051"/>
      <c r="AQ6" s="5051"/>
      <c r="AR6" s="2266"/>
      <c r="AS6" s="2309"/>
      <c r="AT6" s="6193"/>
      <c r="AU6" s="6194"/>
      <c r="AV6" s="6194"/>
      <c r="AW6" s="6194"/>
      <c r="AX6" s="6194"/>
      <c r="AY6" s="6195"/>
      <c r="AZ6" s="534"/>
      <c r="BA6" s="530"/>
      <c r="BB6" s="524"/>
      <c r="BC6" s="524"/>
      <c r="BD6" s="369"/>
      <c r="BE6" s="5054"/>
      <c r="BF6" s="5055"/>
      <c r="BG6" s="5055"/>
      <c r="BH6" s="5055"/>
      <c r="BI6" s="5055"/>
      <c r="BJ6" s="5055"/>
      <c r="BK6" s="2266"/>
      <c r="BL6" s="5050" t="s">
        <v>6893</v>
      </c>
      <c r="BM6" s="5051"/>
      <c r="BN6" s="5051"/>
      <c r="BO6" s="5051"/>
      <c r="BP6" s="5051"/>
      <c r="BQ6" s="5051"/>
      <c r="BR6" s="5051"/>
      <c r="BS6" s="2266"/>
      <c r="BT6" s="2309"/>
      <c r="BU6" s="6193"/>
      <c r="BV6" s="6194"/>
      <c r="BW6" s="6194"/>
      <c r="BX6" s="6194"/>
      <c r="BY6" s="6194"/>
      <c r="BZ6" s="6195"/>
      <c r="CA6" s="534"/>
      <c r="CB6" s="530"/>
      <c r="CC6" s="524"/>
      <c r="CD6" s="524"/>
      <c r="CE6" s="369"/>
      <c r="CF6" s="5054"/>
      <c r="CG6" s="5055"/>
      <c r="CH6" s="5055"/>
      <c r="CI6" s="5055"/>
      <c r="CJ6" s="5055"/>
      <c r="CK6" s="5055"/>
      <c r="CL6" s="2266"/>
      <c r="CM6" s="5050" t="s">
        <v>6893</v>
      </c>
      <c r="CN6" s="5051"/>
      <c r="CO6" s="5051"/>
      <c r="CP6" s="5051"/>
      <c r="CQ6" s="5051"/>
      <c r="CR6" s="5051"/>
      <c r="CS6" s="5051"/>
      <c r="CT6" s="2266"/>
      <c r="CU6" s="2309"/>
      <c r="CV6" s="6193"/>
      <c r="CW6" s="6194"/>
      <c r="CX6" s="6194"/>
      <c r="CY6" s="6194"/>
      <c r="CZ6" s="6194"/>
      <c r="DA6" s="6195"/>
      <c r="DB6" s="534"/>
      <c r="DC6" s="530"/>
      <c r="DD6" s="524"/>
    </row>
    <row r="7" spans="1:108" ht="12" customHeight="1" x14ac:dyDescent="0.2">
      <c r="A7" s="524"/>
      <c r="B7" s="369"/>
      <c r="C7" s="5054"/>
      <c r="D7" s="5055"/>
      <c r="E7" s="5055"/>
      <c r="F7" s="5055"/>
      <c r="G7" s="5055"/>
      <c r="H7" s="5055"/>
      <c r="I7" s="2266"/>
      <c r="J7" s="5051"/>
      <c r="K7" s="5051"/>
      <c r="L7" s="5051"/>
      <c r="M7" s="5051"/>
      <c r="N7" s="5051"/>
      <c r="O7" s="5051"/>
      <c r="P7" s="5051"/>
      <c r="Q7" s="2266"/>
      <c r="R7" s="2309"/>
      <c r="S7" s="6196"/>
      <c r="T7" s="6197"/>
      <c r="U7" s="6197"/>
      <c r="V7" s="6197"/>
      <c r="W7" s="6197"/>
      <c r="X7" s="6198"/>
      <c r="Y7" s="2310" t="e">
        <f>MATCH(S6,'Tablas psiquica'!$U$113:$AH$113,0)</f>
        <v>#N/A</v>
      </c>
      <c r="Z7" s="530"/>
      <c r="AA7" s="524"/>
      <c r="AB7" s="524"/>
      <c r="AC7" s="369"/>
      <c r="AD7" s="5054"/>
      <c r="AE7" s="5055"/>
      <c r="AF7" s="5055"/>
      <c r="AG7" s="5055"/>
      <c r="AH7" s="5055"/>
      <c r="AI7" s="5055"/>
      <c r="AJ7" s="2266"/>
      <c r="AK7" s="5051"/>
      <c r="AL7" s="5051"/>
      <c r="AM7" s="5051"/>
      <c r="AN7" s="5051"/>
      <c r="AO7" s="5051"/>
      <c r="AP7" s="5051"/>
      <c r="AQ7" s="5051"/>
      <c r="AR7" s="2266"/>
      <c r="AS7" s="2309"/>
      <c r="AT7" s="6196"/>
      <c r="AU7" s="6197"/>
      <c r="AV7" s="6197"/>
      <c r="AW7" s="6197"/>
      <c r="AX7" s="6197"/>
      <c r="AY7" s="6198"/>
      <c r="AZ7" s="2310" t="e">
        <f>MATCH(AT6,'Tablas psiquica'!$U$113:$AH$113,0)</f>
        <v>#N/A</v>
      </c>
      <c r="BA7" s="530"/>
      <c r="BB7" s="524"/>
      <c r="BC7" s="524"/>
      <c r="BD7" s="369"/>
      <c r="BE7" s="5054"/>
      <c r="BF7" s="5055"/>
      <c r="BG7" s="5055"/>
      <c r="BH7" s="5055"/>
      <c r="BI7" s="5055"/>
      <c r="BJ7" s="5055"/>
      <c r="BK7" s="2266"/>
      <c r="BL7" s="5051"/>
      <c r="BM7" s="5051"/>
      <c r="BN7" s="5051"/>
      <c r="BO7" s="5051"/>
      <c r="BP7" s="5051"/>
      <c r="BQ7" s="5051"/>
      <c r="BR7" s="5051"/>
      <c r="BS7" s="2266"/>
      <c r="BT7" s="2309"/>
      <c r="BU7" s="6196"/>
      <c r="BV7" s="6197"/>
      <c r="BW7" s="6197"/>
      <c r="BX7" s="6197"/>
      <c r="BY7" s="6197"/>
      <c r="BZ7" s="6198"/>
      <c r="CA7" s="2310" t="e">
        <f>MATCH(BU6,'Tablas psiquica'!$U$113:$AH$113,0)</f>
        <v>#N/A</v>
      </c>
      <c r="CB7" s="530"/>
      <c r="CC7" s="524"/>
      <c r="CD7" s="524"/>
      <c r="CE7" s="369"/>
      <c r="CF7" s="5054"/>
      <c r="CG7" s="5055"/>
      <c r="CH7" s="5055"/>
      <c r="CI7" s="5055"/>
      <c r="CJ7" s="5055"/>
      <c r="CK7" s="5055"/>
      <c r="CL7" s="2266"/>
      <c r="CM7" s="5051"/>
      <c r="CN7" s="5051"/>
      <c r="CO7" s="5051"/>
      <c r="CP7" s="5051"/>
      <c r="CQ7" s="5051"/>
      <c r="CR7" s="5051"/>
      <c r="CS7" s="5051"/>
      <c r="CT7" s="2266"/>
      <c r="CU7" s="2309"/>
      <c r="CV7" s="6196"/>
      <c r="CW7" s="6197"/>
      <c r="CX7" s="6197"/>
      <c r="CY7" s="6197"/>
      <c r="CZ7" s="6197"/>
      <c r="DA7" s="6198"/>
      <c r="DB7" s="2310" t="e">
        <f>MATCH(CV6,'Tablas psiquica'!$U$113:$AH$113,0)</f>
        <v>#N/A</v>
      </c>
      <c r="DC7" s="530"/>
      <c r="DD7" s="524"/>
    </row>
    <row r="8" spans="1:108" ht="12" customHeight="1" thickBot="1" x14ac:dyDescent="0.25">
      <c r="A8" s="524"/>
      <c r="B8" s="369"/>
      <c r="C8" s="5056"/>
      <c r="D8" s="5057"/>
      <c r="E8" s="5057"/>
      <c r="F8" s="5057"/>
      <c r="G8" s="5057"/>
      <c r="H8" s="5057"/>
      <c r="I8" s="2267"/>
      <c r="J8" s="2267"/>
      <c r="K8" s="2267"/>
      <c r="L8" s="2267"/>
      <c r="M8" s="2267"/>
      <c r="N8" s="2267"/>
      <c r="O8" s="2267"/>
      <c r="P8" s="2267"/>
      <c r="Q8" s="2267"/>
      <c r="R8" s="2311"/>
      <c r="S8" s="2267"/>
      <c r="T8" s="2267"/>
      <c r="U8" s="2267"/>
      <c r="V8" s="2267"/>
      <c r="W8" s="2267"/>
      <c r="X8" s="2267"/>
      <c r="Y8" s="536"/>
      <c r="Z8" s="530"/>
      <c r="AA8" s="524"/>
      <c r="AB8" s="524"/>
      <c r="AC8" s="369"/>
      <c r="AD8" s="5056"/>
      <c r="AE8" s="5057"/>
      <c r="AF8" s="5057"/>
      <c r="AG8" s="5057"/>
      <c r="AH8" s="5057"/>
      <c r="AI8" s="5057"/>
      <c r="AJ8" s="2267"/>
      <c r="AK8" s="2267"/>
      <c r="AL8" s="2267"/>
      <c r="AM8" s="2267"/>
      <c r="AN8" s="2267"/>
      <c r="AO8" s="2267"/>
      <c r="AP8" s="2267"/>
      <c r="AQ8" s="2267"/>
      <c r="AR8" s="2267"/>
      <c r="AS8" s="2311"/>
      <c r="AT8" s="2267"/>
      <c r="AU8" s="2267"/>
      <c r="AV8" s="2267"/>
      <c r="AW8" s="2267"/>
      <c r="AX8" s="2267"/>
      <c r="AY8" s="2267"/>
      <c r="AZ8" s="536"/>
      <c r="BA8" s="530"/>
      <c r="BB8" s="524"/>
      <c r="BC8" s="524"/>
      <c r="BD8" s="369"/>
      <c r="BE8" s="5056"/>
      <c r="BF8" s="5057"/>
      <c r="BG8" s="5057"/>
      <c r="BH8" s="5057"/>
      <c r="BI8" s="5057"/>
      <c r="BJ8" s="5057"/>
      <c r="BK8" s="2267"/>
      <c r="BL8" s="2267"/>
      <c r="BM8" s="2267"/>
      <c r="BN8" s="2267"/>
      <c r="BO8" s="2267"/>
      <c r="BP8" s="2267"/>
      <c r="BQ8" s="2267"/>
      <c r="BR8" s="2267"/>
      <c r="BS8" s="2267"/>
      <c r="BT8" s="2311"/>
      <c r="BU8" s="2267"/>
      <c r="BV8" s="2267"/>
      <c r="BW8" s="2267"/>
      <c r="BX8" s="2267"/>
      <c r="BY8" s="2267"/>
      <c r="BZ8" s="2267"/>
      <c r="CA8" s="536"/>
      <c r="CB8" s="530"/>
      <c r="CC8" s="524"/>
      <c r="CD8" s="524"/>
      <c r="CE8" s="369"/>
      <c r="CF8" s="5056"/>
      <c r="CG8" s="5057"/>
      <c r="CH8" s="5057"/>
      <c r="CI8" s="5057"/>
      <c r="CJ8" s="5057"/>
      <c r="CK8" s="5057"/>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186">
        <f>IFERROR(INDEX('Tablas psiquica'!$U$115:$AH$129,B10,$Y$7),0)</f>
        <v>0</v>
      </c>
      <c r="D10" s="6187"/>
      <c r="E10" s="6187"/>
      <c r="F10" s="6187"/>
      <c r="G10" s="6187"/>
      <c r="H10" s="6187"/>
      <c r="I10" s="563" t="s">
        <v>1676</v>
      </c>
      <c r="J10" s="865">
        <v>2</v>
      </c>
      <c r="K10" s="6186">
        <f>IFERROR(INDEX('Tablas psiquica'!$U$115:$AH$129,J10,$Y$7),0)</f>
        <v>0</v>
      </c>
      <c r="L10" s="6187"/>
      <c r="M10" s="6187"/>
      <c r="N10" s="6187"/>
      <c r="O10" s="6187"/>
      <c r="P10" s="6187"/>
      <c r="Q10" s="563" t="s">
        <v>1676</v>
      </c>
      <c r="R10" s="1450">
        <v>3</v>
      </c>
      <c r="S10" s="6186">
        <f>IFERROR(INDEX('Tablas psiquica'!$U$115:$AH$129,R10,$Y$7),0)</f>
        <v>0</v>
      </c>
      <c r="T10" s="6187"/>
      <c r="U10" s="6187"/>
      <c r="V10" s="6187"/>
      <c r="W10" s="6187"/>
      <c r="X10" s="6187"/>
      <c r="Y10" s="563" t="s">
        <v>1676</v>
      </c>
      <c r="Z10" s="530"/>
      <c r="AA10" s="524"/>
      <c r="AB10" s="524"/>
      <c r="AC10" s="1450">
        <v>1</v>
      </c>
      <c r="AD10" s="6186">
        <f>IFERROR(INDEX('Tablas psiquica'!$U$115:$AH$129,AC10,$AZ$7),0)</f>
        <v>0</v>
      </c>
      <c r="AE10" s="6187"/>
      <c r="AF10" s="6187"/>
      <c r="AG10" s="6187"/>
      <c r="AH10" s="6187"/>
      <c r="AI10" s="6187"/>
      <c r="AJ10" s="563" t="s">
        <v>1676</v>
      </c>
      <c r="AK10" s="865">
        <v>2</v>
      </c>
      <c r="AL10" s="6186">
        <f>IFERROR(INDEX('Tablas psiquica'!$U$115:$AH$129,AK10,$AZ$7),0)</f>
        <v>0</v>
      </c>
      <c r="AM10" s="6187"/>
      <c r="AN10" s="6187"/>
      <c r="AO10" s="6187"/>
      <c r="AP10" s="6187"/>
      <c r="AQ10" s="6187"/>
      <c r="AR10" s="563" t="s">
        <v>1676</v>
      </c>
      <c r="AS10" s="1450">
        <v>3</v>
      </c>
      <c r="AT10" s="6186">
        <f>IFERROR(INDEX('Tablas psiquica'!$U$115:$AH$129,AS10,$AZ$7),0)</f>
        <v>0</v>
      </c>
      <c r="AU10" s="6187"/>
      <c r="AV10" s="6187"/>
      <c r="AW10" s="6187"/>
      <c r="AX10" s="6187"/>
      <c r="AY10" s="6187"/>
      <c r="AZ10" s="563" t="s">
        <v>1676</v>
      </c>
      <c r="BA10" s="530"/>
      <c r="BB10" s="524"/>
      <c r="BC10" s="524"/>
      <c r="BD10" s="1450">
        <v>1</v>
      </c>
      <c r="BE10" s="6186">
        <f>IFERROR(INDEX('Tablas psiquica'!$U$115:$AH$129,BD10,$CA$7),0)</f>
        <v>0</v>
      </c>
      <c r="BF10" s="6187"/>
      <c r="BG10" s="6187"/>
      <c r="BH10" s="6187"/>
      <c r="BI10" s="6187"/>
      <c r="BJ10" s="6187"/>
      <c r="BK10" s="563" t="s">
        <v>1676</v>
      </c>
      <c r="BL10" s="865">
        <v>2</v>
      </c>
      <c r="BM10" s="6186">
        <f>IFERROR(INDEX('Tablas psiquica'!$U$115:$AH$129,BL10,$CA$7),0)</f>
        <v>0</v>
      </c>
      <c r="BN10" s="6187"/>
      <c r="BO10" s="6187"/>
      <c r="BP10" s="6187"/>
      <c r="BQ10" s="6187"/>
      <c r="BR10" s="6187"/>
      <c r="BS10" s="563" t="s">
        <v>1676</v>
      </c>
      <c r="BT10" s="1450">
        <v>3</v>
      </c>
      <c r="BU10" s="6186">
        <f>IFERROR(INDEX('Tablas psiquica'!$U$115:$AH$129,BT10,$CA$7),0)</f>
        <v>0</v>
      </c>
      <c r="BV10" s="6187"/>
      <c r="BW10" s="6187"/>
      <c r="BX10" s="6187"/>
      <c r="BY10" s="6187"/>
      <c r="BZ10" s="6187"/>
      <c r="CA10" s="563" t="s">
        <v>1676</v>
      </c>
      <c r="CB10" s="530"/>
      <c r="CC10" s="524"/>
      <c r="CD10" s="524"/>
      <c r="CE10" s="1450">
        <v>1</v>
      </c>
      <c r="CF10" s="6186">
        <f>IFERROR(INDEX('Tablas psiquica'!$U$115:$AH$129,CE10,$DB$7),0)</f>
        <v>0</v>
      </c>
      <c r="CG10" s="6187"/>
      <c r="CH10" s="6187"/>
      <c r="CI10" s="6187"/>
      <c r="CJ10" s="6187"/>
      <c r="CK10" s="6187"/>
      <c r="CL10" s="563" t="s">
        <v>1676</v>
      </c>
      <c r="CM10" s="865">
        <v>2</v>
      </c>
      <c r="CN10" s="6186">
        <f>IFERROR(INDEX('Tablas psiquica'!$U$115:$AH$129,CM10,$DB$7),0)</f>
        <v>0</v>
      </c>
      <c r="CO10" s="6187"/>
      <c r="CP10" s="6187"/>
      <c r="CQ10" s="6187"/>
      <c r="CR10" s="6187"/>
      <c r="CS10" s="6187"/>
      <c r="CT10" s="563" t="s">
        <v>1676</v>
      </c>
      <c r="CU10" s="1450">
        <v>3</v>
      </c>
      <c r="CV10" s="6186">
        <f>IFERROR(INDEX('Tablas psiquica'!$U$115:$AH$129,CU10,$DB$7),0)</f>
        <v>0</v>
      </c>
      <c r="CW10" s="6187"/>
      <c r="CX10" s="6187"/>
      <c r="CY10" s="6187"/>
      <c r="CZ10" s="6187"/>
      <c r="DA10" s="6187"/>
      <c r="DB10" s="563" t="s">
        <v>1676</v>
      </c>
      <c r="DC10" s="530"/>
      <c r="DD10" s="524"/>
    </row>
    <row r="11" spans="1:108" ht="12" customHeight="1" x14ac:dyDescent="0.2">
      <c r="A11" s="524"/>
      <c r="B11" s="1450"/>
      <c r="C11" s="6188" t="str">
        <f>IF(C10=0,"",VLOOKUP(C10,'Tablas psiquica'!$D$7:$R$145,2,FALSE))</f>
        <v/>
      </c>
      <c r="D11" s="6189"/>
      <c r="E11" s="6189"/>
      <c r="F11" s="6190"/>
      <c r="G11" s="6191" t="str">
        <f>IF(C10=0,"",IF(INDEX('Tablas psiquica'!$U$114:$AH$114,1,$Y$7)=0,"No Accesible",IF(ISNA(VLOOKUP(C10,Psíquicos!$V$11:$Z$64,1,0)),"Accesible CV","Aprendido")))</f>
        <v/>
      </c>
      <c r="H11" s="6192"/>
      <c r="I11" s="2313" t="str">
        <f>IF(C10=0,"",VLOOKUP(C10,'Tablas psiquica'!$D$7:$R$145,3,FALSE))</f>
        <v/>
      </c>
      <c r="J11" s="865"/>
      <c r="K11" s="6188" t="str">
        <f>IF(K10=0,"",VLOOKUP(K10,'Tablas psiquica'!$D$7:$R$145,2,FALSE))</f>
        <v/>
      </c>
      <c r="L11" s="6189"/>
      <c r="M11" s="6189"/>
      <c r="N11" s="6190"/>
      <c r="O11" s="6191" t="str">
        <f>IF(K10=0,"",IF(INDEX('Tablas psiquica'!$U$114:$AH$114,1,$Y$7)=0,"No Accesible",IF(ISNA(VLOOKUP(K10,Psíquicos!$V$11:$Z$64,1,0)),"Accesible CV","Aprendido")))</f>
        <v/>
      </c>
      <c r="P11" s="6192"/>
      <c r="Q11" s="2313" t="str">
        <f>IF(K10=0,"",VLOOKUP(K10,'Tablas psiquica'!$D$7:$R$145,3,FALSE))</f>
        <v/>
      </c>
      <c r="R11" s="1450"/>
      <c r="S11" s="6188" t="str">
        <f>IF(S10=0,"",VLOOKUP(S10,'Tablas psiquica'!$D$7:$R$145,2,FALSE))</f>
        <v/>
      </c>
      <c r="T11" s="6189"/>
      <c r="U11" s="6189"/>
      <c r="V11" s="6190"/>
      <c r="W11" s="6191" t="str">
        <f>IF(S10=0,"",IF(INDEX('Tablas psiquica'!$U$114:$AH$114,1,$Y$7)=0,"No Accesible",IF(ISNA(VLOOKUP(S10,Psíquicos!$V$11:$Z$64,1,0)),"Accesible CV","Aprendido")))</f>
        <v/>
      </c>
      <c r="X11" s="6192"/>
      <c r="Y11" s="2313" t="str">
        <f>IF(S10=0,"",VLOOKUP(S10,'Tablas psiquica'!$D$7:$R$145,3,FALSE))</f>
        <v/>
      </c>
      <c r="Z11" s="530"/>
      <c r="AA11" s="524"/>
      <c r="AB11" s="524"/>
      <c r="AC11" s="1450"/>
      <c r="AD11" s="6188" t="str">
        <f>IF(AD10=0,"",VLOOKUP(AD10,'Tablas psiquica'!$D$7:$R$145,2,FALSE))</f>
        <v/>
      </c>
      <c r="AE11" s="6189"/>
      <c r="AF11" s="6189"/>
      <c r="AG11" s="6190"/>
      <c r="AH11" s="6191" t="str">
        <f>IF(AD10=0,"",IF(INDEX('Tablas psiquica'!$U$114:$AH$114,1,$AZ$7)=0,"No Accesible",IF(ISNA(VLOOKUP(AD10,Psíquicos!$V$11:$Z$64,1,0)),"Accesible CV","Aprendido")))</f>
        <v/>
      </c>
      <c r="AI11" s="6192"/>
      <c r="AJ11" s="2313" t="str">
        <f>IF(AD10=0,"",VLOOKUP(AD10,'Tablas psiquica'!$D$7:$R$145,3,FALSE))</f>
        <v/>
      </c>
      <c r="AK11" s="865"/>
      <c r="AL11" s="6188" t="str">
        <f>IF(AL10=0,"",VLOOKUP(AL10,'Tablas psiquica'!$D$7:$R$145,2,FALSE))</f>
        <v/>
      </c>
      <c r="AM11" s="6189"/>
      <c r="AN11" s="6189"/>
      <c r="AO11" s="6190"/>
      <c r="AP11" s="6191" t="str">
        <f>IF(AL10=0,"",IF(INDEX('Tablas psiquica'!$U$114:$AH$114,1,$AZ$7)=0,"No Accesible",IF(ISNA(VLOOKUP(AL10,Psíquicos!$V$11:$Z$64,1,0)),"Accesible CV","Aprendido")))</f>
        <v/>
      </c>
      <c r="AQ11" s="6192"/>
      <c r="AR11" s="2313" t="str">
        <f>IF(AL10=0,"",VLOOKUP(AL10,'Tablas psiquica'!$D$7:$R$145,3,FALSE))</f>
        <v/>
      </c>
      <c r="AS11" s="1450"/>
      <c r="AT11" s="6188" t="str">
        <f>IF(AT10=0,"",VLOOKUP(AT10,'Tablas psiquica'!$D$7:$R$145,2,FALSE))</f>
        <v/>
      </c>
      <c r="AU11" s="6189"/>
      <c r="AV11" s="6189"/>
      <c r="AW11" s="6190"/>
      <c r="AX11" s="6191" t="str">
        <f>IF(AT10=0,"",IF(INDEX('Tablas psiquica'!$U$114:$AH$114,1,$AZ$7)=0,"No Accesible",IF(ISNA(VLOOKUP(AT10,Psíquicos!$V$11:$Z$64,1,0)),"Accesible CV","Aprendido")))</f>
        <v/>
      </c>
      <c r="AY11" s="6192"/>
      <c r="AZ11" s="2313" t="str">
        <f>IF(AT10=0,"",VLOOKUP(AT10,'Tablas psiquica'!$D$7:$R$145,3,FALSE))</f>
        <v/>
      </c>
      <c r="BA11" s="530"/>
      <c r="BB11" s="524"/>
      <c r="BC11" s="524"/>
      <c r="BD11" s="1450"/>
      <c r="BE11" s="6188" t="str">
        <f>IF(BE10=0,"",VLOOKUP(BE10,'Tablas psiquica'!$D$7:$R$145,2,FALSE))</f>
        <v/>
      </c>
      <c r="BF11" s="6189"/>
      <c r="BG11" s="6189"/>
      <c r="BH11" s="6190"/>
      <c r="BI11" s="6191" t="str">
        <f>IF(BE10=0,"",IF(INDEX('Tablas psiquica'!$U$114:$AH$114,1,$CA$7)=0,"No Accesible",IF(ISNA(VLOOKUP(BE10,Psíquicos!$V$11:$Z$64,1,0)),"Accesible CV","Aprendido")))</f>
        <v/>
      </c>
      <c r="BJ11" s="6192"/>
      <c r="BK11" s="2313" t="str">
        <f>IF(BE10=0,"",VLOOKUP(BE10,'Tablas psiquica'!$D$7:$R$145,3,FALSE))</f>
        <v/>
      </c>
      <c r="BL11" s="865"/>
      <c r="BM11" s="6188" t="str">
        <f>IF(BM10=0,"",VLOOKUP(BM10,'Tablas psiquica'!$D$7:$R$145,2,FALSE))</f>
        <v/>
      </c>
      <c r="BN11" s="6189"/>
      <c r="BO11" s="6189"/>
      <c r="BP11" s="6190"/>
      <c r="BQ11" s="6191" t="str">
        <f>IF(BM10=0,"",IF(INDEX('Tablas psiquica'!$U$114:$AH$114,1,$CA$7)=0,"No Accesible",IF(ISNA(VLOOKUP(BM10,Psíquicos!$V$11:$Z$64,1,0)),"Accesible CV","Aprendido")))</f>
        <v/>
      </c>
      <c r="BR11" s="6192"/>
      <c r="BS11" s="2313" t="str">
        <f>IF(BM10=0,"",VLOOKUP(BM10,'Tablas psiquica'!$D$7:$R$145,3,FALSE))</f>
        <v/>
      </c>
      <c r="BT11" s="1450"/>
      <c r="BU11" s="6188" t="str">
        <f>IF(BU10=0,"",VLOOKUP(BU10,'Tablas psiquica'!$D$7:$R$145,2,FALSE))</f>
        <v/>
      </c>
      <c r="BV11" s="6189"/>
      <c r="BW11" s="6189"/>
      <c r="BX11" s="6190"/>
      <c r="BY11" s="6191" t="str">
        <f>IF(BU10=0,"",IF(INDEX('Tablas psiquica'!$U$114:$AH$114,1,$CA$7)=0,"No Accesible",IF(ISNA(VLOOKUP(BU10,Psíquicos!$V$11:$Z$64,1,0)),"Accesible CV","Aprendido")))</f>
        <v/>
      </c>
      <c r="BZ11" s="6192"/>
      <c r="CA11" s="2313" t="str">
        <f>IF(BU10=0,"",VLOOKUP(BU10,'Tablas psiquica'!$D$7:$R$145,3,FALSE))</f>
        <v/>
      </c>
      <c r="CB11" s="530"/>
      <c r="CC11" s="524"/>
      <c r="CD11" s="524"/>
      <c r="CE11" s="1450"/>
      <c r="CF11" s="6188" t="str">
        <f>IF(CF10=0,"",VLOOKUP(CF10,'Tablas psiquica'!$D$7:$R$145,2,FALSE))</f>
        <v/>
      </c>
      <c r="CG11" s="6189"/>
      <c r="CH11" s="6189"/>
      <c r="CI11" s="6190"/>
      <c r="CJ11" s="6191" t="str">
        <f>IF(CF10=0,"",IF(INDEX('Tablas psiquica'!$U$114:$AH$114,1,$DB$7)=0,"No Accesible",IF(ISNA(VLOOKUP(CF10,Psíquicos!$V$11:$Z$64,1,0)),"Accesible CV","Aprendido")))</f>
        <v/>
      </c>
      <c r="CK11" s="6192"/>
      <c r="CL11" s="2313" t="str">
        <f>IF(CF10=0,"",VLOOKUP(CF10,'Tablas psiquica'!$D$7:$R$145,3,FALSE))</f>
        <v/>
      </c>
      <c r="CM11" s="865"/>
      <c r="CN11" s="6188" t="str">
        <f>IF(CN10=0,"",VLOOKUP(CN10,'Tablas psiquica'!$D$7:$R$145,2,FALSE))</f>
        <v/>
      </c>
      <c r="CO11" s="6189"/>
      <c r="CP11" s="6189"/>
      <c r="CQ11" s="6190"/>
      <c r="CR11" s="6191" t="str">
        <f>IF(CN10=0,"",IF(INDEX('Tablas psiquica'!$U$114:$AH$114,1,$DB$7)=0,"No Accesible",IF(ISNA(VLOOKUP(CN10,Psíquicos!$V$11:$Z$64,1,0)),"Accesible CV","Aprendido")))</f>
        <v/>
      </c>
      <c r="CS11" s="6192"/>
      <c r="CT11" s="2313" t="str">
        <f>IF(CN10=0,"",VLOOKUP(CN10,'Tablas psiquica'!$D$7:$R$145,3,FALSE))</f>
        <v/>
      </c>
      <c r="CU11" s="1450"/>
      <c r="CV11" s="6188" t="str">
        <f>IF(CV10=0,"",VLOOKUP(CV10,'Tablas psiquica'!$D$7:$R$145,2,FALSE))</f>
        <v/>
      </c>
      <c r="CW11" s="6189"/>
      <c r="CX11" s="6189"/>
      <c r="CY11" s="6190"/>
      <c r="CZ11" s="6191" t="str">
        <f>IF(CV10=0,"",IF(INDEX('Tablas psiquica'!$U$114:$AH$114,1,$DB$7)=0,"No Accesible",IF(ISNA(VLOOKUP(CV10,Psíquicos!$V$11:$Z$64,1,0)),"Accesible CV","Aprendido")))</f>
        <v/>
      </c>
      <c r="DA11" s="6192"/>
      <c r="DB11" s="2313" t="str">
        <f>IF(CV10=0,"",VLOOKUP(CV10,'Tablas psiquica'!$D$7:$R$145,3,FALSE))</f>
        <v/>
      </c>
      <c r="DC11" s="530"/>
      <c r="DD11" s="524"/>
    </row>
    <row r="12" spans="1:108" ht="12" customHeight="1" x14ac:dyDescent="0.2">
      <c r="A12" s="524"/>
      <c r="B12" s="1450"/>
      <c r="C12" s="2271">
        <v>20</v>
      </c>
      <c r="D12" s="6203" t="s">
        <v>2001</v>
      </c>
      <c r="E12" s="6133"/>
      <c r="F12" s="6204" t="str">
        <f>IF(C10=0,"",VLOOKUP(C10,'Tablas psiquica'!$D$7:$R$145,6,FALSE))</f>
        <v/>
      </c>
      <c r="G12" s="6205"/>
      <c r="H12" s="6205"/>
      <c r="I12" s="5767"/>
      <c r="J12" s="865"/>
      <c r="K12" s="2271">
        <v>20</v>
      </c>
      <c r="L12" s="6203" t="s">
        <v>2001</v>
      </c>
      <c r="M12" s="6133"/>
      <c r="N12" s="6204" t="str">
        <f>IF(K10=0,"",VLOOKUP(K10,'Tablas psiquica'!$D$7:$R$145,6,FALSE))</f>
        <v/>
      </c>
      <c r="O12" s="6205"/>
      <c r="P12" s="6205"/>
      <c r="Q12" s="5767"/>
      <c r="R12" s="1450"/>
      <c r="S12" s="2271">
        <v>20</v>
      </c>
      <c r="T12" s="6203" t="s">
        <v>2001</v>
      </c>
      <c r="U12" s="6133"/>
      <c r="V12" s="6204" t="str">
        <f>IF(S10=0,"",VLOOKUP(S10,'Tablas psiquica'!$D$7:$R$145,6,FALSE))</f>
        <v/>
      </c>
      <c r="W12" s="6205"/>
      <c r="X12" s="6205"/>
      <c r="Y12" s="5767"/>
      <c r="Z12" s="530"/>
      <c r="AA12" s="524"/>
      <c r="AB12" s="524"/>
      <c r="AC12" s="1450"/>
      <c r="AD12" s="2271">
        <v>20</v>
      </c>
      <c r="AE12" s="6203" t="s">
        <v>2001</v>
      </c>
      <c r="AF12" s="6133"/>
      <c r="AG12" s="6204" t="str">
        <f>IF(AD10=0,"",VLOOKUP(AD10,'Tablas psiquica'!$D$7:$R$145,6,FALSE))</f>
        <v/>
      </c>
      <c r="AH12" s="6205"/>
      <c r="AI12" s="6205"/>
      <c r="AJ12" s="5767"/>
      <c r="AK12" s="865"/>
      <c r="AL12" s="2271">
        <v>20</v>
      </c>
      <c r="AM12" s="6203" t="s">
        <v>2001</v>
      </c>
      <c r="AN12" s="6133"/>
      <c r="AO12" s="6204" t="str">
        <f>IF(AL10=0,"",VLOOKUP(AL10,'Tablas psiquica'!$D$7:$R$145,6,FALSE))</f>
        <v/>
      </c>
      <c r="AP12" s="6205"/>
      <c r="AQ12" s="6205"/>
      <c r="AR12" s="5767"/>
      <c r="AS12" s="1450"/>
      <c r="AT12" s="2271">
        <v>20</v>
      </c>
      <c r="AU12" s="6203" t="s">
        <v>2001</v>
      </c>
      <c r="AV12" s="6133"/>
      <c r="AW12" s="6204" t="str">
        <f>IF(AT10=0,"",VLOOKUP(AT10,'Tablas psiquica'!$D$7:$R$145,6,FALSE))</f>
        <v/>
      </c>
      <c r="AX12" s="6205"/>
      <c r="AY12" s="6205"/>
      <c r="AZ12" s="5767"/>
      <c r="BA12" s="530"/>
      <c r="BB12" s="524"/>
      <c r="BC12" s="524"/>
      <c r="BD12" s="1450"/>
      <c r="BE12" s="2271">
        <v>20</v>
      </c>
      <c r="BF12" s="6203" t="s">
        <v>2001</v>
      </c>
      <c r="BG12" s="6133"/>
      <c r="BH12" s="6204" t="str">
        <f>IF(BE10=0,"",VLOOKUP(BE10,'Tablas psiquica'!$D$7:$R$145,6,FALSE))</f>
        <v/>
      </c>
      <c r="BI12" s="6205"/>
      <c r="BJ12" s="6205"/>
      <c r="BK12" s="5767"/>
      <c r="BL12" s="865"/>
      <c r="BM12" s="2271">
        <v>20</v>
      </c>
      <c r="BN12" s="6203" t="s">
        <v>2001</v>
      </c>
      <c r="BO12" s="6133"/>
      <c r="BP12" s="6204" t="str">
        <f>IF(BM10=0,"",VLOOKUP(BM10,'Tablas psiquica'!$D$7:$R$145,6,FALSE))</f>
        <v/>
      </c>
      <c r="BQ12" s="6205"/>
      <c r="BR12" s="6205"/>
      <c r="BS12" s="5767"/>
      <c r="BT12" s="1450"/>
      <c r="BU12" s="2271">
        <v>20</v>
      </c>
      <c r="BV12" s="6203" t="s">
        <v>2001</v>
      </c>
      <c r="BW12" s="6133"/>
      <c r="BX12" s="6204" t="str">
        <f>IF(BU10=0,"",VLOOKUP(BU10,'Tablas psiquica'!$D$7:$R$145,6,FALSE))</f>
        <v/>
      </c>
      <c r="BY12" s="6205"/>
      <c r="BZ12" s="6205"/>
      <c r="CA12" s="5767"/>
      <c r="CB12" s="530"/>
      <c r="CC12" s="524"/>
      <c r="CD12" s="524"/>
      <c r="CE12" s="1450"/>
      <c r="CF12" s="2271">
        <v>20</v>
      </c>
      <c r="CG12" s="6203" t="s">
        <v>2001</v>
      </c>
      <c r="CH12" s="6133"/>
      <c r="CI12" s="6204" t="str">
        <f>IF(CF10=0,"",VLOOKUP(CF10,'Tablas psiquica'!$D$7:$R$145,6,FALSE))</f>
        <v/>
      </c>
      <c r="CJ12" s="6205"/>
      <c r="CK12" s="6205"/>
      <c r="CL12" s="5767"/>
      <c r="CM12" s="865"/>
      <c r="CN12" s="2271">
        <v>20</v>
      </c>
      <c r="CO12" s="6203" t="s">
        <v>2001</v>
      </c>
      <c r="CP12" s="6133"/>
      <c r="CQ12" s="6204" t="str">
        <f>IF(CN10=0,"",VLOOKUP(CN10,'Tablas psiquica'!$D$7:$R$145,6,FALSE))</f>
        <v/>
      </c>
      <c r="CR12" s="6205"/>
      <c r="CS12" s="6205"/>
      <c r="CT12" s="5767"/>
      <c r="CU12" s="1450"/>
      <c r="CV12" s="2271">
        <v>20</v>
      </c>
      <c r="CW12" s="6203" t="s">
        <v>2001</v>
      </c>
      <c r="CX12" s="6133"/>
      <c r="CY12" s="6204" t="str">
        <f>IF(CV10=0,"",VLOOKUP(CV10,'Tablas psiquica'!$D$7:$R$145,6,FALSE))</f>
        <v/>
      </c>
      <c r="CZ12" s="6205"/>
      <c r="DA12" s="6205"/>
      <c r="DB12" s="5767"/>
      <c r="DC12" s="530"/>
      <c r="DD12" s="524"/>
    </row>
    <row r="13" spans="1:108" ht="12" customHeight="1" x14ac:dyDescent="0.2">
      <c r="A13" s="524"/>
      <c r="B13" s="1450"/>
      <c r="C13" s="2270">
        <v>40</v>
      </c>
      <c r="D13" s="6199" t="s">
        <v>2005</v>
      </c>
      <c r="E13" s="6138"/>
      <c r="F13" s="6200" t="str">
        <f>IF(C10=0,"",VLOOKUP(C10,'Tablas psiquica'!$D$7:$R$145,7,FALSE))</f>
        <v/>
      </c>
      <c r="G13" s="6201"/>
      <c r="H13" s="6201"/>
      <c r="I13" s="6202"/>
      <c r="J13" s="865"/>
      <c r="K13" s="2270">
        <v>40</v>
      </c>
      <c r="L13" s="6199" t="s">
        <v>2005</v>
      </c>
      <c r="M13" s="6138"/>
      <c r="N13" s="6200" t="str">
        <f>IF(K10=0,"",VLOOKUP(K10,'Tablas psiquica'!$D$7:$R$145,7,FALSE))</f>
        <v/>
      </c>
      <c r="O13" s="6201"/>
      <c r="P13" s="6201"/>
      <c r="Q13" s="6202"/>
      <c r="R13" s="1450"/>
      <c r="S13" s="2270">
        <v>40</v>
      </c>
      <c r="T13" s="6199" t="s">
        <v>2005</v>
      </c>
      <c r="U13" s="6138"/>
      <c r="V13" s="6200" t="str">
        <f>IF(S10=0,"",VLOOKUP(S10,'Tablas psiquica'!$D$7:$R$145,7,FALSE))</f>
        <v/>
      </c>
      <c r="W13" s="6201"/>
      <c r="X13" s="6201"/>
      <c r="Y13" s="6202"/>
      <c r="Z13" s="530"/>
      <c r="AA13" s="524"/>
      <c r="AB13" s="524"/>
      <c r="AC13" s="1450"/>
      <c r="AD13" s="2270">
        <v>40</v>
      </c>
      <c r="AE13" s="6199" t="s">
        <v>2005</v>
      </c>
      <c r="AF13" s="6138"/>
      <c r="AG13" s="6200" t="str">
        <f>IF(AD10=0,"",VLOOKUP(AD10,'Tablas psiquica'!$D$7:$R$145,7,FALSE))</f>
        <v/>
      </c>
      <c r="AH13" s="6201"/>
      <c r="AI13" s="6201"/>
      <c r="AJ13" s="6202"/>
      <c r="AK13" s="865"/>
      <c r="AL13" s="2270">
        <v>40</v>
      </c>
      <c r="AM13" s="6199" t="s">
        <v>2005</v>
      </c>
      <c r="AN13" s="6138"/>
      <c r="AO13" s="6200" t="str">
        <f>IF(AL10=0,"",VLOOKUP(AL10,'Tablas psiquica'!$D$7:$R$145,7,FALSE))</f>
        <v/>
      </c>
      <c r="AP13" s="6201"/>
      <c r="AQ13" s="6201"/>
      <c r="AR13" s="6202"/>
      <c r="AS13" s="1450"/>
      <c r="AT13" s="2270">
        <v>40</v>
      </c>
      <c r="AU13" s="6199" t="s">
        <v>2005</v>
      </c>
      <c r="AV13" s="6138"/>
      <c r="AW13" s="6200" t="str">
        <f>IF(AT10=0,"",VLOOKUP(AT10,'Tablas psiquica'!$D$7:$R$145,7,FALSE))</f>
        <v/>
      </c>
      <c r="AX13" s="6201"/>
      <c r="AY13" s="6201"/>
      <c r="AZ13" s="6202"/>
      <c r="BA13" s="530"/>
      <c r="BB13" s="524"/>
      <c r="BC13" s="524"/>
      <c r="BD13" s="1450"/>
      <c r="BE13" s="2270">
        <v>40</v>
      </c>
      <c r="BF13" s="6199" t="s">
        <v>2005</v>
      </c>
      <c r="BG13" s="6138"/>
      <c r="BH13" s="6200" t="str">
        <f>IF(BE10=0,"",VLOOKUP(BE10,'Tablas psiquica'!$D$7:$R$145,7,FALSE))</f>
        <v/>
      </c>
      <c r="BI13" s="6201"/>
      <c r="BJ13" s="6201"/>
      <c r="BK13" s="6202"/>
      <c r="BL13" s="865"/>
      <c r="BM13" s="2270">
        <v>40</v>
      </c>
      <c r="BN13" s="6199" t="s">
        <v>2005</v>
      </c>
      <c r="BO13" s="6138"/>
      <c r="BP13" s="6200" t="str">
        <f>IF(BM10=0,"",VLOOKUP(BM10,'Tablas psiquica'!$D$7:$R$145,7,FALSE))</f>
        <v/>
      </c>
      <c r="BQ13" s="6201"/>
      <c r="BR13" s="6201"/>
      <c r="BS13" s="6202"/>
      <c r="BT13" s="1450"/>
      <c r="BU13" s="2270">
        <v>40</v>
      </c>
      <c r="BV13" s="6199" t="s">
        <v>2005</v>
      </c>
      <c r="BW13" s="6138"/>
      <c r="BX13" s="6200" t="str">
        <f>IF(BU10=0,"",VLOOKUP(BU10,'Tablas psiquica'!$D$7:$R$145,7,FALSE))</f>
        <v/>
      </c>
      <c r="BY13" s="6201"/>
      <c r="BZ13" s="6201"/>
      <c r="CA13" s="6202"/>
      <c r="CB13" s="530"/>
      <c r="CC13" s="524"/>
      <c r="CD13" s="524"/>
      <c r="CE13" s="1450"/>
      <c r="CF13" s="2270">
        <v>40</v>
      </c>
      <c r="CG13" s="6199" t="s">
        <v>2005</v>
      </c>
      <c r="CH13" s="6138"/>
      <c r="CI13" s="6200" t="str">
        <f>IF(CF10=0,"",VLOOKUP(CF10,'Tablas psiquica'!$D$7:$R$145,7,FALSE))</f>
        <v/>
      </c>
      <c r="CJ13" s="6201"/>
      <c r="CK13" s="6201"/>
      <c r="CL13" s="6202"/>
      <c r="CM13" s="865"/>
      <c r="CN13" s="2270">
        <v>40</v>
      </c>
      <c r="CO13" s="6199" t="s">
        <v>2005</v>
      </c>
      <c r="CP13" s="6138"/>
      <c r="CQ13" s="6200" t="str">
        <f>IF(CN10=0,"",VLOOKUP(CN10,'Tablas psiquica'!$D$7:$R$145,7,FALSE))</f>
        <v/>
      </c>
      <c r="CR13" s="6201"/>
      <c r="CS13" s="6201"/>
      <c r="CT13" s="6202"/>
      <c r="CU13" s="1450"/>
      <c r="CV13" s="2270">
        <v>40</v>
      </c>
      <c r="CW13" s="6199" t="s">
        <v>2005</v>
      </c>
      <c r="CX13" s="6138"/>
      <c r="CY13" s="6200" t="str">
        <f>IF(CV10=0,"",VLOOKUP(CV10,'Tablas psiquica'!$D$7:$R$145,7,FALSE))</f>
        <v/>
      </c>
      <c r="CZ13" s="6201"/>
      <c r="DA13" s="6201"/>
      <c r="DB13" s="6202"/>
      <c r="DC13" s="530"/>
      <c r="DD13" s="524"/>
    </row>
    <row r="14" spans="1:108" ht="12" customHeight="1" x14ac:dyDescent="0.2">
      <c r="A14" s="524"/>
      <c r="B14" s="1450"/>
      <c r="C14" s="2271">
        <v>80</v>
      </c>
      <c r="D14" s="6203" t="s">
        <v>2008</v>
      </c>
      <c r="E14" s="6133"/>
      <c r="F14" s="6204" t="str">
        <f>IF(C10=0,"",VLOOKUP(C10,'Tablas psiquica'!$D$7:$R$145,8,FALSE))</f>
        <v/>
      </c>
      <c r="G14" s="6205"/>
      <c r="H14" s="6205"/>
      <c r="I14" s="5767"/>
      <c r="J14" s="865"/>
      <c r="K14" s="2271">
        <v>80</v>
      </c>
      <c r="L14" s="6203" t="s">
        <v>2008</v>
      </c>
      <c r="M14" s="6133"/>
      <c r="N14" s="6204" t="str">
        <f>IF(K10=0,"",VLOOKUP(K10,'Tablas psiquica'!$D$7:$R$145,8,FALSE))</f>
        <v/>
      </c>
      <c r="O14" s="6205"/>
      <c r="P14" s="6205"/>
      <c r="Q14" s="5767"/>
      <c r="R14" s="1450"/>
      <c r="S14" s="2271">
        <v>80</v>
      </c>
      <c r="T14" s="6203" t="s">
        <v>2008</v>
      </c>
      <c r="U14" s="6133"/>
      <c r="V14" s="6204" t="str">
        <f>IF(S10=0,"",VLOOKUP(S10,'Tablas psiquica'!$D$7:$R$145,8,FALSE))</f>
        <v/>
      </c>
      <c r="W14" s="6205"/>
      <c r="X14" s="6205"/>
      <c r="Y14" s="5767"/>
      <c r="Z14" s="530"/>
      <c r="AA14" s="524"/>
      <c r="AB14" s="524"/>
      <c r="AC14" s="1450"/>
      <c r="AD14" s="2271">
        <v>80</v>
      </c>
      <c r="AE14" s="6203" t="s">
        <v>2008</v>
      </c>
      <c r="AF14" s="6133"/>
      <c r="AG14" s="6204" t="str">
        <f>IF(AD10=0,"",VLOOKUP(AD10,'Tablas psiquica'!$D$7:$R$145,8,FALSE))</f>
        <v/>
      </c>
      <c r="AH14" s="6205"/>
      <c r="AI14" s="6205"/>
      <c r="AJ14" s="5767"/>
      <c r="AK14" s="865"/>
      <c r="AL14" s="2271">
        <v>80</v>
      </c>
      <c r="AM14" s="6203" t="s">
        <v>2008</v>
      </c>
      <c r="AN14" s="6133"/>
      <c r="AO14" s="6204" t="str">
        <f>IF(AL10=0,"",VLOOKUP(AL10,'Tablas psiquica'!$D$7:$R$145,8,FALSE))</f>
        <v/>
      </c>
      <c r="AP14" s="6205"/>
      <c r="AQ14" s="6205"/>
      <c r="AR14" s="5767"/>
      <c r="AS14" s="1450"/>
      <c r="AT14" s="2271">
        <v>80</v>
      </c>
      <c r="AU14" s="6203" t="s">
        <v>2008</v>
      </c>
      <c r="AV14" s="6133"/>
      <c r="AW14" s="6204" t="str">
        <f>IF(AT10=0,"",VLOOKUP(AT10,'Tablas psiquica'!$D$7:$R$145,8,FALSE))</f>
        <v/>
      </c>
      <c r="AX14" s="6205"/>
      <c r="AY14" s="6205"/>
      <c r="AZ14" s="5767"/>
      <c r="BA14" s="530"/>
      <c r="BB14" s="524"/>
      <c r="BC14" s="524"/>
      <c r="BD14" s="1450"/>
      <c r="BE14" s="2271">
        <v>80</v>
      </c>
      <c r="BF14" s="6203" t="s">
        <v>2008</v>
      </c>
      <c r="BG14" s="6133"/>
      <c r="BH14" s="6204" t="str">
        <f>IF(BE10=0,"",VLOOKUP(BE10,'Tablas psiquica'!$D$7:$R$145,8,FALSE))</f>
        <v/>
      </c>
      <c r="BI14" s="6205"/>
      <c r="BJ14" s="6205"/>
      <c r="BK14" s="5767"/>
      <c r="BL14" s="865"/>
      <c r="BM14" s="2271">
        <v>80</v>
      </c>
      <c r="BN14" s="6203" t="s">
        <v>2008</v>
      </c>
      <c r="BO14" s="6133"/>
      <c r="BP14" s="6204" t="str">
        <f>IF(BM10=0,"",VLOOKUP(BM10,'Tablas psiquica'!$D$7:$R$145,8,FALSE))</f>
        <v/>
      </c>
      <c r="BQ14" s="6205"/>
      <c r="BR14" s="6205"/>
      <c r="BS14" s="5767"/>
      <c r="BT14" s="1450"/>
      <c r="BU14" s="2271">
        <v>80</v>
      </c>
      <c r="BV14" s="6203" t="s">
        <v>2008</v>
      </c>
      <c r="BW14" s="6133"/>
      <c r="BX14" s="6204" t="str">
        <f>IF(BU10=0,"",VLOOKUP(BU10,'Tablas psiquica'!$D$7:$R$145,8,FALSE))</f>
        <v/>
      </c>
      <c r="BY14" s="6205"/>
      <c r="BZ14" s="6205"/>
      <c r="CA14" s="5767"/>
      <c r="CB14" s="530"/>
      <c r="CC14" s="524"/>
      <c r="CD14" s="524"/>
      <c r="CE14" s="1450"/>
      <c r="CF14" s="2271">
        <v>80</v>
      </c>
      <c r="CG14" s="6203" t="s">
        <v>2008</v>
      </c>
      <c r="CH14" s="6133"/>
      <c r="CI14" s="6204" t="str">
        <f>IF(CF10=0,"",VLOOKUP(CF10,'Tablas psiquica'!$D$7:$R$145,8,FALSE))</f>
        <v/>
      </c>
      <c r="CJ14" s="6205"/>
      <c r="CK14" s="6205"/>
      <c r="CL14" s="5767"/>
      <c r="CM14" s="865"/>
      <c r="CN14" s="2271">
        <v>80</v>
      </c>
      <c r="CO14" s="6203" t="s">
        <v>2008</v>
      </c>
      <c r="CP14" s="6133"/>
      <c r="CQ14" s="6204" t="str">
        <f>IF(CN10=0,"",VLOOKUP(CN10,'Tablas psiquica'!$D$7:$R$145,8,FALSE))</f>
        <v/>
      </c>
      <c r="CR14" s="6205"/>
      <c r="CS14" s="6205"/>
      <c r="CT14" s="5767"/>
      <c r="CU14" s="1450"/>
      <c r="CV14" s="2271">
        <v>80</v>
      </c>
      <c r="CW14" s="6203" t="s">
        <v>2008</v>
      </c>
      <c r="CX14" s="6133"/>
      <c r="CY14" s="6204" t="str">
        <f>IF(CV10=0,"",VLOOKUP(CV10,'Tablas psiquica'!$D$7:$R$145,8,FALSE))</f>
        <v/>
      </c>
      <c r="CZ14" s="6205"/>
      <c r="DA14" s="6205"/>
      <c r="DB14" s="5767"/>
      <c r="DC14" s="530"/>
      <c r="DD14" s="524"/>
    </row>
    <row r="15" spans="1:108" ht="12" customHeight="1" x14ac:dyDescent="0.2">
      <c r="A15" s="524"/>
      <c r="B15" s="1450"/>
      <c r="C15" s="2270">
        <v>120</v>
      </c>
      <c r="D15" s="6199" t="s">
        <v>2012</v>
      </c>
      <c r="E15" s="6138"/>
      <c r="F15" s="6200" t="str">
        <f>IF(C10=0,"",VLOOKUP(C10,'Tablas psiquica'!$D$7:$R$145,9,FALSE))</f>
        <v/>
      </c>
      <c r="G15" s="6201"/>
      <c r="H15" s="6201"/>
      <c r="I15" s="6202"/>
      <c r="J15" s="865"/>
      <c r="K15" s="2270">
        <v>120</v>
      </c>
      <c r="L15" s="6199" t="s">
        <v>2012</v>
      </c>
      <c r="M15" s="6138"/>
      <c r="N15" s="6200" t="str">
        <f>IF(K10=0,"",VLOOKUP(K10,'Tablas psiquica'!$D$7:$R$145,9,FALSE))</f>
        <v/>
      </c>
      <c r="O15" s="6201"/>
      <c r="P15" s="6201"/>
      <c r="Q15" s="6202"/>
      <c r="R15" s="1450"/>
      <c r="S15" s="2270">
        <v>120</v>
      </c>
      <c r="T15" s="6199" t="s">
        <v>2012</v>
      </c>
      <c r="U15" s="6138"/>
      <c r="V15" s="6200" t="str">
        <f>IF(S10=0,"",VLOOKUP(S10,'Tablas psiquica'!$D$7:$R$145,9,FALSE))</f>
        <v/>
      </c>
      <c r="W15" s="6201"/>
      <c r="X15" s="6201"/>
      <c r="Y15" s="6202"/>
      <c r="Z15" s="530"/>
      <c r="AA15" s="524"/>
      <c r="AB15" s="524"/>
      <c r="AC15" s="1450"/>
      <c r="AD15" s="2270">
        <v>120</v>
      </c>
      <c r="AE15" s="6199" t="s">
        <v>2012</v>
      </c>
      <c r="AF15" s="6138"/>
      <c r="AG15" s="6200" t="str">
        <f>IF(AD10=0,"",VLOOKUP(AD10,'Tablas psiquica'!$D$7:$R$145,9,FALSE))</f>
        <v/>
      </c>
      <c r="AH15" s="6201"/>
      <c r="AI15" s="6201"/>
      <c r="AJ15" s="6202"/>
      <c r="AK15" s="865"/>
      <c r="AL15" s="2270">
        <v>120</v>
      </c>
      <c r="AM15" s="6199" t="s">
        <v>2012</v>
      </c>
      <c r="AN15" s="6138"/>
      <c r="AO15" s="6200" t="str">
        <f>IF(AL10=0,"",VLOOKUP(AL10,'Tablas psiquica'!$D$7:$R$145,9,FALSE))</f>
        <v/>
      </c>
      <c r="AP15" s="6201"/>
      <c r="AQ15" s="6201"/>
      <c r="AR15" s="6202"/>
      <c r="AS15" s="1450"/>
      <c r="AT15" s="2270">
        <v>120</v>
      </c>
      <c r="AU15" s="6199" t="s">
        <v>2012</v>
      </c>
      <c r="AV15" s="6138"/>
      <c r="AW15" s="6200" t="str">
        <f>IF(AT10=0,"",VLOOKUP(AT10,'Tablas psiquica'!$D$7:$R$145,9,FALSE))</f>
        <v/>
      </c>
      <c r="AX15" s="6201"/>
      <c r="AY15" s="6201"/>
      <c r="AZ15" s="6202"/>
      <c r="BA15" s="530"/>
      <c r="BB15" s="524"/>
      <c r="BC15" s="524"/>
      <c r="BD15" s="1450"/>
      <c r="BE15" s="2270">
        <v>120</v>
      </c>
      <c r="BF15" s="6199" t="s">
        <v>2012</v>
      </c>
      <c r="BG15" s="6138"/>
      <c r="BH15" s="6200" t="str">
        <f>IF(BE10=0,"",VLOOKUP(BE10,'Tablas psiquica'!$D$7:$R$145,9,FALSE))</f>
        <v/>
      </c>
      <c r="BI15" s="6201"/>
      <c r="BJ15" s="6201"/>
      <c r="BK15" s="6202"/>
      <c r="BL15" s="865"/>
      <c r="BM15" s="2270">
        <v>120</v>
      </c>
      <c r="BN15" s="6199" t="s">
        <v>2012</v>
      </c>
      <c r="BO15" s="6138"/>
      <c r="BP15" s="6200" t="str">
        <f>IF(BM10=0,"",VLOOKUP(BM10,'Tablas psiquica'!$D$7:$R$145,9,FALSE))</f>
        <v/>
      </c>
      <c r="BQ15" s="6201"/>
      <c r="BR15" s="6201"/>
      <c r="BS15" s="6202"/>
      <c r="BT15" s="1450"/>
      <c r="BU15" s="2270">
        <v>120</v>
      </c>
      <c r="BV15" s="6199" t="s">
        <v>2012</v>
      </c>
      <c r="BW15" s="6138"/>
      <c r="BX15" s="6200" t="str">
        <f>IF(BU10=0,"",VLOOKUP(BU10,'Tablas psiquica'!$D$7:$R$145,9,FALSE))</f>
        <v/>
      </c>
      <c r="BY15" s="6201"/>
      <c r="BZ15" s="6201"/>
      <c r="CA15" s="6202"/>
      <c r="CB15" s="530"/>
      <c r="CC15" s="524"/>
      <c r="CD15" s="524"/>
      <c r="CE15" s="1450"/>
      <c r="CF15" s="2270">
        <v>120</v>
      </c>
      <c r="CG15" s="6199" t="s">
        <v>2012</v>
      </c>
      <c r="CH15" s="6138"/>
      <c r="CI15" s="6200" t="str">
        <f>IF(CF10=0,"",VLOOKUP(CF10,'Tablas psiquica'!$D$7:$R$145,9,FALSE))</f>
        <v/>
      </c>
      <c r="CJ15" s="6201"/>
      <c r="CK15" s="6201"/>
      <c r="CL15" s="6202"/>
      <c r="CM15" s="865"/>
      <c r="CN15" s="2270">
        <v>120</v>
      </c>
      <c r="CO15" s="6199" t="s">
        <v>2012</v>
      </c>
      <c r="CP15" s="6138"/>
      <c r="CQ15" s="6200" t="str">
        <f>IF(CN10=0,"",VLOOKUP(CN10,'Tablas psiquica'!$D$7:$R$145,9,FALSE))</f>
        <v/>
      </c>
      <c r="CR15" s="6201"/>
      <c r="CS15" s="6201"/>
      <c r="CT15" s="6202"/>
      <c r="CU15" s="1450"/>
      <c r="CV15" s="2270">
        <v>120</v>
      </c>
      <c r="CW15" s="6199" t="s">
        <v>2012</v>
      </c>
      <c r="CX15" s="6138"/>
      <c r="CY15" s="6200" t="str">
        <f>IF(CV10=0,"",VLOOKUP(CV10,'Tablas psiquica'!$D$7:$R$145,9,FALSE))</f>
        <v/>
      </c>
      <c r="CZ15" s="6201"/>
      <c r="DA15" s="6201"/>
      <c r="DB15" s="6202"/>
      <c r="DC15" s="530"/>
      <c r="DD15" s="524"/>
    </row>
    <row r="16" spans="1:108" ht="12" customHeight="1" x14ac:dyDescent="0.2">
      <c r="A16" s="524"/>
      <c r="B16" s="1450"/>
      <c r="C16" s="2271">
        <v>140</v>
      </c>
      <c r="D16" s="6203" t="s">
        <v>6894</v>
      </c>
      <c r="E16" s="6133"/>
      <c r="F16" s="6204" t="str">
        <f>IF(C10=0,"",VLOOKUP(C10,'Tablas psiquica'!$D$7:$R$145,10,FALSE))</f>
        <v/>
      </c>
      <c r="G16" s="6205"/>
      <c r="H16" s="6205"/>
      <c r="I16" s="5767"/>
      <c r="J16" s="865"/>
      <c r="K16" s="2271">
        <v>140</v>
      </c>
      <c r="L16" s="6203" t="s">
        <v>6894</v>
      </c>
      <c r="M16" s="6133"/>
      <c r="N16" s="6204" t="str">
        <f>IF(K10=0,"",VLOOKUP(K10,'Tablas psiquica'!$D$7:$R$145,10,FALSE))</f>
        <v/>
      </c>
      <c r="O16" s="6205"/>
      <c r="P16" s="6205"/>
      <c r="Q16" s="5767"/>
      <c r="R16" s="1450"/>
      <c r="S16" s="2271">
        <v>140</v>
      </c>
      <c r="T16" s="6203" t="s">
        <v>6894</v>
      </c>
      <c r="U16" s="6133"/>
      <c r="V16" s="6204" t="str">
        <f>IF(S10=0,"",VLOOKUP(S10,'Tablas psiquica'!$D$7:$R$145,10,FALSE))</f>
        <v/>
      </c>
      <c r="W16" s="6205"/>
      <c r="X16" s="6205"/>
      <c r="Y16" s="5767"/>
      <c r="Z16" s="530"/>
      <c r="AA16" s="524"/>
      <c r="AB16" s="524"/>
      <c r="AC16" s="1450"/>
      <c r="AD16" s="2271">
        <v>140</v>
      </c>
      <c r="AE16" s="6203" t="s">
        <v>6894</v>
      </c>
      <c r="AF16" s="6133"/>
      <c r="AG16" s="6204" t="str">
        <f>IF(AD10=0,"",VLOOKUP(AD10,'Tablas psiquica'!$D$7:$R$145,10,FALSE))</f>
        <v/>
      </c>
      <c r="AH16" s="6205"/>
      <c r="AI16" s="6205"/>
      <c r="AJ16" s="5767"/>
      <c r="AK16" s="865"/>
      <c r="AL16" s="2271">
        <v>140</v>
      </c>
      <c r="AM16" s="6203" t="s">
        <v>6894</v>
      </c>
      <c r="AN16" s="6133"/>
      <c r="AO16" s="6204" t="str">
        <f>IF(AL10=0,"",VLOOKUP(AL10,'Tablas psiquica'!$D$7:$R$145,10,FALSE))</f>
        <v/>
      </c>
      <c r="AP16" s="6205"/>
      <c r="AQ16" s="6205"/>
      <c r="AR16" s="5767"/>
      <c r="AS16" s="1450"/>
      <c r="AT16" s="2271">
        <v>140</v>
      </c>
      <c r="AU16" s="6203" t="s">
        <v>6894</v>
      </c>
      <c r="AV16" s="6133"/>
      <c r="AW16" s="6204" t="str">
        <f>IF(AT10=0,"",VLOOKUP(AT10,'Tablas psiquica'!$D$7:$R$145,10,FALSE))</f>
        <v/>
      </c>
      <c r="AX16" s="6205"/>
      <c r="AY16" s="6205"/>
      <c r="AZ16" s="5767"/>
      <c r="BA16" s="530"/>
      <c r="BB16" s="524"/>
      <c r="BC16" s="524"/>
      <c r="BD16" s="1450"/>
      <c r="BE16" s="2271">
        <v>140</v>
      </c>
      <c r="BF16" s="6203" t="s">
        <v>6894</v>
      </c>
      <c r="BG16" s="6133"/>
      <c r="BH16" s="6204" t="str">
        <f>IF(BE10=0,"",VLOOKUP(BE10,'Tablas psiquica'!$D$7:$R$145,10,FALSE))</f>
        <v/>
      </c>
      <c r="BI16" s="6205"/>
      <c r="BJ16" s="6205"/>
      <c r="BK16" s="5767"/>
      <c r="BL16" s="865"/>
      <c r="BM16" s="2271">
        <v>140</v>
      </c>
      <c r="BN16" s="6203" t="s">
        <v>6894</v>
      </c>
      <c r="BO16" s="6133"/>
      <c r="BP16" s="6204" t="str">
        <f>IF(BM10=0,"",VLOOKUP(BM10,'Tablas psiquica'!$D$7:$R$145,10,FALSE))</f>
        <v/>
      </c>
      <c r="BQ16" s="6205"/>
      <c r="BR16" s="6205"/>
      <c r="BS16" s="5767"/>
      <c r="BT16" s="1450"/>
      <c r="BU16" s="2271">
        <v>140</v>
      </c>
      <c r="BV16" s="6203" t="s">
        <v>6894</v>
      </c>
      <c r="BW16" s="6133"/>
      <c r="BX16" s="6204" t="str">
        <f>IF(BU10=0,"",VLOOKUP(BU10,'Tablas psiquica'!$D$7:$R$145,10,FALSE))</f>
        <v/>
      </c>
      <c r="BY16" s="6205"/>
      <c r="BZ16" s="6205"/>
      <c r="CA16" s="5767"/>
      <c r="CB16" s="530"/>
      <c r="CC16" s="524"/>
      <c r="CD16" s="524"/>
      <c r="CE16" s="1450"/>
      <c r="CF16" s="2271">
        <v>140</v>
      </c>
      <c r="CG16" s="6203" t="s">
        <v>6894</v>
      </c>
      <c r="CH16" s="6133"/>
      <c r="CI16" s="6204" t="str">
        <f>IF(CF10=0,"",VLOOKUP(CF10,'Tablas psiquica'!$D$7:$R$145,10,FALSE))</f>
        <v/>
      </c>
      <c r="CJ16" s="6205"/>
      <c r="CK16" s="6205"/>
      <c r="CL16" s="5767"/>
      <c r="CM16" s="865"/>
      <c r="CN16" s="2271">
        <v>140</v>
      </c>
      <c r="CO16" s="6203" t="s">
        <v>6894</v>
      </c>
      <c r="CP16" s="6133"/>
      <c r="CQ16" s="6204" t="str">
        <f>IF(CN10=0,"",VLOOKUP(CN10,'Tablas psiquica'!$D$7:$R$145,10,FALSE))</f>
        <v/>
      </c>
      <c r="CR16" s="6205"/>
      <c r="CS16" s="6205"/>
      <c r="CT16" s="5767"/>
      <c r="CU16" s="1450"/>
      <c r="CV16" s="2271">
        <v>140</v>
      </c>
      <c r="CW16" s="6203" t="s">
        <v>6894</v>
      </c>
      <c r="CX16" s="6133"/>
      <c r="CY16" s="6204" t="str">
        <f>IF(CV10=0,"",VLOOKUP(CV10,'Tablas psiquica'!$D$7:$R$145,10,FALSE))</f>
        <v/>
      </c>
      <c r="CZ16" s="6205"/>
      <c r="DA16" s="6205"/>
      <c r="DB16" s="5767"/>
      <c r="DC16" s="530"/>
      <c r="DD16" s="524"/>
    </row>
    <row r="17" spans="1:108" ht="12" customHeight="1" x14ac:dyDescent="0.2">
      <c r="A17" s="524"/>
      <c r="B17" s="1450"/>
      <c r="C17" s="2270">
        <v>180</v>
      </c>
      <c r="D17" s="6199" t="s">
        <v>2017</v>
      </c>
      <c r="E17" s="6138"/>
      <c r="F17" s="6200" t="str">
        <f>IF(C10=0,"",VLOOKUP(C10,'Tablas psiquica'!$D$7:$R$145,11,FALSE))</f>
        <v/>
      </c>
      <c r="G17" s="6201"/>
      <c r="H17" s="6201"/>
      <c r="I17" s="6202"/>
      <c r="J17" s="865"/>
      <c r="K17" s="2270">
        <v>180</v>
      </c>
      <c r="L17" s="6199" t="s">
        <v>2017</v>
      </c>
      <c r="M17" s="6138"/>
      <c r="N17" s="6200" t="str">
        <f>IF(K10=0,"",VLOOKUP(K10,'Tablas psiquica'!$D$7:$R$145,11,FALSE))</f>
        <v/>
      </c>
      <c r="O17" s="6201"/>
      <c r="P17" s="6201"/>
      <c r="Q17" s="6202"/>
      <c r="R17" s="1450"/>
      <c r="S17" s="2270">
        <v>180</v>
      </c>
      <c r="T17" s="6199" t="s">
        <v>2017</v>
      </c>
      <c r="U17" s="6138"/>
      <c r="V17" s="6200" t="str">
        <f>IF(S10=0,"",VLOOKUP(S10,'Tablas psiquica'!$D$7:$R$145,11,FALSE))</f>
        <v/>
      </c>
      <c r="W17" s="6201"/>
      <c r="X17" s="6201"/>
      <c r="Y17" s="6202"/>
      <c r="Z17" s="530"/>
      <c r="AA17" s="524"/>
      <c r="AB17" s="524"/>
      <c r="AC17" s="1450"/>
      <c r="AD17" s="2270">
        <v>180</v>
      </c>
      <c r="AE17" s="6199" t="s">
        <v>2017</v>
      </c>
      <c r="AF17" s="6138"/>
      <c r="AG17" s="6200" t="str">
        <f>IF(AD10=0,"",VLOOKUP(AD10,'Tablas psiquica'!$D$7:$R$145,11,FALSE))</f>
        <v/>
      </c>
      <c r="AH17" s="6201"/>
      <c r="AI17" s="6201"/>
      <c r="AJ17" s="6202"/>
      <c r="AK17" s="865"/>
      <c r="AL17" s="2270">
        <v>180</v>
      </c>
      <c r="AM17" s="6199" t="s">
        <v>2017</v>
      </c>
      <c r="AN17" s="6138"/>
      <c r="AO17" s="6200" t="str">
        <f>IF(AL10=0,"",VLOOKUP(AL10,'Tablas psiquica'!$D$7:$R$145,11,FALSE))</f>
        <v/>
      </c>
      <c r="AP17" s="6201"/>
      <c r="AQ17" s="6201"/>
      <c r="AR17" s="6202"/>
      <c r="AS17" s="1450"/>
      <c r="AT17" s="2270">
        <v>180</v>
      </c>
      <c r="AU17" s="6199" t="s">
        <v>2017</v>
      </c>
      <c r="AV17" s="6138"/>
      <c r="AW17" s="6200" t="str">
        <f>IF(AT10=0,"",VLOOKUP(AT10,'Tablas psiquica'!$D$7:$R$145,11,FALSE))</f>
        <v/>
      </c>
      <c r="AX17" s="6201"/>
      <c r="AY17" s="6201"/>
      <c r="AZ17" s="6202"/>
      <c r="BA17" s="530"/>
      <c r="BB17" s="524"/>
      <c r="BC17" s="524"/>
      <c r="BD17" s="1450"/>
      <c r="BE17" s="2270">
        <v>180</v>
      </c>
      <c r="BF17" s="6199" t="s">
        <v>2017</v>
      </c>
      <c r="BG17" s="6138"/>
      <c r="BH17" s="6200" t="str">
        <f>IF(BE10=0,"",VLOOKUP(BE10,'Tablas psiquica'!$D$7:$R$145,11,FALSE))</f>
        <v/>
      </c>
      <c r="BI17" s="6201"/>
      <c r="BJ17" s="6201"/>
      <c r="BK17" s="6202"/>
      <c r="BL17" s="865"/>
      <c r="BM17" s="2270">
        <v>180</v>
      </c>
      <c r="BN17" s="6199" t="s">
        <v>2017</v>
      </c>
      <c r="BO17" s="6138"/>
      <c r="BP17" s="6200" t="str">
        <f>IF(BM10=0,"",VLOOKUP(BM10,'Tablas psiquica'!$D$7:$R$145,11,FALSE))</f>
        <v/>
      </c>
      <c r="BQ17" s="6201"/>
      <c r="BR17" s="6201"/>
      <c r="BS17" s="6202"/>
      <c r="BT17" s="1450"/>
      <c r="BU17" s="2270">
        <v>180</v>
      </c>
      <c r="BV17" s="6199" t="s">
        <v>2017</v>
      </c>
      <c r="BW17" s="6138"/>
      <c r="BX17" s="6200" t="str">
        <f>IF(BU10=0,"",VLOOKUP(BU10,'Tablas psiquica'!$D$7:$R$145,11,FALSE))</f>
        <v/>
      </c>
      <c r="BY17" s="6201"/>
      <c r="BZ17" s="6201"/>
      <c r="CA17" s="6202"/>
      <c r="CB17" s="530"/>
      <c r="CC17" s="524"/>
      <c r="CD17" s="524"/>
      <c r="CE17" s="1450"/>
      <c r="CF17" s="2270">
        <v>180</v>
      </c>
      <c r="CG17" s="6199" t="s">
        <v>2017</v>
      </c>
      <c r="CH17" s="6138"/>
      <c r="CI17" s="6200" t="str">
        <f>IF(CF10=0,"",VLOOKUP(CF10,'Tablas psiquica'!$D$7:$R$145,11,FALSE))</f>
        <v/>
      </c>
      <c r="CJ17" s="6201"/>
      <c r="CK17" s="6201"/>
      <c r="CL17" s="6202"/>
      <c r="CM17" s="865"/>
      <c r="CN17" s="2270">
        <v>180</v>
      </c>
      <c r="CO17" s="6199" t="s">
        <v>2017</v>
      </c>
      <c r="CP17" s="6138"/>
      <c r="CQ17" s="6200" t="str">
        <f>IF(CN10=0,"",VLOOKUP(CN10,'Tablas psiquica'!$D$7:$R$145,11,FALSE))</f>
        <v/>
      </c>
      <c r="CR17" s="6201"/>
      <c r="CS17" s="6201"/>
      <c r="CT17" s="6202"/>
      <c r="CU17" s="1450"/>
      <c r="CV17" s="2270">
        <v>180</v>
      </c>
      <c r="CW17" s="6199" t="s">
        <v>2017</v>
      </c>
      <c r="CX17" s="6138"/>
      <c r="CY17" s="6200" t="str">
        <f>IF(CV10=0,"",VLOOKUP(CV10,'Tablas psiquica'!$D$7:$R$145,11,FALSE))</f>
        <v/>
      </c>
      <c r="CZ17" s="6201"/>
      <c r="DA17" s="6201"/>
      <c r="DB17" s="6202"/>
      <c r="DC17" s="530"/>
      <c r="DD17" s="524"/>
    </row>
    <row r="18" spans="1:108" ht="12" customHeight="1" x14ac:dyDescent="0.2">
      <c r="A18" s="524"/>
      <c r="B18" s="1450"/>
      <c r="C18" s="2271">
        <v>240</v>
      </c>
      <c r="D18" s="6203" t="s">
        <v>6895</v>
      </c>
      <c r="E18" s="6133"/>
      <c r="F18" s="6204" t="str">
        <f>IF(C10=0,"",VLOOKUP(C10,'Tablas psiquica'!$D$7:$R$145,12,FALSE))</f>
        <v/>
      </c>
      <c r="G18" s="6205"/>
      <c r="H18" s="6205"/>
      <c r="I18" s="5767"/>
      <c r="J18" s="865"/>
      <c r="K18" s="2271">
        <v>240</v>
      </c>
      <c r="L18" s="6203" t="s">
        <v>6895</v>
      </c>
      <c r="M18" s="6133"/>
      <c r="N18" s="6204" t="str">
        <f>IF(K10=0,"",VLOOKUP(K10,'Tablas psiquica'!$D$7:$R$145,12,FALSE))</f>
        <v/>
      </c>
      <c r="O18" s="6205"/>
      <c r="P18" s="6205"/>
      <c r="Q18" s="5767"/>
      <c r="R18" s="1450"/>
      <c r="S18" s="2271">
        <v>240</v>
      </c>
      <c r="T18" s="6203" t="s">
        <v>6895</v>
      </c>
      <c r="U18" s="6133"/>
      <c r="V18" s="6204" t="str">
        <f>IF(S10=0,"",VLOOKUP(S10,'Tablas psiquica'!$D$7:$R$145,12,FALSE))</f>
        <v/>
      </c>
      <c r="W18" s="6205"/>
      <c r="X18" s="6205"/>
      <c r="Y18" s="5767"/>
      <c r="Z18" s="530"/>
      <c r="AA18" s="524"/>
      <c r="AB18" s="524"/>
      <c r="AC18" s="1450"/>
      <c r="AD18" s="2271">
        <v>240</v>
      </c>
      <c r="AE18" s="6203" t="s">
        <v>6895</v>
      </c>
      <c r="AF18" s="6133"/>
      <c r="AG18" s="6204" t="str">
        <f>IF(AD10=0,"",VLOOKUP(AD10,'Tablas psiquica'!$D$7:$R$145,12,FALSE))</f>
        <v/>
      </c>
      <c r="AH18" s="6205"/>
      <c r="AI18" s="6205"/>
      <c r="AJ18" s="5767"/>
      <c r="AK18" s="865"/>
      <c r="AL18" s="2271">
        <v>240</v>
      </c>
      <c r="AM18" s="6203" t="s">
        <v>6895</v>
      </c>
      <c r="AN18" s="6133"/>
      <c r="AO18" s="6204" t="str">
        <f>IF(AL10=0,"",VLOOKUP(AL10,'Tablas psiquica'!$D$7:$R$145,12,FALSE))</f>
        <v/>
      </c>
      <c r="AP18" s="6205"/>
      <c r="AQ18" s="6205"/>
      <c r="AR18" s="5767"/>
      <c r="AS18" s="1450"/>
      <c r="AT18" s="2271">
        <v>240</v>
      </c>
      <c r="AU18" s="6203" t="s">
        <v>6895</v>
      </c>
      <c r="AV18" s="6133"/>
      <c r="AW18" s="6204" t="str">
        <f>IF(AT10=0,"",VLOOKUP(AT10,'Tablas psiquica'!$D$7:$R$145,12,FALSE))</f>
        <v/>
      </c>
      <c r="AX18" s="6205"/>
      <c r="AY18" s="6205"/>
      <c r="AZ18" s="5767"/>
      <c r="BA18" s="530"/>
      <c r="BB18" s="524"/>
      <c r="BC18" s="524"/>
      <c r="BD18" s="1450"/>
      <c r="BE18" s="2271">
        <v>240</v>
      </c>
      <c r="BF18" s="6203" t="s">
        <v>6895</v>
      </c>
      <c r="BG18" s="6133"/>
      <c r="BH18" s="6204" t="str">
        <f>IF(BE10=0,"",VLOOKUP(BE10,'Tablas psiquica'!$D$7:$R$145,12,FALSE))</f>
        <v/>
      </c>
      <c r="BI18" s="6205"/>
      <c r="BJ18" s="6205"/>
      <c r="BK18" s="5767"/>
      <c r="BL18" s="865"/>
      <c r="BM18" s="2271">
        <v>240</v>
      </c>
      <c r="BN18" s="6203" t="s">
        <v>6895</v>
      </c>
      <c r="BO18" s="6133"/>
      <c r="BP18" s="6204" t="str">
        <f>IF(BM10=0,"",VLOOKUP(BM10,'Tablas psiquica'!$D$7:$R$145,12,FALSE))</f>
        <v/>
      </c>
      <c r="BQ18" s="6205"/>
      <c r="BR18" s="6205"/>
      <c r="BS18" s="5767"/>
      <c r="BT18" s="1450"/>
      <c r="BU18" s="2271">
        <v>240</v>
      </c>
      <c r="BV18" s="6203" t="s">
        <v>6895</v>
      </c>
      <c r="BW18" s="6133"/>
      <c r="BX18" s="6204" t="str">
        <f>IF(BU10=0,"",VLOOKUP(BU10,'Tablas psiquica'!$D$7:$R$145,12,FALSE))</f>
        <v/>
      </c>
      <c r="BY18" s="6205"/>
      <c r="BZ18" s="6205"/>
      <c r="CA18" s="5767"/>
      <c r="CB18" s="530"/>
      <c r="CC18" s="524"/>
      <c r="CD18" s="524"/>
      <c r="CE18" s="1450"/>
      <c r="CF18" s="2271">
        <v>240</v>
      </c>
      <c r="CG18" s="6203" t="s">
        <v>6895</v>
      </c>
      <c r="CH18" s="6133"/>
      <c r="CI18" s="6204" t="str">
        <f>IF(CF10=0,"",VLOOKUP(CF10,'Tablas psiquica'!$D$7:$R$145,12,FALSE))</f>
        <v/>
      </c>
      <c r="CJ18" s="6205"/>
      <c r="CK18" s="6205"/>
      <c r="CL18" s="5767"/>
      <c r="CM18" s="865"/>
      <c r="CN18" s="2271">
        <v>240</v>
      </c>
      <c r="CO18" s="6203" t="s">
        <v>6895</v>
      </c>
      <c r="CP18" s="6133"/>
      <c r="CQ18" s="6204" t="str">
        <f>IF(CN10=0,"",VLOOKUP(CN10,'Tablas psiquica'!$D$7:$R$145,12,FALSE))</f>
        <v/>
      </c>
      <c r="CR18" s="6205"/>
      <c r="CS18" s="6205"/>
      <c r="CT18" s="5767"/>
      <c r="CU18" s="1450"/>
      <c r="CV18" s="2271">
        <v>240</v>
      </c>
      <c r="CW18" s="6203" t="s">
        <v>6895</v>
      </c>
      <c r="CX18" s="6133"/>
      <c r="CY18" s="6204" t="str">
        <f>IF(CV10=0,"",VLOOKUP(CV10,'Tablas psiquica'!$D$7:$R$145,12,FALSE))</f>
        <v/>
      </c>
      <c r="CZ18" s="6205"/>
      <c r="DA18" s="6205"/>
      <c r="DB18" s="5767"/>
      <c r="DC18" s="530"/>
      <c r="DD18" s="524"/>
    </row>
    <row r="19" spans="1:108" ht="12" customHeight="1" x14ac:dyDescent="0.2">
      <c r="A19" s="524"/>
      <c r="B19" s="1450"/>
      <c r="C19" s="2270">
        <v>280</v>
      </c>
      <c r="D19" s="6199" t="s">
        <v>2022</v>
      </c>
      <c r="E19" s="6138"/>
      <c r="F19" s="6200" t="str">
        <f>IF(C10=0,"",VLOOKUP(C10,'Tablas psiquica'!$D$7:$R$145,13,FALSE))</f>
        <v/>
      </c>
      <c r="G19" s="6201"/>
      <c r="H19" s="6201"/>
      <c r="I19" s="6202"/>
      <c r="J19" s="865"/>
      <c r="K19" s="2270">
        <v>280</v>
      </c>
      <c r="L19" s="6199" t="s">
        <v>2022</v>
      </c>
      <c r="M19" s="6138"/>
      <c r="N19" s="6200" t="str">
        <f>IF(K10=0,"",VLOOKUP(K10,'Tablas psiquica'!$D$7:$R$145,13,FALSE))</f>
        <v/>
      </c>
      <c r="O19" s="6201"/>
      <c r="P19" s="6201"/>
      <c r="Q19" s="6202"/>
      <c r="R19" s="1450"/>
      <c r="S19" s="2270">
        <v>280</v>
      </c>
      <c r="T19" s="6199" t="s">
        <v>2022</v>
      </c>
      <c r="U19" s="6138"/>
      <c r="V19" s="6200" t="str">
        <f>IF(S10=0,"",VLOOKUP(S10,'Tablas psiquica'!$D$7:$R$145,13,FALSE))</f>
        <v/>
      </c>
      <c r="W19" s="6201"/>
      <c r="X19" s="6201"/>
      <c r="Y19" s="6202"/>
      <c r="Z19" s="530"/>
      <c r="AA19" s="524"/>
      <c r="AB19" s="524"/>
      <c r="AC19" s="1450"/>
      <c r="AD19" s="2270">
        <v>280</v>
      </c>
      <c r="AE19" s="6199" t="s">
        <v>2022</v>
      </c>
      <c r="AF19" s="6138"/>
      <c r="AG19" s="6200" t="str">
        <f>IF(AD10=0,"",VLOOKUP(AD10,'Tablas psiquica'!$D$7:$R$145,13,FALSE))</f>
        <v/>
      </c>
      <c r="AH19" s="6201"/>
      <c r="AI19" s="6201"/>
      <c r="AJ19" s="6202"/>
      <c r="AK19" s="865"/>
      <c r="AL19" s="2270">
        <v>280</v>
      </c>
      <c r="AM19" s="6199" t="s">
        <v>2022</v>
      </c>
      <c r="AN19" s="6138"/>
      <c r="AO19" s="6200" t="str">
        <f>IF(AL10=0,"",VLOOKUP(AL10,'Tablas psiquica'!$D$7:$R$145,13,FALSE))</f>
        <v/>
      </c>
      <c r="AP19" s="6201"/>
      <c r="AQ19" s="6201"/>
      <c r="AR19" s="6202"/>
      <c r="AS19" s="1450"/>
      <c r="AT19" s="2270">
        <v>280</v>
      </c>
      <c r="AU19" s="6199" t="s">
        <v>2022</v>
      </c>
      <c r="AV19" s="6138"/>
      <c r="AW19" s="6200" t="str">
        <f>IF(AT10=0,"",VLOOKUP(AT10,'Tablas psiquica'!$D$7:$R$145,13,FALSE))</f>
        <v/>
      </c>
      <c r="AX19" s="6201"/>
      <c r="AY19" s="6201"/>
      <c r="AZ19" s="6202"/>
      <c r="BA19" s="530"/>
      <c r="BB19" s="524"/>
      <c r="BC19" s="524"/>
      <c r="BD19" s="1450"/>
      <c r="BE19" s="2270">
        <v>280</v>
      </c>
      <c r="BF19" s="6199" t="s">
        <v>2022</v>
      </c>
      <c r="BG19" s="6138"/>
      <c r="BH19" s="6200" t="str">
        <f>IF(BE10=0,"",VLOOKUP(BE10,'Tablas psiquica'!$D$7:$R$145,13,FALSE))</f>
        <v/>
      </c>
      <c r="BI19" s="6201"/>
      <c r="BJ19" s="6201"/>
      <c r="BK19" s="6202"/>
      <c r="BL19" s="865"/>
      <c r="BM19" s="2270">
        <v>280</v>
      </c>
      <c r="BN19" s="6199" t="s">
        <v>2022</v>
      </c>
      <c r="BO19" s="6138"/>
      <c r="BP19" s="6200" t="str">
        <f>IF(BM10=0,"",VLOOKUP(BM10,'Tablas psiquica'!$D$7:$R$145,13,FALSE))</f>
        <v/>
      </c>
      <c r="BQ19" s="6201"/>
      <c r="BR19" s="6201"/>
      <c r="BS19" s="6202"/>
      <c r="BT19" s="1450"/>
      <c r="BU19" s="2270">
        <v>280</v>
      </c>
      <c r="BV19" s="6199" t="s">
        <v>2022</v>
      </c>
      <c r="BW19" s="6138"/>
      <c r="BX19" s="6200" t="str">
        <f>IF(BU10=0,"",VLOOKUP(BU10,'Tablas psiquica'!$D$7:$R$145,13,FALSE))</f>
        <v/>
      </c>
      <c r="BY19" s="6201"/>
      <c r="BZ19" s="6201"/>
      <c r="CA19" s="6202"/>
      <c r="CB19" s="530"/>
      <c r="CC19" s="524"/>
      <c r="CD19" s="524"/>
      <c r="CE19" s="1450"/>
      <c r="CF19" s="2270">
        <v>280</v>
      </c>
      <c r="CG19" s="6199" t="s">
        <v>2022</v>
      </c>
      <c r="CH19" s="6138"/>
      <c r="CI19" s="6200" t="str">
        <f>IF(CF10=0,"",VLOOKUP(CF10,'Tablas psiquica'!$D$7:$R$145,13,FALSE))</f>
        <v/>
      </c>
      <c r="CJ19" s="6201"/>
      <c r="CK19" s="6201"/>
      <c r="CL19" s="6202"/>
      <c r="CM19" s="865"/>
      <c r="CN19" s="2270">
        <v>280</v>
      </c>
      <c r="CO19" s="6199" t="s">
        <v>2022</v>
      </c>
      <c r="CP19" s="6138"/>
      <c r="CQ19" s="6200" t="str">
        <f>IF(CN10=0,"",VLOOKUP(CN10,'Tablas psiquica'!$D$7:$R$145,13,FALSE))</f>
        <v/>
      </c>
      <c r="CR19" s="6201"/>
      <c r="CS19" s="6201"/>
      <c r="CT19" s="6202"/>
      <c r="CU19" s="1450"/>
      <c r="CV19" s="2270">
        <v>280</v>
      </c>
      <c r="CW19" s="6199" t="s">
        <v>2022</v>
      </c>
      <c r="CX19" s="6138"/>
      <c r="CY19" s="6200" t="str">
        <f>IF(CV10=0,"",VLOOKUP(CV10,'Tablas psiquica'!$D$7:$R$145,13,FALSE))</f>
        <v/>
      </c>
      <c r="CZ19" s="6201"/>
      <c r="DA19" s="6201"/>
      <c r="DB19" s="6202"/>
      <c r="DC19" s="530"/>
      <c r="DD19" s="524"/>
    </row>
    <row r="20" spans="1:108" ht="12" customHeight="1" x14ac:dyDescent="0.2">
      <c r="A20" s="524"/>
      <c r="B20" s="1450"/>
      <c r="C20" s="2271">
        <v>320</v>
      </c>
      <c r="D20" s="6203" t="s">
        <v>2024</v>
      </c>
      <c r="E20" s="6133"/>
      <c r="F20" s="6204" t="str">
        <f>IF(C10=0,"",VLOOKUP(C10,'Tablas psiquica'!$D$7:$R$145,14,FALSE))</f>
        <v/>
      </c>
      <c r="G20" s="6205"/>
      <c r="H20" s="6205"/>
      <c r="I20" s="5767"/>
      <c r="J20" s="865"/>
      <c r="K20" s="2271">
        <v>320</v>
      </c>
      <c r="L20" s="6203" t="s">
        <v>2024</v>
      </c>
      <c r="M20" s="6133"/>
      <c r="N20" s="6204" t="str">
        <f>IF(K10=0,"",VLOOKUP(K10,'Tablas psiquica'!$D$7:$R$145,14,FALSE))</f>
        <v/>
      </c>
      <c r="O20" s="6205"/>
      <c r="P20" s="6205"/>
      <c r="Q20" s="5767"/>
      <c r="R20" s="1450"/>
      <c r="S20" s="2271">
        <v>320</v>
      </c>
      <c r="T20" s="6203" t="s">
        <v>2024</v>
      </c>
      <c r="U20" s="6133"/>
      <c r="V20" s="6204" t="str">
        <f>IF(S10=0,"",VLOOKUP(S10,'Tablas psiquica'!$D$7:$R$145,14,FALSE))</f>
        <v/>
      </c>
      <c r="W20" s="6205"/>
      <c r="X20" s="6205"/>
      <c r="Y20" s="5767"/>
      <c r="Z20" s="530"/>
      <c r="AA20" s="524"/>
      <c r="AB20" s="524"/>
      <c r="AC20" s="1450"/>
      <c r="AD20" s="2271">
        <v>320</v>
      </c>
      <c r="AE20" s="6203" t="s">
        <v>2024</v>
      </c>
      <c r="AF20" s="6133"/>
      <c r="AG20" s="6204" t="str">
        <f>IF(AD10=0,"",VLOOKUP(AD10,'Tablas psiquica'!$D$7:$R$145,14,FALSE))</f>
        <v/>
      </c>
      <c r="AH20" s="6205"/>
      <c r="AI20" s="6205"/>
      <c r="AJ20" s="5767"/>
      <c r="AK20" s="865"/>
      <c r="AL20" s="2271">
        <v>320</v>
      </c>
      <c r="AM20" s="6203" t="s">
        <v>2024</v>
      </c>
      <c r="AN20" s="6133"/>
      <c r="AO20" s="6204" t="str">
        <f>IF(AL10=0,"",VLOOKUP(AL10,'Tablas psiquica'!$D$7:$R$145,14,FALSE))</f>
        <v/>
      </c>
      <c r="AP20" s="6205"/>
      <c r="AQ20" s="6205"/>
      <c r="AR20" s="5767"/>
      <c r="AS20" s="1450"/>
      <c r="AT20" s="2271">
        <v>320</v>
      </c>
      <c r="AU20" s="6203" t="s">
        <v>2024</v>
      </c>
      <c r="AV20" s="6133"/>
      <c r="AW20" s="6204" t="str">
        <f>IF(AT10=0,"",VLOOKUP(AT10,'Tablas psiquica'!$D$7:$R$145,14,FALSE))</f>
        <v/>
      </c>
      <c r="AX20" s="6205"/>
      <c r="AY20" s="6205"/>
      <c r="AZ20" s="5767"/>
      <c r="BA20" s="530"/>
      <c r="BB20" s="524"/>
      <c r="BC20" s="524"/>
      <c r="BD20" s="1450"/>
      <c r="BE20" s="2271">
        <v>320</v>
      </c>
      <c r="BF20" s="6203" t="s">
        <v>2024</v>
      </c>
      <c r="BG20" s="6133"/>
      <c r="BH20" s="6204" t="str">
        <f>IF(BE10=0,"",VLOOKUP(BE10,'Tablas psiquica'!$D$7:$R$145,14,FALSE))</f>
        <v/>
      </c>
      <c r="BI20" s="6205"/>
      <c r="BJ20" s="6205"/>
      <c r="BK20" s="5767"/>
      <c r="BL20" s="865"/>
      <c r="BM20" s="2271">
        <v>320</v>
      </c>
      <c r="BN20" s="6203" t="s">
        <v>2024</v>
      </c>
      <c r="BO20" s="6133"/>
      <c r="BP20" s="6204" t="str">
        <f>IF(BM10=0,"",VLOOKUP(BM10,'Tablas psiquica'!$D$7:$R$145,14,FALSE))</f>
        <v/>
      </c>
      <c r="BQ20" s="6205"/>
      <c r="BR20" s="6205"/>
      <c r="BS20" s="5767"/>
      <c r="BT20" s="1450"/>
      <c r="BU20" s="2271">
        <v>320</v>
      </c>
      <c r="BV20" s="6203" t="s">
        <v>2024</v>
      </c>
      <c r="BW20" s="6133"/>
      <c r="BX20" s="6204" t="str">
        <f>IF(BU10=0,"",VLOOKUP(BU10,'Tablas psiquica'!$D$7:$R$145,14,FALSE))</f>
        <v/>
      </c>
      <c r="BY20" s="6205"/>
      <c r="BZ20" s="6205"/>
      <c r="CA20" s="5767"/>
      <c r="CB20" s="530"/>
      <c r="CC20" s="524"/>
      <c r="CD20" s="524"/>
      <c r="CE20" s="1450"/>
      <c r="CF20" s="2271">
        <v>320</v>
      </c>
      <c r="CG20" s="6203" t="s">
        <v>2024</v>
      </c>
      <c r="CH20" s="6133"/>
      <c r="CI20" s="6204" t="str">
        <f>IF(CF10=0,"",VLOOKUP(CF10,'Tablas psiquica'!$D$7:$R$145,14,FALSE))</f>
        <v/>
      </c>
      <c r="CJ20" s="6205"/>
      <c r="CK20" s="6205"/>
      <c r="CL20" s="5767"/>
      <c r="CM20" s="865"/>
      <c r="CN20" s="2271">
        <v>320</v>
      </c>
      <c r="CO20" s="6203" t="s">
        <v>2024</v>
      </c>
      <c r="CP20" s="6133"/>
      <c r="CQ20" s="6204" t="str">
        <f>IF(CN10=0,"",VLOOKUP(CN10,'Tablas psiquica'!$D$7:$R$145,14,FALSE))</f>
        <v/>
      </c>
      <c r="CR20" s="6205"/>
      <c r="CS20" s="6205"/>
      <c r="CT20" s="5767"/>
      <c r="CU20" s="1450"/>
      <c r="CV20" s="2271">
        <v>320</v>
      </c>
      <c r="CW20" s="6203" t="s">
        <v>2024</v>
      </c>
      <c r="CX20" s="6133"/>
      <c r="CY20" s="6204" t="str">
        <f>IF(CV10=0,"",VLOOKUP(CV10,'Tablas psiquica'!$D$7:$R$145,14,FALSE))</f>
        <v/>
      </c>
      <c r="CZ20" s="6205"/>
      <c r="DA20" s="6205"/>
      <c r="DB20" s="5767"/>
      <c r="DC20" s="530"/>
      <c r="DD20" s="524"/>
    </row>
    <row r="21" spans="1:108" ht="12" customHeight="1" x14ac:dyDescent="0.2">
      <c r="A21" s="524"/>
      <c r="B21" s="1450"/>
      <c r="C21" s="565">
        <v>440</v>
      </c>
      <c r="D21" s="6206" t="s">
        <v>1958</v>
      </c>
      <c r="E21" s="6207"/>
      <c r="F21" s="6208" t="str">
        <f>IF(C10=0,"",VLOOKUP(C10,'Tablas psiquica'!$D$7:$R$145,15,FALSE))</f>
        <v/>
      </c>
      <c r="G21" s="6209"/>
      <c r="H21" s="6209"/>
      <c r="I21" s="6210"/>
      <c r="J21" s="865"/>
      <c r="K21" s="565">
        <v>440</v>
      </c>
      <c r="L21" s="6206" t="s">
        <v>1958</v>
      </c>
      <c r="M21" s="6207"/>
      <c r="N21" s="6208" t="str">
        <f>IF(K10=0,"",VLOOKUP(K10,'Tablas psiquica'!$D$7:$R$145,15,FALSE))</f>
        <v/>
      </c>
      <c r="O21" s="6209"/>
      <c r="P21" s="6209"/>
      <c r="Q21" s="6210"/>
      <c r="R21" s="1450"/>
      <c r="S21" s="565">
        <v>440</v>
      </c>
      <c r="T21" s="6206" t="s">
        <v>1958</v>
      </c>
      <c r="U21" s="6207"/>
      <c r="V21" s="6208" t="str">
        <f>IF(S10=0,"",VLOOKUP(S10,'Tablas psiquica'!$D$7:$R$145,15,FALSE))</f>
        <v/>
      </c>
      <c r="W21" s="6209"/>
      <c r="X21" s="6209"/>
      <c r="Y21" s="6210"/>
      <c r="Z21" s="530"/>
      <c r="AA21" s="524"/>
      <c r="AB21" s="524"/>
      <c r="AC21" s="1450"/>
      <c r="AD21" s="565">
        <v>440</v>
      </c>
      <c r="AE21" s="6206" t="s">
        <v>1958</v>
      </c>
      <c r="AF21" s="6207"/>
      <c r="AG21" s="6208" t="str">
        <f>IF(AD10=0,"",VLOOKUP(AD10,'Tablas psiquica'!$D$7:$R$145,15,FALSE))</f>
        <v/>
      </c>
      <c r="AH21" s="6209"/>
      <c r="AI21" s="6209"/>
      <c r="AJ21" s="6210"/>
      <c r="AK21" s="865"/>
      <c r="AL21" s="565">
        <v>440</v>
      </c>
      <c r="AM21" s="6206" t="s">
        <v>1958</v>
      </c>
      <c r="AN21" s="6207"/>
      <c r="AO21" s="6208" t="str">
        <f>IF(AL10=0,"",VLOOKUP(AL10,'Tablas psiquica'!$D$7:$R$145,15,FALSE))</f>
        <v/>
      </c>
      <c r="AP21" s="6209"/>
      <c r="AQ21" s="6209"/>
      <c r="AR21" s="6210"/>
      <c r="AS21" s="1450"/>
      <c r="AT21" s="565">
        <v>440</v>
      </c>
      <c r="AU21" s="6206" t="s">
        <v>1958</v>
      </c>
      <c r="AV21" s="6207"/>
      <c r="AW21" s="6208" t="str">
        <f>IF(AT10=0,"",VLOOKUP(AT10,'Tablas psiquica'!$D$7:$R$145,15,FALSE))</f>
        <v/>
      </c>
      <c r="AX21" s="6209"/>
      <c r="AY21" s="6209"/>
      <c r="AZ21" s="6210"/>
      <c r="BA21" s="530"/>
      <c r="BB21" s="524"/>
      <c r="BC21" s="524"/>
      <c r="BD21" s="1450"/>
      <c r="BE21" s="565">
        <v>440</v>
      </c>
      <c r="BF21" s="6206" t="s">
        <v>1958</v>
      </c>
      <c r="BG21" s="6207"/>
      <c r="BH21" s="6208" t="str">
        <f>IF(BE10=0,"",VLOOKUP(BE10,'Tablas psiquica'!$D$7:$R$145,15,FALSE))</f>
        <v/>
      </c>
      <c r="BI21" s="6209"/>
      <c r="BJ21" s="6209"/>
      <c r="BK21" s="6210"/>
      <c r="BL21" s="865"/>
      <c r="BM21" s="565">
        <v>440</v>
      </c>
      <c r="BN21" s="6206" t="s">
        <v>1958</v>
      </c>
      <c r="BO21" s="6207"/>
      <c r="BP21" s="6208" t="str">
        <f>IF(BM10=0,"",VLOOKUP(BM10,'Tablas psiquica'!$D$7:$R$145,15,FALSE))</f>
        <v/>
      </c>
      <c r="BQ21" s="6209"/>
      <c r="BR21" s="6209"/>
      <c r="BS21" s="6210"/>
      <c r="BT21" s="1450"/>
      <c r="BU21" s="565">
        <v>440</v>
      </c>
      <c r="BV21" s="6206" t="s">
        <v>1958</v>
      </c>
      <c r="BW21" s="6207"/>
      <c r="BX21" s="6208" t="str">
        <f>IF(BU10=0,"",VLOOKUP(BU10,'Tablas psiquica'!$D$7:$R$145,15,FALSE))</f>
        <v/>
      </c>
      <c r="BY21" s="6209"/>
      <c r="BZ21" s="6209"/>
      <c r="CA21" s="6210"/>
      <c r="CB21" s="530"/>
      <c r="CC21" s="524"/>
      <c r="CD21" s="524"/>
      <c r="CE21" s="1450"/>
      <c r="CF21" s="565">
        <v>440</v>
      </c>
      <c r="CG21" s="6206" t="s">
        <v>1958</v>
      </c>
      <c r="CH21" s="6207"/>
      <c r="CI21" s="6208" t="str">
        <f>IF(CF10=0,"",VLOOKUP(CF10,'Tablas psiquica'!$D$7:$R$145,15,FALSE))</f>
        <v/>
      </c>
      <c r="CJ21" s="6209"/>
      <c r="CK21" s="6209"/>
      <c r="CL21" s="6210"/>
      <c r="CM21" s="865"/>
      <c r="CN21" s="565">
        <v>440</v>
      </c>
      <c r="CO21" s="6206" t="s">
        <v>1958</v>
      </c>
      <c r="CP21" s="6207"/>
      <c r="CQ21" s="6208" t="str">
        <f>IF(CN10=0,"",VLOOKUP(CN10,'Tablas psiquica'!$D$7:$R$145,15,FALSE))</f>
        <v/>
      </c>
      <c r="CR21" s="6209"/>
      <c r="CS21" s="6209"/>
      <c r="CT21" s="6210"/>
      <c r="CU21" s="1450"/>
      <c r="CV21" s="565">
        <v>440</v>
      </c>
      <c r="CW21" s="6206" t="s">
        <v>1958</v>
      </c>
      <c r="CX21" s="6207"/>
      <c r="CY21" s="6208" t="str">
        <f>IF(CV10=0,"",VLOOKUP(CV10,'Tablas psiquica'!$D$7:$R$145,15,FALSE))</f>
        <v/>
      </c>
      <c r="CZ21" s="6209"/>
      <c r="DA21" s="6209"/>
      <c r="DB21" s="6210"/>
      <c r="DC21" s="530"/>
      <c r="DD21" s="524"/>
    </row>
    <row r="22" spans="1:108" ht="12" customHeight="1" thickBot="1" x14ac:dyDescent="0.25">
      <c r="A22" s="524"/>
      <c r="B22" s="1450"/>
      <c r="C22" s="6211" t="s">
        <v>6896</v>
      </c>
      <c r="D22" s="6212"/>
      <c r="E22" s="566" t="str">
        <f>IF(C10=0,"",VLOOKUP(C10,'Tablas psiquica'!$D$7:$R$145,4,FALSE))</f>
        <v/>
      </c>
      <c r="F22" s="6213" t="s">
        <v>6891</v>
      </c>
      <c r="G22" s="6213"/>
      <c r="H22" s="4569" t="str">
        <f>IF(C10=0,"",VLOOKUP(C10,'Tablas psiquica'!$D$7:$R$145,5,FALSE))</f>
        <v/>
      </c>
      <c r="I22" s="4570"/>
      <c r="J22" s="865"/>
      <c r="K22" s="6211" t="s">
        <v>6896</v>
      </c>
      <c r="L22" s="6212"/>
      <c r="M22" s="566" t="str">
        <f>IF(K10=0,"",VLOOKUP(K10,'Tablas psiquica'!$D$7:$R$145,4,FALSE))</f>
        <v/>
      </c>
      <c r="N22" s="6213" t="s">
        <v>6891</v>
      </c>
      <c r="O22" s="6213"/>
      <c r="P22" s="4569" t="str">
        <f>IF(K10=0,"",VLOOKUP(K10,'Tablas psiquica'!$D$7:$R$145,5,FALSE))</f>
        <v/>
      </c>
      <c r="Q22" s="4570"/>
      <c r="R22" s="1450"/>
      <c r="S22" s="6211" t="s">
        <v>6896</v>
      </c>
      <c r="T22" s="6212"/>
      <c r="U22" s="566" t="str">
        <f>IF(S10=0,"",VLOOKUP(S10,'Tablas psiquica'!$D$7:$R$145,4,FALSE))</f>
        <v/>
      </c>
      <c r="V22" s="6213" t="s">
        <v>6891</v>
      </c>
      <c r="W22" s="6213"/>
      <c r="X22" s="4569" t="str">
        <f>IF(S10=0,"",VLOOKUP(S10,'Tablas psiquica'!$D$7:$R$145,5,FALSE))</f>
        <v/>
      </c>
      <c r="Y22" s="4570"/>
      <c r="Z22" s="530"/>
      <c r="AA22" s="524"/>
      <c r="AB22" s="524"/>
      <c r="AC22" s="1450"/>
      <c r="AD22" s="6211" t="s">
        <v>6896</v>
      </c>
      <c r="AE22" s="6212"/>
      <c r="AF22" s="566" t="str">
        <f>IF(AD10=0,"",VLOOKUP(AD10,'Tablas psiquica'!$D$7:$R$145,4,FALSE))</f>
        <v/>
      </c>
      <c r="AG22" s="6213" t="s">
        <v>6891</v>
      </c>
      <c r="AH22" s="6213"/>
      <c r="AI22" s="4569" t="str">
        <f>IF(AD10=0,"",VLOOKUP(AD10,'Tablas psiquica'!$D$7:$R$145,5,FALSE))</f>
        <v/>
      </c>
      <c r="AJ22" s="4570"/>
      <c r="AK22" s="865"/>
      <c r="AL22" s="6211" t="s">
        <v>6896</v>
      </c>
      <c r="AM22" s="6212"/>
      <c r="AN22" s="566" t="str">
        <f>IF(AL10=0,"",VLOOKUP(AL10,'Tablas psiquica'!$D$7:$R$145,4,FALSE))</f>
        <v/>
      </c>
      <c r="AO22" s="6213" t="s">
        <v>6891</v>
      </c>
      <c r="AP22" s="6213"/>
      <c r="AQ22" s="4569" t="str">
        <f>IF(AL10=0,"",VLOOKUP(AL10,'Tablas psiquica'!$D$7:$R$145,5,FALSE))</f>
        <v/>
      </c>
      <c r="AR22" s="4570"/>
      <c r="AS22" s="1450"/>
      <c r="AT22" s="6211" t="s">
        <v>6896</v>
      </c>
      <c r="AU22" s="6212"/>
      <c r="AV22" s="566" t="str">
        <f>IF(AT10=0,"",VLOOKUP(AT10,'Tablas psiquica'!$D$7:$R$145,4,FALSE))</f>
        <v/>
      </c>
      <c r="AW22" s="6213" t="s">
        <v>6891</v>
      </c>
      <c r="AX22" s="6213"/>
      <c r="AY22" s="4569" t="str">
        <f>IF(AT10=0,"",VLOOKUP(AT10,'Tablas psiquica'!$D$7:$R$145,5,FALSE))</f>
        <v/>
      </c>
      <c r="AZ22" s="4570"/>
      <c r="BA22" s="530"/>
      <c r="BB22" s="524"/>
      <c r="BC22" s="524"/>
      <c r="BD22" s="1450"/>
      <c r="BE22" s="6211" t="s">
        <v>6896</v>
      </c>
      <c r="BF22" s="6212"/>
      <c r="BG22" s="566" t="str">
        <f>IF(BE10=0,"",VLOOKUP(BE10,'Tablas psiquica'!$D$7:$R$145,4,FALSE))</f>
        <v/>
      </c>
      <c r="BH22" s="6213" t="s">
        <v>6891</v>
      </c>
      <c r="BI22" s="6213"/>
      <c r="BJ22" s="4569" t="str">
        <f>IF(BE10=0,"",VLOOKUP(BE10,'Tablas psiquica'!$D$7:$R$145,5,FALSE))</f>
        <v/>
      </c>
      <c r="BK22" s="4570"/>
      <c r="BL22" s="865"/>
      <c r="BM22" s="6211" t="s">
        <v>6896</v>
      </c>
      <c r="BN22" s="6212"/>
      <c r="BO22" s="566" t="str">
        <f>IF(BM10=0,"",VLOOKUP(BM10,'Tablas psiquica'!$D$7:$R$145,4,FALSE))</f>
        <v/>
      </c>
      <c r="BP22" s="6213" t="s">
        <v>6891</v>
      </c>
      <c r="BQ22" s="6213"/>
      <c r="BR22" s="4569" t="str">
        <f>IF(BM10=0,"",VLOOKUP(BM10,'Tablas psiquica'!$D$7:$R$145,5,FALSE))</f>
        <v/>
      </c>
      <c r="BS22" s="4570"/>
      <c r="BT22" s="1450"/>
      <c r="BU22" s="6211" t="s">
        <v>6896</v>
      </c>
      <c r="BV22" s="6212"/>
      <c r="BW22" s="566" t="str">
        <f>IF(BU10=0,"",VLOOKUP(BU10,'Tablas psiquica'!$D$7:$R$145,4,FALSE))</f>
        <v/>
      </c>
      <c r="BX22" s="6213" t="s">
        <v>6891</v>
      </c>
      <c r="BY22" s="6213"/>
      <c r="BZ22" s="4569" t="str">
        <f>IF(BU10=0,"",VLOOKUP(BU10,'Tablas psiquica'!$D$7:$R$145,5,FALSE))</f>
        <v/>
      </c>
      <c r="CA22" s="4570"/>
      <c r="CB22" s="530"/>
      <c r="CC22" s="524"/>
      <c r="CD22" s="524"/>
      <c r="CE22" s="1450"/>
      <c r="CF22" s="6211" t="s">
        <v>6896</v>
      </c>
      <c r="CG22" s="6212"/>
      <c r="CH22" s="566" t="str">
        <f>IF(CF10=0,"",VLOOKUP(CF10,'Tablas psiquica'!$D$7:$R$145,4,FALSE))</f>
        <v/>
      </c>
      <c r="CI22" s="6213" t="s">
        <v>6891</v>
      </c>
      <c r="CJ22" s="6213"/>
      <c r="CK22" s="4569" t="str">
        <f>IF(CF10=0,"",VLOOKUP(CF10,'Tablas psiquica'!$D$7:$R$145,5,FALSE))</f>
        <v/>
      </c>
      <c r="CL22" s="4570"/>
      <c r="CM22" s="865"/>
      <c r="CN22" s="6211" t="s">
        <v>6896</v>
      </c>
      <c r="CO22" s="6212"/>
      <c r="CP22" s="566" t="str">
        <f>IF(CN10=0,"",VLOOKUP(CN10,'Tablas psiquica'!$D$7:$R$145,4,FALSE))</f>
        <v/>
      </c>
      <c r="CQ22" s="6213" t="s">
        <v>6891</v>
      </c>
      <c r="CR22" s="6213"/>
      <c r="CS22" s="4569" t="str">
        <f>IF(CN10=0,"",VLOOKUP(CN10,'Tablas psiquica'!$D$7:$R$145,5,FALSE))</f>
        <v/>
      </c>
      <c r="CT22" s="4570"/>
      <c r="CU22" s="1450"/>
      <c r="CV22" s="6211" t="s">
        <v>6896</v>
      </c>
      <c r="CW22" s="6212"/>
      <c r="CX22" s="566" t="str">
        <f>IF(CV10=0,"",VLOOKUP(CV10,'Tablas psiquica'!$D$7:$R$145,4,FALSE))</f>
        <v/>
      </c>
      <c r="CY22" s="6213" t="s">
        <v>6891</v>
      </c>
      <c r="CZ22" s="6213"/>
      <c r="DA22" s="4569" t="str">
        <f>IF(CV10=0,"",VLOOKUP(CV10,'Tablas psiquica'!$D$7:$R$145,5,FALSE))</f>
        <v/>
      </c>
      <c r="DB22" s="4570"/>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186">
        <f>IFERROR(INDEX('Tablas psiquica'!$U$115:$AH$129,B24,$Y$7),0)</f>
        <v>0</v>
      </c>
      <c r="D24" s="6187"/>
      <c r="E24" s="6187"/>
      <c r="F24" s="6187"/>
      <c r="G24" s="6187"/>
      <c r="H24" s="6187"/>
      <c r="I24" s="563" t="s">
        <v>1676</v>
      </c>
      <c r="J24" s="865">
        <v>5</v>
      </c>
      <c r="K24" s="6186">
        <f>IFERROR(INDEX('Tablas psiquica'!$U$115:$AH$129,J24,$Y$7),0)</f>
        <v>0</v>
      </c>
      <c r="L24" s="6187"/>
      <c r="M24" s="6187"/>
      <c r="N24" s="6187"/>
      <c r="O24" s="6187"/>
      <c r="P24" s="6187"/>
      <c r="Q24" s="563" t="s">
        <v>1676</v>
      </c>
      <c r="R24" s="1450">
        <v>6</v>
      </c>
      <c r="S24" s="6186">
        <f>IFERROR(INDEX('Tablas psiquica'!$U$115:$AH$129,R24,$Y$7),0)</f>
        <v>0</v>
      </c>
      <c r="T24" s="6187"/>
      <c r="U24" s="6187"/>
      <c r="V24" s="6187"/>
      <c r="W24" s="6187"/>
      <c r="X24" s="6187"/>
      <c r="Y24" s="563" t="s">
        <v>1676</v>
      </c>
      <c r="Z24" s="530"/>
      <c r="AA24" s="524"/>
      <c r="AB24" s="524"/>
      <c r="AC24" s="1450">
        <v>4</v>
      </c>
      <c r="AD24" s="6186">
        <f>IFERROR(INDEX('Tablas psiquica'!$U$115:$AH$129,AC24,$AZ$7),0)</f>
        <v>0</v>
      </c>
      <c r="AE24" s="6187"/>
      <c r="AF24" s="6187"/>
      <c r="AG24" s="6187"/>
      <c r="AH24" s="6187"/>
      <c r="AI24" s="6187"/>
      <c r="AJ24" s="563" t="s">
        <v>1676</v>
      </c>
      <c r="AK24" s="865">
        <v>5</v>
      </c>
      <c r="AL24" s="6186">
        <f>IFERROR(INDEX('Tablas psiquica'!$U$115:$AH$129,AK24,$AZ$7),0)</f>
        <v>0</v>
      </c>
      <c r="AM24" s="6187"/>
      <c r="AN24" s="6187"/>
      <c r="AO24" s="6187"/>
      <c r="AP24" s="6187"/>
      <c r="AQ24" s="6187"/>
      <c r="AR24" s="563" t="s">
        <v>1676</v>
      </c>
      <c r="AS24" s="1450">
        <v>6</v>
      </c>
      <c r="AT24" s="6186">
        <f>IFERROR(INDEX('Tablas psiquica'!$U$115:$AH$129,AS24,$AZ$7),0)</f>
        <v>0</v>
      </c>
      <c r="AU24" s="6187"/>
      <c r="AV24" s="6187"/>
      <c r="AW24" s="6187"/>
      <c r="AX24" s="6187"/>
      <c r="AY24" s="6187"/>
      <c r="AZ24" s="563" t="s">
        <v>1676</v>
      </c>
      <c r="BA24" s="530"/>
      <c r="BB24" s="524"/>
      <c r="BC24" s="524"/>
      <c r="BD24" s="1450">
        <v>4</v>
      </c>
      <c r="BE24" s="6186">
        <f>IFERROR(INDEX('Tablas psiquica'!$U$115:$AH$129,BD24,$CA$7),0)</f>
        <v>0</v>
      </c>
      <c r="BF24" s="6187"/>
      <c r="BG24" s="6187"/>
      <c r="BH24" s="6187"/>
      <c r="BI24" s="6187"/>
      <c r="BJ24" s="6187"/>
      <c r="BK24" s="563" t="s">
        <v>1676</v>
      </c>
      <c r="BL24" s="865">
        <v>5</v>
      </c>
      <c r="BM24" s="6186">
        <f>IFERROR(INDEX('Tablas psiquica'!$U$115:$AH$129,BL24,$CA$7),0)</f>
        <v>0</v>
      </c>
      <c r="BN24" s="6187"/>
      <c r="BO24" s="6187"/>
      <c r="BP24" s="6187"/>
      <c r="BQ24" s="6187"/>
      <c r="BR24" s="6187"/>
      <c r="BS24" s="563" t="s">
        <v>1676</v>
      </c>
      <c r="BT24" s="1450">
        <v>6</v>
      </c>
      <c r="BU24" s="6186">
        <f>IFERROR(INDEX('Tablas psiquica'!$U$115:$AH$129,BT24,$CA$7),0)</f>
        <v>0</v>
      </c>
      <c r="BV24" s="6187"/>
      <c r="BW24" s="6187"/>
      <c r="BX24" s="6187"/>
      <c r="BY24" s="6187"/>
      <c r="BZ24" s="6187"/>
      <c r="CA24" s="563" t="s">
        <v>1676</v>
      </c>
      <c r="CB24" s="530"/>
      <c r="CC24" s="524"/>
      <c r="CD24" s="524"/>
      <c r="CE24" s="1450">
        <v>4</v>
      </c>
      <c r="CF24" s="6186">
        <f>IFERROR(INDEX('Tablas psiquica'!$U$115:$AH$129,CE24,$DB$7),0)</f>
        <v>0</v>
      </c>
      <c r="CG24" s="6187"/>
      <c r="CH24" s="6187"/>
      <c r="CI24" s="6187"/>
      <c r="CJ24" s="6187"/>
      <c r="CK24" s="6187"/>
      <c r="CL24" s="563" t="s">
        <v>1676</v>
      </c>
      <c r="CM24" s="865">
        <v>5</v>
      </c>
      <c r="CN24" s="6186">
        <f>IFERROR(INDEX('Tablas psiquica'!$U$115:$AH$129,CM24,$DB$7),0)</f>
        <v>0</v>
      </c>
      <c r="CO24" s="6187"/>
      <c r="CP24" s="6187"/>
      <c r="CQ24" s="6187"/>
      <c r="CR24" s="6187"/>
      <c r="CS24" s="6187"/>
      <c r="CT24" s="563" t="s">
        <v>1676</v>
      </c>
      <c r="CU24" s="1450">
        <v>6</v>
      </c>
      <c r="CV24" s="6186">
        <f>IFERROR(INDEX('Tablas psiquica'!$U$115:$AH$129,CU24,$DB$7),0)</f>
        <v>0</v>
      </c>
      <c r="CW24" s="6187"/>
      <c r="CX24" s="6187"/>
      <c r="CY24" s="6187"/>
      <c r="CZ24" s="6187"/>
      <c r="DA24" s="6187"/>
      <c r="DB24" s="563" t="s">
        <v>1676</v>
      </c>
      <c r="DC24" s="530"/>
      <c r="DD24" s="524"/>
    </row>
    <row r="25" spans="1:108" ht="12" customHeight="1" x14ac:dyDescent="0.2">
      <c r="A25" s="524"/>
      <c r="B25" s="1450"/>
      <c r="C25" s="6188" t="str">
        <f>IF(C24=0,"",VLOOKUP(C24,'Tablas psiquica'!$D$7:$R$145,2,FALSE))</f>
        <v/>
      </c>
      <c r="D25" s="6189"/>
      <c r="E25" s="6189"/>
      <c r="F25" s="6190"/>
      <c r="G25" s="6191" t="str">
        <f>IF(C24=0,"",IF(INDEX('Tablas psiquica'!$U$114:$AH$114,1,$Y$7)=0,"No Accesible",IF(ISNA(VLOOKUP(C24,Psíquicos!$V$11:$Z$64,1,0)),"Accesible CV","Aprendido")))</f>
        <v/>
      </c>
      <c r="H25" s="6192"/>
      <c r="I25" s="2313" t="str">
        <f>IF(C24=0,"",VLOOKUP(C24,'Tablas psiquica'!$D$7:$R$145,3,FALSE))</f>
        <v/>
      </c>
      <c r="J25" s="865"/>
      <c r="K25" s="6188" t="str">
        <f>IF(K24=0,"",VLOOKUP(K24,'Tablas psiquica'!$D$7:$R$145,2,FALSE))</f>
        <v/>
      </c>
      <c r="L25" s="6189"/>
      <c r="M25" s="6189"/>
      <c r="N25" s="6190"/>
      <c r="O25" s="6191" t="str">
        <f>IF(K24=0,"",IF(INDEX('Tablas psiquica'!$U$114:$AH$114,1,$Y$7)=0,"No Accesible",IF(ISNA(VLOOKUP(K24,Psíquicos!$V$11:$Z$64,1,0)),"Accesible CV","Aprendido")))</f>
        <v/>
      </c>
      <c r="P25" s="6192"/>
      <c r="Q25" s="2313" t="str">
        <f>IF(K24=0,"",VLOOKUP(K24,'Tablas psiquica'!$D$7:$R$145,3,FALSE))</f>
        <v/>
      </c>
      <c r="R25" s="1450"/>
      <c r="S25" s="6188" t="str">
        <f>IF(S24=0,"",VLOOKUP(S24,'Tablas psiquica'!$D$7:$R$145,2,FALSE))</f>
        <v/>
      </c>
      <c r="T25" s="6189"/>
      <c r="U25" s="6189"/>
      <c r="V25" s="6190"/>
      <c r="W25" s="6191" t="str">
        <f>IF(S24=0,"",IF(INDEX('Tablas psiquica'!$U$114:$AH$114,1,$Y$7)=0,"No Accesible",IF(ISNA(VLOOKUP(S24,Psíquicos!$V$11:$Z$64,1,0)),"Accesible CV","Aprendido")))</f>
        <v/>
      </c>
      <c r="X25" s="6192"/>
      <c r="Y25" s="2313" t="str">
        <f>IF(S24=0,"",VLOOKUP(S24,'Tablas psiquica'!$D$7:$R$145,3,FALSE))</f>
        <v/>
      </c>
      <c r="Z25" s="530"/>
      <c r="AA25" s="524"/>
      <c r="AB25" s="524"/>
      <c r="AC25" s="1450"/>
      <c r="AD25" s="6188" t="str">
        <f>IF(AD24=0,"",VLOOKUP(AD24,'Tablas psiquica'!$D$7:$R$145,2,FALSE))</f>
        <v/>
      </c>
      <c r="AE25" s="6189"/>
      <c r="AF25" s="6189"/>
      <c r="AG25" s="6190"/>
      <c r="AH25" s="6191" t="str">
        <f>IF(AD24=0,"",IF(INDEX('Tablas psiquica'!$U$114:$AH$114,1,$AZ$7)=0,"No Accesible",IF(ISNA(VLOOKUP(AD24,Psíquicos!$V$11:$Z$64,1,0)),"Accesible CV","Aprendido")))</f>
        <v/>
      </c>
      <c r="AI25" s="6192"/>
      <c r="AJ25" s="2313" t="str">
        <f>IF(AD24=0,"",VLOOKUP(AD24,'Tablas psiquica'!$D$7:$R$145,3,FALSE))</f>
        <v/>
      </c>
      <c r="AK25" s="865"/>
      <c r="AL25" s="6188" t="str">
        <f>IF(AL24=0,"",VLOOKUP(AL24,'Tablas psiquica'!$D$7:$R$145,2,FALSE))</f>
        <v/>
      </c>
      <c r="AM25" s="6189"/>
      <c r="AN25" s="6189"/>
      <c r="AO25" s="6190"/>
      <c r="AP25" s="6191" t="str">
        <f>IF(AL24=0,"",IF(INDEX('Tablas psiquica'!$U$114:$AH$114,1,$AZ$7)=0,"No Accesible",IF(ISNA(VLOOKUP(AL24,Psíquicos!$V$11:$Z$64,1,0)),"Accesible CV","Aprendido")))</f>
        <v/>
      </c>
      <c r="AQ25" s="6192"/>
      <c r="AR25" s="2313" t="str">
        <f>IF(AL24=0,"",VLOOKUP(AL24,'Tablas psiquica'!$D$7:$R$145,3,FALSE))</f>
        <v/>
      </c>
      <c r="AS25" s="1450"/>
      <c r="AT25" s="6188" t="str">
        <f>IF(AT24=0,"",VLOOKUP(AT24,'Tablas psiquica'!$D$7:$R$145,2,FALSE))</f>
        <v/>
      </c>
      <c r="AU25" s="6189"/>
      <c r="AV25" s="6189"/>
      <c r="AW25" s="6190"/>
      <c r="AX25" s="6191" t="str">
        <f>IF(AT24=0,"",IF(INDEX('Tablas psiquica'!$U$114:$AH$114,1,$AZ$7)=0,"No Accesible",IF(ISNA(VLOOKUP(AT24,Psíquicos!$V$11:$Z$64,1,0)),"Accesible CV","Aprendido")))</f>
        <v/>
      </c>
      <c r="AY25" s="6192"/>
      <c r="AZ25" s="2313" t="str">
        <f>IF(AT24=0,"",VLOOKUP(AT24,'Tablas psiquica'!$D$7:$R$145,3,FALSE))</f>
        <v/>
      </c>
      <c r="BA25" s="530"/>
      <c r="BB25" s="524"/>
      <c r="BC25" s="524"/>
      <c r="BD25" s="1450"/>
      <c r="BE25" s="6188" t="str">
        <f>IF(BE24=0,"",VLOOKUP(BE24,'Tablas psiquica'!$D$7:$R$145,2,FALSE))</f>
        <v/>
      </c>
      <c r="BF25" s="6189"/>
      <c r="BG25" s="6189"/>
      <c r="BH25" s="6190"/>
      <c r="BI25" s="6191" t="str">
        <f>IF(BE24=0,"",IF(INDEX('Tablas psiquica'!$U$114:$AH$114,1,$CA$7)=0,"No Accesible",IF(ISNA(VLOOKUP(BE24,Psíquicos!$V$11:$Z$64,1,0)),"Accesible CV","Aprendido")))</f>
        <v/>
      </c>
      <c r="BJ25" s="6192"/>
      <c r="BK25" s="2313" t="str">
        <f>IF(BE24=0,"",VLOOKUP(BE24,'Tablas psiquica'!$D$7:$R$145,3,FALSE))</f>
        <v/>
      </c>
      <c r="BL25" s="865"/>
      <c r="BM25" s="6188" t="str">
        <f>IF(BM24=0,"",VLOOKUP(BM24,'Tablas psiquica'!$D$7:$R$145,2,FALSE))</f>
        <v/>
      </c>
      <c r="BN25" s="6189"/>
      <c r="BO25" s="6189"/>
      <c r="BP25" s="6190"/>
      <c r="BQ25" s="6191" t="str">
        <f>IF(BM24=0,"",IF(INDEX('Tablas psiquica'!$U$114:$AH$114,1,$CA$7)=0,"No Accesible",IF(ISNA(VLOOKUP(BM24,Psíquicos!$V$11:$Z$64,1,0)),"Accesible CV","Aprendido")))</f>
        <v/>
      </c>
      <c r="BR25" s="6192"/>
      <c r="BS25" s="2313" t="str">
        <f>IF(BM24=0,"",VLOOKUP(BM24,'Tablas psiquica'!$D$7:$R$145,3,FALSE))</f>
        <v/>
      </c>
      <c r="BT25" s="1450"/>
      <c r="BU25" s="6188" t="str">
        <f>IF(BU24=0,"",VLOOKUP(BU24,'Tablas psiquica'!$D$7:$R$145,2,FALSE))</f>
        <v/>
      </c>
      <c r="BV25" s="6189"/>
      <c r="BW25" s="6189"/>
      <c r="BX25" s="6190"/>
      <c r="BY25" s="6191" t="str">
        <f>IF(BU24=0,"",IF(INDEX('Tablas psiquica'!$U$114:$AH$114,1,$CA$7)=0,"No Accesible",IF(ISNA(VLOOKUP(BU24,Psíquicos!$V$11:$Z$64,1,0)),"Accesible CV","Aprendido")))</f>
        <v/>
      </c>
      <c r="BZ25" s="6192"/>
      <c r="CA25" s="2313" t="str">
        <f>IF(BU24=0,"",VLOOKUP(BU24,'Tablas psiquica'!$D$7:$R$145,3,FALSE))</f>
        <v/>
      </c>
      <c r="CB25" s="530"/>
      <c r="CC25" s="524"/>
      <c r="CD25" s="524"/>
      <c r="CE25" s="1450"/>
      <c r="CF25" s="6188" t="str">
        <f>IF(CF24=0,"",VLOOKUP(CF24,'Tablas psiquica'!$D$7:$R$145,2,FALSE))</f>
        <v/>
      </c>
      <c r="CG25" s="6189"/>
      <c r="CH25" s="6189"/>
      <c r="CI25" s="6190"/>
      <c r="CJ25" s="6191" t="str">
        <f>IF(CF24=0,"",IF(INDEX('Tablas psiquica'!$U$114:$AH$114,1,$DB$7)=0,"No Accesible",IF(ISNA(VLOOKUP(CF24,Psíquicos!$V$11:$Z$64,1,0)),"Accesible CV","Aprendido")))</f>
        <v/>
      </c>
      <c r="CK25" s="6192"/>
      <c r="CL25" s="2313" t="str">
        <f>IF(CF24=0,"",VLOOKUP(CF24,'Tablas psiquica'!$D$7:$R$145,3,FALSE))</f>
        <v/>
      </c>
      <c r="CM25" s="865"/>
      <c r="CN25" s="6188" t="str">
        <f>IF(CN24=0,"",VLOOKUP(CN24,'Tablas psiquica'!$D$7:$R$145,2,FALSE))</f>
        <v/>
      </c>
      <c r="CO25" s="6189"/>
      <c r="CP25" s="6189"/>
      <c r="CQ25" s="6190"/>
      <c r="CR25" s="6191" t="str">
        <f>IF(CN24=0,"",IF(INDEX('Tablas psiquica'!$U$114:$AH$114,1,$DB$7)=0,"No Accesible",IF(ISNA(VLOOKUP(CN24,Psíquicos!$V$11:$Z$64,1,0)),"Accesible CV","Aprendido")))</f>
        <v/>
      </c>
      <c r="CS25" s="6192"/>
      <c r="CT25" s="2313" t="str">
        <f>IF(CN24=0,"",VLOOKUP(CN24,'Tablas psiquica'!$D$7:$R$145,3,FALSE))</f>
        <v/>
      </c>
      <c r="CU25" s="1450"/>
      <c r="CV25" s="6188" t="str">
        <f>IF(CV24=0,"",VLOOKUP(CV24,'Tablas psiquica'!$D$7:$R$145,2,FALSE))</f>
        <v/>
      </c>
      <c r="CW25" s="6189"/>
      <c r="CX25" s="6189"/>
      <c r="CY25" s="6190"/>
      <c r="CZ25" s="6191" t="str">
        <f>IF(CV24=0,"",IF(INDEX('Tablas psiquica'!$U$114:$AH$114,1,$DB$7)=0,"No Accesible",IF(ISNA(VLOOKUP(CV24,Psíquicos!$V$11:$Z$64,1,0)),"Accesible CV","Aprendido")))</f>
        <v/>
      </c>
      <c r="DA25" s="6192"/>
      <c r="DB25" s="2313" t="str">
        <f>IF(CV24=0,"",VLOOKUP(CV24,'Tablas psiquica'!$D$7:$R$145,3,FALSE))</f>
        <v/>
      </c>
      <c r="DC25" s="530"/>
      <c r="DD25" s="524"/>
    </row>
    <row r="26" spans="1:108" ht="12" customHeight="1" x14ac:dyDescent="0.2">
      <c r="A26" s="524"/>
      <c r="B26" s="1450"/>
      <c r="C26" s="2271">
        <v>20</v>
      </c>
      <c r="D26" s="6203" t="s">
        <v>2001</v>
      </c>
      <c r="E26" s="6133"/>
      <c r="F26" s="6204" t="str">
        <f>IF(C24=0,"",VLOOKUP(C24,'Tablas psiquica'!$D$7:$R$145,6,FALSE))</f>
        <v/>
      </c>
      <c r="G26" s="6205"/>
      <c r="H26" s="6205"/>
      <c r="I26" s="5767"/>
      <c r="J26" s="865"/>
      <c r="K26" s="2271">
        <v>20</v>
      </c>
      <c r="L26" s="6203" t="s">
        <v>2001</v>
      </c>
      <c r="M26" s="6133"/>
      <c r="N26" s="6204" t="str">
        <f>IF(K24=0,"",VLOOKUP(K24,'Tablas psiquica'!$D$7:$R$145,6,FALSE))</f>
        <v/>
      </c>
      <c r="O26" s="6205"/>
      <c r="P26" s="6205"/>
      <c r="Q26" s="5767"/>
      <c r="R26" s="1450"/>
      <c r="S26" s="2271">
        <v>20</v>
      </c>
      <c r="T26" s="6203" t="s">
        <v>2001</v>
      </c>
      <c r="U26" s="6133"/>
      <c r="V26" s="6204" t="str">
        <f>IF(S24=0,"",VLOOKUP(S24,'Tablas psiquica'!$D$7:$R$145,6,FALSE))</f>
        <v/>
      </c>
      <c r="W26" s="6205"/>
      <c r="X26" s="6205"/>
      <c r="Y26" s="5767"/>
      <c r="Z26" s="530"/>
      <c r="AA26" s="524"/>
      <c r="AB26" s="524"/>
      <c r="AC26" s="1450"/>
      <c r="AD26" s="2271">
        <v>20</v>
      </c>
      <c r="AE26" s="6203" t="s">
        <v>2001</v>
      </c>
      <c r="AF26" s="6133"/>
      <c r="AG26" s="6204" t="str">
        <f>IF(AD24=0,"",VLOOKUP(AD24,'Tablas psiquica'!$D$7:$R$145,6,FALSE))</f>
        <v/>
      </c>
      <c r="AH26" s="6205"/>
      <c r="AI26" s="6205"/>
      <c r="AJ26" s="5767"/>
      <c r="AK26" s="865"/>
      <c r="AL26" s="2271">
        <v>20</v>
      </c>
      <c r="AM26" s="6203" t="s">
        <v>2001</v>
      </c>
      <c r="AN26" s="6133"/>
      <c r="AO26" s="6204" t="str">
        <f>IF(AL24=0,"",VLOOKUP(AL24,'Tablas psiquica'!$D$7:$R$145,6,FALSE))</f>
        <v/>
      </c>
      <c r="AP26" s="6205"/>
      <c r="AQ26" s="6205"/>
      <c r="AR26" s="5767"/>
      <c r="AS26" s="1450"/>
      <c r="AT26" s="2271">
        <v>20</v>
      </c>
      <c r="AU26" s="6203" t="s">
        <v>2001</v>
      </c>
      <c r="AV26" s="6133"/>
      <c r="AW26" s="6204" t="str">
        <f>IF(AT24=0,"",VLOOKUP(AT24,'Tablas psiquica'!$D$7:$R$145,6,FALSE))</f>
        <v/>
      </c>
      <c r="AX26" s="6205"/>
      <c r="AY26" s="6205"/>
      <c r="AZ26" s="5767"/>
      <c r="BA26" s="530"/>
      <c r="BB26" s="524"/>
      <c r="BC26" s="524"/>
      <c r="BD26" s="1450"/>
      <c r="BE26" s="2271">
        <v>20</v>
      </c>
      <c r="BF26" s="6203" t="s">
        <v>2001</v>
      </c>
      <c r="BG26" s="6133"/>
      <c r="BH26" s="6204" t="str">
        <f>IF(BE24=0,"",VLOOKUP(BE24,'Tablas psiquica'!$D$7:$R$145,6,FALSE))</f>
        <v/>
      </c>
      <c r="BI26" s="6205"/>
      <c r="BJ26" s="6205"/>
      <c r="BK26" s="5767"/>
      <c r="BL26" s="865"/>
      <c r="BM26" s="2271">
        <v>20</v>
      </c>
      <c r="BN26" s="6203" t="s">
        <v>2001</v>
      </c>
      <c r="BO26" s="6133"/>
      <c r="BP26" s="6204" t="str">
        <f>IF(BM24=0,"",VLOOKUP(BM24,'Tablas psiquica'!$D$7:$R$145,6,FALSE))</f>
        <v/>
      </c>
      <c r="BQ26" s="6205"/>
      <c r="BR26" s="6205"/>
      <c r="BS26" s="5767"/>
      <c r="BT26" s="1450"/>
      <c r="BU26" s="2271">
        <v>20</v>
      </c>
      <c r="BV26" s="6203" t="s">
        <v>2001</v>
      </c>
      <c r="BW26" s="6133"/>
      <c r="BX26" s="6204" t="str">
        <f>IF(BU24=0,"",VLOOKUP(BU24,'Tablas psiquica'!$D$7:$R$145,6,FALSE))</f>
        <v/>
      </c>
      <c r="BY26" s="6205"/>
      <c r="BZ26" s="6205"/>
      <c r="CA26" s="5767"/>
      <c r="CB26" s="530"/>
      <c r="CC26" s="524"/>
      <c r="CD26" s="524"/>
      <c r="CE26" s="1450"/>
      <c r="CF26" s="2271">
        <v>20</v>
      </c>
      <c r="CG26" s="6203" t="s">
        <v>2001</v>
      </c>
      <c r="CH26" s="6133"/>
      <c r="CI26" s="6204" t="str">
        <f>IF(CF24=0,"",VLOOKUP(CF24,'Tablas psiquica'!$D$7:$R$145,6,FALSE))</f>
        <v/>
      </c>
      <c r="CJ26" s="6205"/>
      <c r="CK26" s="6205"/>
      <c r="CL26" s="5767"/>
      <c r="CM26" s="865"/>
      <c r="CN26" s="2271">
        <v>20</v>
      </c>
      <c r="CO26" s="6203" t="s">
        <v>2001</v>
      </c>
      <c r="CP26" s="6133"/>
      <c r="CQ26" s="6204" t="str">
        <f>IF(CN24=0,"",VLOOKUP(CN24,'Tablas psiquica'!$D$7:$R$145,6,FALSE))</f>
        <v/>
      </c>
      <c r="CR26" s="6205"/>
      <c r="CS26" s="6205"/>
      <c r="CT26" s="5767"/>
      <c r="CU26" s="1450"/>
      <c r="CV26" s="2271">
        <v>20</v>
      </c>
      <c r="CW26" s="6203" t="s">
        <v>2001</v>
      </c>
      <c r="CX26" s="6133"/>
      <c r="CY26" s="6204" t="str">
        <f>IF(CV24=0,"",VLOOKUP(CV24,'Tablas psiquica'!$D$7:$R$145,6,FALSE))</f>
        <v/>
      </c>
      <c r="CZ26" s="6205"/>
      <c r="DA26" s="6205"/>
      <c r="DB26" s="5767"/>
      <c r="DC26" s="530"/>
      <c r="DD26" s="524"/>
    </row>
    <row r="27" spans="1:108" ht="12" customHeight="1" x14ac:dyDescent="0.2">
      <c r="A27" s="524"/>
      <c r="B27" s="1450"/>
      <c r="C27" s="2270">
        <v>40</v>
      </c>
      <c r="D27" s="6199" t="s">
        <v>2005</v>
      </c>
      <c r="E27" s="6138"/>
      <c r="F27" s="6200" t="str">
        <f>IF(C24=0,"",VLOOKUP(C24,'Tablas psiquica'!$D$7:$R$145,7,FALSE))</f>
        <v/>
      </c>
      <c r="G27" s="6201"/>
      <c r="H27" s="6201"/>
      <c r="I27" s="6202"/>
      <c r="J27" s="865"/>
      <c r="K27" s="2270">
        <v>40</v>
      </c>
      <c r="L27" s="6199" t="s">
        <v>2005</v>
      </c>
      <c r="M27" s="6138"/>
      <c r="N27" s="6200" t="str">
        <f>IF(K24=0,"",VLOOKUP(K24,'Tablas psiquica'!$D$7:$R$145,7,FALSE))</f>
        <v/>
      </c>
      <c r="O27" s="6201"/>
      <c r="P27" s="6201"/>
      <c r="Q27" s="6202"/>
      <c r="R27" s="1450"/>
      <c r="S27" s="2270">
        <v>40</v>
      </c>
      <c r="T27" s="6199" t="s">
        <v>2005</v>
      </c>
      <c r="U27" s="6138"/>
      <c r="V27" s="6200" t="str">
        <f>IF(S24=0,"",VLOOKUP(S24,'Tablas psiquica'!$D$7:$R$145,7,FALSE))</f>
        <v/>
      </c>
      <c r="W27" s="6201"/>
      <c r="X27" s="6201"/>
      <c r="Y27" s="6202"/>
      <c r="Z27" s="530"/>
      <c r="AA27" s="524"/>
      <c r="AB27" s="524"/>
      <c r="AC27" s="1450"/>
      <c r="AD27" s="2270">
        <v>40</v>
      </c>
      <c r="AE27" s="6199" t="s">
        <v>2005</v>
      </c>
      <c r="AF27" s="6138"/>
      <c r="AG27" s="6200" t="str">
        <f>IF(AD24=0,"",VLOOKUP(AD24,'Tablas psiquica'!$D$7:$R$145,7,FALSE))</f>
        <v/>
      </c>
      <c r="AH27" s="6201"/>
      <c r="AI27" s="6201"/>
      <c r="AJ27" s="6202"/>
      <c r="AK27" s="865"/>
      <c r="AL27" s="2270">
        <v>40</v>
      </c>
      <c r="AM27" s="6199" t="s">
        <v>2005</v>
      </c>
      <c r="AN27" s="6138"/>
      <c r="AO27" s="6200" t="str">
        <f>IF(AL24=0,"",VLOOKUP(AL24,'Tablas psiquica'!$D$7:$R$145,7,FALSE))</f>
        <v/>
      </c>
      <c r="AP27" s="6201"/>
      <c r="AQ27" s="6201"/>
      <c r="AR27" s="6202"/>
      <c r="AS27" s="1450"/>
      <c r="AT27" s="2270">
        <v>40</v>
      </c>
      <c r="AU27" s="6199" t="s">
        <v>2005</v>
      </c>
      <c r="AV27" s="6138"/>
      <c r="AW27" s="6200" t="str">
        <f>IF(AT24=0,"",VLOOKUP(AT24,'Tablas psiquica'!$D$7:$R$145,7,FALSE))</f>
        <v/>
      </c>
      <c r="AX27" s="6201"/>
      <c r="AY27" s="6201"/>
      <c r="AZ27" s="6202"/>
      <c r="BA27" s="530"/>
      <c r="BB27" s="524"/>
      <c r="BC27" s="524"/>
      <c r="BD27" s="1450"/>
      <c r="BE27" s="2270">
        <v>40</v>
      </c>
      <c r="BF27" s="6199" t="s">
        <v>2005</v>
      </c>
      <c r="BG27" s="6138"/>
      <c r="BH27" s="6200" t="str">
        <f>IF(BE24=0,"",VLOOKUP(BE24,'Tablas psiquica'!$D$7:$R$145,7,FALSE))</f>
        <v/>
      </c>
      <c r="BI27" s="6201"/>
      <c r="BJ27" s="6201"/>
      <c r="BK27" s="6202"/>
      <c r="BL27" s="865"/>
      <c r="BM27" s="2270">
        <v>40</v>
      </c>
      <c r="BN27" s="6199" t="s">
        <v>2005</v>
      </c>
      <c r="BO27" s="6138"/>
      <c r="BP27" s="6200" t="str">
        <f>IF(BM24=0,"",VLOOKUP(BM24,'Tablas psiquica'!$D$7:$R$145,7,FALSE))</f>
        <v/>
      </c>
      <c r="BQ27" s="6201"/>
      <c r="BR27" s="6201"/>
      <c r="BS27" s="6202"/>
      <c r="BT27" s="1450"/>
      <c r="BU27" s="2270">
        <v>40</v>
      </c>
      <c r="BV27" s="6199" t="s">
        <v>2005</v>
      </c>
      <c r="BW27" s="6138"/>
      <c r="BX27" s="6200" t="str">
        <f>IF(BU24=0,"",VLOOKUP(BU24,'Tablas psiquica'!$D$7:$R$145,7,FALSE))</f>
        <v/>
      </c>
      <c r="BY27" s="6201"/>
      <c r="BZ27" s="6201"/>
      <c r="CA27" s="6202"/>
      <c r="CB27" s="530"/>
      <c r="CC27" s="524"/>
      <c r="CD27" s="524"/>
      <c r="CE27" s="1450"/>
      <c r="CF27" s="2270">
        <v>40</v>
      </c>
      <c r="CG27" s="6199" t="s">
        <v>2005</v>
      </c>
      <c r="CH27" s="6138"/>
      <c r="CI27" s="6200" t="str">
        <f>IF(CF24=0,"",VLOOKUP(CF24,'Tablas psiquica'!$D$7:$R$145,7,FALSE))</f>
        <v/>
      </c>
      <c r="CJ27" s="6201"/>
      <c r="CK27" s="6201"/>
      <c r="CL27" s="6202"/>
      <c r="CM27" s="865"/>
      <c r="CN27" s="2270">
        <v>40</v>
      </c>
      <c r="CO27" s="6199" t="s">
        <v>2005</v>
      </c>
      <c r="CP27" s="6138"/>
      <c r="CQ27" s="6200" t="str">
        <f>IF(CN24=0,"",VLOOKUP(CN24,'Tablas psiquica'!$D$7:$R$145,7,FALSE))</f>
        <v/>
      </c>
      <c r="CR27" s="6201"/>
      <c r="CS27" s="6201"/>
      <c r="CT27" s="6202"/>
      <c r="CU27" s="1450"/>
      <c r="CV27" s="2270">
        <v>40</v>
      </c>
      <c r="CW27" s="6199" t="s">
        <v>2005</v>
      </c>
      <c r="CX27" s="6138"/>
      <c r="CY27" s="6200" t="str">
        <f>IF(CV24=0,"",VLOOKUP(CV24,'Tablas psiquica'!$D$7:$R$145,7,FALSE))</f>
        <v/>
      </c>
      <c r="CZ27" s="6201"/>
      <c r="DA27" s="6201"/>
      <c r="DB27" s="6202"/>
      <c r="DC27" s="530"/>
      <c r="DD27" s="524"/>
    </row>
    <row r="28" spans="1:108" ht="12" customHeight="1" x14ac:dyDescent="0.2">
      <c r="A28" s="524"/>
      <c r="B28" s="1450"/>
      <c r="C28" s="2271">
        <v>80</v>
      </c>
      <c r="D28" s="6203" t="s">
        <v>2008</v>
      </c>
      <c r="E28" s="6133"/>
      <c r="F28" s="6204" t="str">
        <f>IF(C24=0,"",VLOOKUP(C24,'Tablas psiquica'!$D$7:$R$145,8,FALSE))</f>
        <v/>
      </c>
      <c r="G28" s="6205"/>
      <c r="H28" s="6205"/>
      <c r="I28" s="5767"/>
      <c r="J28" s="865"/>
      <c r="K28" s="2271">
        <v>80</v>
      </c>
      <c r="L28" s="6203" t="s">
        <v>2008</v>
      </c>
      <c r="M28" s="6133"/>
      <c r="N28" s="6204" t="str">
        <f>IF(K24=0,"",VLOOKUP(K24,'Tablas psiquica'!$D$7:$R$145,8,FALSE))</f>
        <v/>
      </c>
      <c r="O28" s="6205"/>
      <c r="P28" s="6205"/>
      <c r="Q28" s="5767"/>
      <c r="R28" s="1450"/>
      <c r="S28" s="2271">
        <v>80</v>
      </c>
      <c r="T28" s="6203" t="s">
        <v>2008</v>
      </c>
      <c r="U28" s="6133"/>
      <c r="V28" s="6204" t="str">
        <f>IF(S24=0,"",VLOOKUP(S24,'Tablas psiquica'!$D$7:$R$145,8,FALSE))</f>
        <v/>
      </c>
      <c r="W28" s="6205"/>
      <c r="X28" s="6205"/>
      <c r="Y28" s="5767"/>
      <c r="Z28" s="530"/>
      <c r="AA28" s="524"/>
      <c r="AB28" s="524"/>
      <c r="AC28" s="1450"/>
      <c r="AD28" s="2271">
        <v>80</v>
      </c>
      <c r="AE28" s="6203" t="s">
        <v>2008</v>
      </c>
      <c r="AF28" s="6133"/>
      <c r="AG28" s="6204" t="str">
        <f>IF(AD24=0,"",VLOOKUP(AD24,'Tablas psiquica'!$D$7:$R$145,8,FALSE))</f>
        <v/>
      </c>
      <c r="AH28" s="6205"/>
      <c r="AI28" s="6205"/>
      <c r="AJ28" s="5767"/>
      <c r="AK28" s="865"/>
      <c r="AL28" s="2271">
        <v>80</v>
      </c>
      <c r="AM28" s="6203" t="s">
        <v>2008</v>
      </c>
      <c r="AN28" s="6133"/>
      <c r="AO28" s="6204" t="str">
        <f>IF(AL24=0,"",VLOOKUP(AL24,'Tablas psiquica'!$D$7:$R$145,8,FALSE))</f>
        <v/>
      </c>
      <c r="AP28" s="6205"/>
      <c r="AQ28" s="6205"/>
      <c r="AR28" s="5767"/>
      <c r="AS28" s="1450"/>
      <c r="AT28" s="2271">
        <v>80</v>
      </c>
      <c r="AU28" s="6203" t="s">
        <v>2008</v>
      </c>
      <c r="AV28" s="6133"/>
      <c r="AW28" s="6204" t="str">
        <f>IF(AT24=0,"",VLOOKUP(AT24,'Tablas psiquica'!$D$7:$R$145,8,FALSE))</f>
        <v/>
      </c>
      <c r="AX28" s="6205"/>
      <c r="AY28" s="6205"/>
      <c r="AZ28" s="5767"/>
      <c r="BA28" s="530"/>
      <c r="BB28" s="524"/>
      <c r="BC28" s="524"/>
      <c r="BD28" s="1450"/>
      <c r="BE28" s="2271">
        <v>80</v>
      </c>
      <c r="BF28" s="6203" t="s">
        <v>2008</v>
      </c>
      <c r="BG28" s="6133"/>
      <c r="BH28" s="6204" t="str">
        <f>IF(BE24=0,"",VLOOKUP(BE24,'Tablas psiquica'!$D$7:$R$145,8,FALSE))</f>
        <v/>
      </c>
      <c r="BI28" s="6205"/>
      <c r="BJ28" s="6205"/>
      <c r="BK28" s="5767"/>
      <c r="BL28" s="865"/>
      <c r="BM28" s="2271">
        <v>80</v>
      </c>
      <c r="BN28" s="6203" t="s">
        <v>2008</v>
      </c>
      <c r="BO28" s="6133"/>
      <c r="BP28" s="6204" t="str">
        <f>IF(BM24=0,"",VLOOKUP(BM24,'Tablas psiquica'!$D$7:$R$145,8,FALSE))</f>
        <v/>
      </c>
      <c r="BQ28" s="6205"/>
      <c r="BR28" s="6205"/>
      <c r="BS28" s="5767"/>
      <c r="BT28" s="1450"/>
      <c r="BU28" s="2271">
        <v>80</v>
      </c>
      <c r="BV28" s="6203" t="s">
        <v>2008</v>
      </c>
      <c r="BW28" s="6133"/>
      <c r="BX28" s="6204" t="str">
        <f>IF(BU24=0,"",VLOOKUP(BU24,'Tablas psiquica'!$D$7:$R$145,8,FALSE))</f>
        <v/>
      </c>
      <c r="BY28" s="6205"/>
      <c r="BZ28" s="6205"/>
      <c r="CA28" s="5767"/>
      <c r="CB28" s="530"/>
      <c r="CC28" s="524"/>
      <c r="CD28" s="524"/>
      <c r="CE28" s="1450"/>
      <c r="CF28" s="2271">
        <v>80</v>
      </c>
      <c r="CG28" s="6203" t="s">
        <v>2008</v>
      </c>
      <c r="CH28" s="6133"/>
      <c r="CI28" s="6204" t="str">
        <f>IF(CF24=0,"",VLOOKUP(CF24,'Tablas psiquica'!$D$7:$R$145,8,FALSE))</f>
        <v/>
      </c>
      <c r="CJ28" s="6205"/>
      <c r="CK28" s="6205"/>
      <c r="CL28" s="5767"/>
      <c r="CM28" s="865"/>
      <c r="CN28" s="2271">
        <v>80</v>
      </c>
      <c r="CO28" s="6203" t="s">
        <v>2008</v>
      </c>
      <c r="CP28" s="6133"/>
      <c r="CQ28" s="6204" t="str">
        <f>IF(CN24=0,"",VLOOKUP(CN24,'Tablas psiquica'!$D$7:$R$145,8,FALSE))</f>
        <v/>
      </c>
      <c r="CR28" s="6205"/>
      <c r="CS28" s="6205"/>
      <c r="CT28" s="5767"/>
      <c r="CU28" s="1450"/>
      <c r="CV28" s="2271">
        <v>80</v>
      </c>
      <c r="CW28" s="6203" t="s">
        <v>2008</v>
      </c>
      <c r="CX28" s="6133"/>
      <c r="CY28" s="6204" t="str">
        <f>IF(CV24=0,"",VLOOKUP(CV24,'Tablas psiquica'!$D$7:$R$145,8,FALSE))</f>
        <v/>
      </c>
      <c r="CZ28" s="6205"/>
      <c r="DA28" s="6205"/>
      <c r="DB28" s="5767"/>
      <c r="DC28" s="530"/>
      <c r="DD28" s="524"/>
    </row>
    <row r="29" spans="1:108" ht="12" customHeight="1" x14ac:dyDescent="0.2">
      <c r="A29" s="524"/>
      <c r="B29" s="1450"/>
      <c r="C29" s="2270">
        <v>120</v>
      </c>
      <c r="D29" s="6199" t="s">
        <v>2012</v>
      </c>
      <c r="E29" s="6138"/>
      <c r="F29" s="6200" t="str">
        <f>IF(C24=0,"",VLOOKUP(C24,'Tablas psiquica'!$D$7:$R$145,9,FALSE))</f>
        <v/>
      </c>
      <c r="G29" s="6201"/>
      <c r="H29" s="6201"/>
      <c r="I29" s="6202"/>
      <c r="J29" s="865"/>
      <c r="K29" s="2270">
        <v>120</v>
      </c>
      <c r="L29" s="6199" t="s">
        <v>2012</v>
      </c>
      <c r="M29" s="6138"/>
      <c r="N29" s="6200" t="str">
        <f>IF(K24=0,"",VLOOKUP(K24,'Tablas psiquica'!$D$7:$R$145,9,FALSE))</f>
        <v/>
      </c>
      <c r="O29" s="6201"/>
      <c r="P29" s="6201"/>
      <c r="Q29" s="6202"/>
      <c r="R29" s="1450"/>
      <c r="S29" s="2270">
        <v>120</v>
      </c>
      <c r="T29" s="6199" t="s">
        <v>2012</v>
      </c>
      <c r="U29" s="6138"/>
      <c r="V29" s="6200" t="str">
        <f>IF(S24=0,"",VLOOKUP(S24,'Tablas psiquica'!$D$7:$R$145,9,FALSE))</f>
        <v/>
      </c>
      <c r="W29" s="6201"/>
      <c r="X29" s="6201"/>
      <c r="Y29" s="6202"/>
      <c r="Z29" s="530"/>
      <c r="AA29" s="524"/>
      <c r="AB29" s="524"/>
      <c r="AC29" s="1450"/>
      <c r="AD29" s="2270">
        <v>120</v>
      </c>
      <c r="AE29" s="6199" t="s">
        <v>2012</v>
      </c>
      <c r="AF29" s="6138"/>
      <c r="AG29" s="6200" t="str">
        <f>IF(AD24=0,"",VLOOKUP(AD24,'Tablas psiquica'!$D$7:$R$145,9,FALSE))</f>
        <v/>
      </c>
      <c r="AH29" s="6201"/>
      <c r="AI29" s="6201"/>
      <c r="AJ29" s="6202"/>
      <c r="AK29" s="865"/>
      <c r="AL29" s="2270">
        <v>120</v>
      </c>
      <c r="AM29" s="6199" t="s">
        <v>2012</v>
      </c>
      <c r="AN29" s="6138"/>
      <c r="AO29" s="6200" t="str">
        <f>IF(AL24=0,"",VLOOKUP(AL24,'Tablas psiquica'!$D$7:$R$145,9,FALSE))</f>
        <v/>
      </c>
      <c r="AP29" s="6201"/>
      <c r="AQ29" s="6201"/>
      <c r="AR29" s="6202"/>
      <c r="AS29" s="1450"/>
      <c r="AT29" s="2270">
        <v>120</v>
      </c>
      <c r="AU29" s="6199" t="s">
        <v>2012</v>
      </c>
      <c r="AV29" s="6138"/>
      <c r="AW29" s="6200" t="str">
        <f>IF(AT24=0,"",VLOOKUP(AT24,'Tablas psiquica'!$D$7:$R$145,9,FALSE))</f>
        <v/>
      </c>
      <c r="AX29" s="6201"/>
      <c r="AY29" s="6201"/>
      <c r="AZ29" s="6202"/>
      <c r="BA29" s="530"/>
      <c r="BB29" s="524"/>
      <c r="BC29" s="524"/>
      <c r="BD29" s="1450"/>
      <c r="BE29" s="2270">
        <v>120</v>
      </c>
      <c r="BF29" s="6199" t="s">
        <v>2012</v>
      </c>
      <c r="BG29" s="6138"/>
      <c r="BH29" s="6200" t="str">
        <f>IF(BE24=0,"",VLOOKUP(BE24,'Tablas psiquica'!$D$7:$R$145,9,FALSE))</f>
        <v/>
      </c>
      <c r="BI29" s="6201"/>
      <c r="BJ29" s="6201"/>
      <c r="BK29" s="6202"/>
      <c r="BL29" s="865"/>
      <c r="BM29" s="2270">
        <v>120</v>
      </c>
      <c r="BN29" s="6199" t="s">
        <v>2012</v>
      </c>
      <c r="BO29" s="6138"/>
      <c r="BP29" s="6200" t="str">
        <f>IF(BM24=0,"",VLOOKUP(BM24,'Tablas psiquica'!$D$7:$R$145,9,FALSE))</f>
        <v/>
      </c>
      <c r="BQ29" s="6201"/>
      <c r="BR29" s="6201"/>
      <c r="BS29" s="6202"/>
      <c r="BT29" s="1450"/>
      <c r="BU29" s="2270">
        <v>120</v>
      </c>
      <c r="BV29" s="6199" t="s">
        <v>2012</v>
      </c>
      <c r="BW29" s="6138"/>
      <c r="BX29" s="6200" t="str">
        <f>IF(BU24=0,"",VLOOKUP(BU24,'Tablas psiquica'!$D$7:$R$145,9,FALSE))</f>
        <v/>
      </c>
      <c r="BY29" s="6201"/>
      <c r="BZ29" s="6201"/>
      <c r="CA29" s="6202"/>
      <c r="CB29" s="530"/>
      <c r="CC29" s="524"/>
      <c r="CD29" s="524"/>
      <c r="CE29" s="1450"/>
      <c r="CF29" s="2270">
        <v>120</v>
      </c>
      <c r="CG29" s="6199" t="s">
        <v>2012</v>
      </c>
      <c r="CH29" s="6138"/>
      <c r="CI29" s="6200" t="str">
        <f>IF(CF24=0,"",VLOOKUP(CF24,'Tablas psiquica'!$D$7:$R$145,9,FALSE))</f>
        <v/>
      </c>
      <c r="CJ29" s="6201"/>
      <c r="CK29" s="6201"/>
      <c r="CL29" s="6202"/>
      <c r="CM29" s="865"/>
      <c r="CN29" s="2270">
        <v>120</v>
      </c>
      <c r="CO29" s="6199" t="s">
        <v>2012</v>
      </c>
      <c r="CP29" s="6138"/>
      <c r="CQ29" s="6200" t="str">
        <f>IF(CN24=0,"",VLOOKUP(CN24,'Tablas psiquica'!$D$7:$R$145,9,FALSE))</f>
        <v/>
      </c>
      <c r="CR29" s="6201"/>
      <c r="CS29" s="6201"/>
      <c r="CT29" s="6202"/>
      <c r="CU29" s="1450"/>
      <c r="CV29" s="2270">
        <v>120</v>
      </c>
      <c r="CW29" s="6199" t="s">
        <v>2012</v>
      </c>
      <c r="CX29" s="6138"/>
      <c r="CY29" s="6200" t="str">
        <f>IF(CV24=0,"",VLOOKUP(CV24,'Tablas psiquica'!$D$7:$R$145,9,FALSE))</f>
        <v/>
      </c>
      <c r="CZ29" s="6201"/>
      <c r="DA29" s="6201"/>
      <c r="DB29" s="6202"/>
      <c r="DC29" s="530"/>
      <c r="DD29" s="524"/>
    </row>
    <row r="30" spans="1:108" ht="12" customHeight="1" x14ac:dyDescent="0.2">
      <c r="A30" s="524"/>
      <c r="B30" s="1450"/>
      <c r="C30" s="2271">
        <v>140</v>
      </c>
      <c r="D30" s="6203" t="s">
        <v>6894</v>
      </c>
      <c r="E30" s="6133"/>
      <c r="F30" s="6204" t="str">
        <f>IF(C24=0,"",VLOOKUP(C24,'Tablas psiquica'!$D$7:$R$145,10,FALSE))</f>
        <v/>
      </c>
      <c r="G30" s="6205"/>
      <c r="H30" s="6205"/>
      <c r="I30" s="5767"/>
      <c r="J30" s="865"/>
      <c r="K30" s="2271">
        <v>140</v>
      </c>
      <c r="L30" s="6203" t="s">
        <v>6894</v>
      </c>
      <c r="M30" s="6133"/>
      <c r="N30" s="6204" t="str">
        <f>IF(K24=0,"",VLOOKUP(K24,'Tablas psiquica'!$D$7:$R$145,10,FALSE))</f>
        <v/>
      </c>
      <c r="O30" s="6205"/>
      <c r="P30" s="6205"/>
      <c r="Q30" s="5767"/>
      <c r="R30" s="1450"/>
      <c r="S30" s="2271">
        <v>140</v>
      </c>
      <c r="T30" s="6203" t="s">
        <v>6894</v>
      </c>
      <c r="U30" s="6133"/>
      <c r="V30" s="6204" t="str">
        <f>IF(S24=0,"",VLOOKUP(S24,'Tablas psiquica'!$D$7:$R$145,10,FALSE))</f>
        <v/>
      </c>
      <c r="W30" s="6205"/>
      <c r="X30" s="6205"/>
      <c r="Y30" s="5767"/>
      <c r="Z30" s="530"/>
      <c r="AA30" s="524"/>
      <c r="AB30" s="524"/>
      <c r="AC30" s="1450"/>
      <c r="AD30" s="2271">
        <v>140</v>
      </c>
      <c r="AE30" s="6203" t="s">
        <v>6894</v>
      </c>
      <c r="AF30" s="6133"/>
      <c r="AG30" s="6204" t="str">
        <f>IF(AD24=0,"",VLOOKUP(AD24,'Tablas psiquica'!$D$7:$R$145,10,FALSE))</f>
        <v/>
      </c>
      <c r="AH30" s="6205"/>
      <c r="AI30" s="6205"/>
      <c r="AJ30" s="5767"/>
      <c r="AK30" s="865"/>
      <c r="AL30" s="2271">
        <v>140</v>
      </c>
      <c r="AM30" s="6203" t="s">
        <v>6894</v>
      </c>
      <c r="AN30" s="6133"/>
      <c r="AO30" s="6204" t="str">
        <f>IF(AL24=0,"",VLOOKUP(AL24,'Tablas psiquica'!$D$7:$R$145,10,FALSE))</f>
        <v/>
      </c>
      <c r="AP30" s="6205"/>
      <c r="AQ30" s="6205"/>
      <c r="AR30" s="5767"/>
      <c r="AS30" s="1450"/>
      <c r="AT30" s="2271">
        <v>140</v>
      </c>
      <c r="AU30" s="6203" t="s">
        <v>6894</v>
      </c>
      <c r="AV30" s="6133"/>
      <c r="AW30" s="6204" t="str">
        <f>IF(AT24=0,"",VLOOKUP(AT24,'Tablas psiquica'!$D$7:$R$145,10,FALSE))</f>
        <v/>
      </c>
      <c r="AX30" s="6205"/>
      <c r="AY30" s="6205"/>
      <c r="AZ30" s="5767"/>
      <c r="BA30" s="530"/>
      <c r="BB30" s="524"/>
      <c r="BC30" s="524"/>
      <c r="BD30" s="1450"/>
      <c r="BE30" s="2271">
        <v>140</v>
      </c>
      <c r="BF30" s="6203" t="s">
        <v>6894</v>
      </c>
      <c r="BG30" s="6133"/>
      <c r="BH30" s="6204" t="str">
        <f>IF(BE24=0,"",VLOOKUP(BE24,'Tablas psiquica'!$D$7:$R$145,10,FALSE))</f>
        <v/>
      </c>
      <c r="BI30" s="6205"/>
      <c r="BJ30" s="6205"/>
      <c r="BK30" s="5767"/>
      <c r="BL30" s="865"/>
      <c r="BM30" s="2271">
        <v>140</v>
      </c>
      <c r="BN30" s="6203" t="s">
        <v>6894</v>
      </c>
      <c r="BO30" s="6133"/>
      <c r="BP30" s="6204" t="str">
        <f>IF(BM24=0,"",VLOOKUP(BM24,'Tablas psiquica'!$D$7:$R$145,10,FALSE))</f>
        <v/>
      </c>
      <c r="BQ30" s="6205"/>
      <c r="BR30" s="6205"/>
      <c r="BS30" s="5767"/>
      <c r="BT30" s="1450"/>
      <c r="BU30" s="2271">
        <v>140</v>
      </c>
      <c r="BV30" s="6203" t="s">
        <v>6894</v>
      </c>
      <c r="BW30" s="6133"/>
      <c r="BX30" s="6204" t="str">
        <f>IF(BU24=0,"",VLOOKUP(BU24,'Tablas psiquica'!$D$7:$R$145,10,FALSE))</f>
        <v/>
      </c>
      <c r="BY30" s="6205"/>
      <c r="BZ30" s="6205"/>
      <c r="CA30" s="5767"/>
      <c r="CB30" s="530"/>
      <c r="CC30" s="524"/>
      <c r="CD30" s="524"/>
      <c r="CE30" s="1450"/>
      <c r="CF30" s="2271">
        <v>140</v>
      </c>
      <c r="CG30" s="6203" t="s">
        <v>6894</v>
      </c>
      <c r="CH30" s="6133"/>
      <c r="CI30" s="6204" t="str">
        <f>IF(CF24=0,"",VLOOKUP(CF24,'Tablas psiquica'!$D$7:$R$145,10,FALSE))</f>
        <v/>
      </c>
      <c r="CJ30" s="6205"/>
      <c r="CK30" s="6205"/>
      <c r="CL30" s="5767"/>
      <c r="CM30" s="865"/>
      <c r="CN30" s="2271">
        <v>140</v>
      </c>
      <c r="CO30" s="6203" t="s">
        <v>6894</v>
      </c>
      <c r="CP30" s="6133"/>
      <c r="CQ30" s="6204" t="str">
        <f>IF(CN24=0,"",VLOOKUP(CN24,'Tablas psiquica'!$D$7:$R$145,10,FALSE))</f>
        <v/>
      </c>
      <c r="CR30" s="6205"/>
      <c r="CS30" s="6205"/>
      <c r="CT30" s="5767"/>
      <c r="CU30" s="1450"/>
      <c r="CV30" s="2271">
        <v>140</v>
      </c>
      <c r="CW30" s="6203" t="s">
        <v>6894</v>
      </c>
      <c r="CX30" s="6133"/>
      <c r="CY30" s="6204" t="str">
        <f>IF(CV24=0,"",VLOOKUP(CV24,'Tablas psiquica'!$D$7:$R$145,10,FALSE))</f>
        <v/>
      </c>
      <c r="CZ30" s="6205"/>
      <c r="DA30" s="6205"/>
      <c r="DB30" s="5767"/>
      <c r="DC30" s="530"/>
      <c r="DD30" s="524"/>
    </row>
    <row r="31" spans="1:108" ht="12" customHeight="1" x14ac:dyDescent="0.2">
      <c r="A31" s="524"/>
      <c r="B31" s="1450"/>
      <c r="C31" s="2270">
        <v>180</v>
      </c>
      <c r="D31" s="6199" t="s">
        <v>2017</v>
      </c>
      <c r="E31" s="6138"/>
      <c r="F31" s="6200" t="str">
        <f>IF(C24=0,"",VLOOKUP(C24,'Tablas psiquica'!$D$7:$R$145,11,FALSE))</f>
        <v/>
      </c>
      <c r="G31" s="6201"/>
      <c r="H31" s="6201"/>
      <c r="I31" s="6202"/>
      <c r="J31" s="865"/>
      <c r="K31" s="2270">
        <v>180</v>
      </c>
      <c r="L31" s="6199" t="s">
        <v>2017</v>
      </c>
      <c r="M31" s="6138"/>
      <c r="N31" s="6200" t="str">
        <f>IF(K24=0,"",VLOOKUP(K24,'Tablas psiquica'!$D$7:$R$145,11,FALSE))</f>
        <v/>
      </c>
      <c r="O31" s="6201"/>
      <c r="P31" s="6201"/>
      <c r="Q31" s="6202"/>
      <c r="R31" s="1450"/>
      <c r="S31" s="2270">
        <v>180</v>
      </c>
      <c r="T31" s="6199" t="s">
        <v>2017</v>
      </c>
      <c r="U31" s="6138"/>
      <c r="V31" s="6200" t="str">
        <f>IF(S24=0,"",VLOOKUP(S24,'Tablas psiquica'!$D$7:$R$145,11,FALSE))</f>
        <v/>
      </c>
      <c r="W31" s="6201"/>
      <c r="X31" s="6201"/>
      <c r="Y31" s="6202"/>
      <c r="Z31" s="530"/>
      <c r="AA31" s="524"/>
      <c r="AB31" s="524"/>
      <c r="AC31" s="1450"/>
      <c r="AD31" s="2270">
        <v>180</v>
      </c>
      <c r="AE31" s="6199" t="s">
        <v>2017</v>
      </c>
      <c r="AF31" s="6138"/>
      <c r="AG31" s="6200" t="str">
        <f>IF(AD24=0,"",VLOOKUP(AD24,'Tablas psiquica'!$D$7:$R$145,11,FALSE))</f>
        <v/>
      </c>
      <c r="AH31" s="6201"/>
      <c r="AI31" s="6201"/>
      <c r="AJ31" s="6202"/>
      <c r="AK31" s="865"/>
      <c r="AL31" s="2270">
        <v>180</v>
      </c>
      <c r="AM31" s="6199" t="s">
        <v>2017</v>
      </c>
      <c r="AN31" s="6138"/>
      <c r="AO31" s="6200" t="str">
        <f>IF(AL24=0,"",VLOOKUP(AL24,'Tablas psiquica'!$D$7:$R$145,11,FALSE))</f>
        <v/>
      </c>
      <c r="AP31" s="6201"/>
      <c r="AQ31" s="6201"/>
      <c r="AR31" s="6202"/>
      <c r="AS31" s="1450"/>
      <c r="AT31" s="2270">
        <v>180</v>
      </c>
      <c r="AU31" s="6199" t="s">
        <v>2017</v>
      </c>
      <c r="AV31" s="6138"/>
      <c r="AW31" s="6200" t="str">
        <f>IF(AT24=0,"",VLOOKUP(AT24,'Tablas psiquica'!$D$7:$R$145,11,FALSE))</f>
        <v/>
      </c>
      <c r="AX31" s="6201"/>
      <c r="AY31" s="6201"/>
      <c r="AZ31" s="6202"/>
      <c r="BA31" s="530"/>
      <c r="BB31" s="524"/>
      <c r="BC31" s="524"/>
      <c r="BD31" s="1450"/>
      <c r="BE31" s="2270">
        <v>180</v>
      </c>
      <c r="BF31" s="6199" t="s">
        <v>2017</v>
      </c>
      <c r="BG31" s="6138"/>
      <c r="BH31" s="6200" t="str">
        <f>IF(BE24=0,"",VLOOKUP(BE24,'Tablas psiquica'!$D$7:$R$145,11,FALSE))</f>
        <v/>
      </c>
      <c r="BI31" s="6201"/>
      <c r="BJ31" s="6201"/>
      <c r="BK31" s="6202"/>
      <c r="BL31" s="865"/>
      <c r="BM31" s="2270">
        <v>180</v>
      </c>
      <c r="BN31" s="6199" t="s">
        <v>2017</v>
      </c>
      <c r="BO31" s="6138"/>
      <c r="BP31" s="6200" t="str">
        <f>IF(BM24=0,"",VLOOKUP(BM24,'Tablas psiquica'!$D$7:$R$145,11,FALSE))</f>
        <v/>
      </c>
      <c r="BQ31" s="6201"/>
      <c r="BR31" s="6201"/>
      <c r="BS31" s="6202"/>
      <c r="BT31" s="1450"/>
      <c r="BU31" s="2270">
        <v>180</v>
      </c>
      <c r="BV31" s="6199" t="s">
        <v>2017</v>
      </c>
      <c r="BW31" s="6138"/>
      <c r="BX31" s="6200" t="str">
        <f>IF(BU24=0,"",VLOOKUP(BU24,'Tablas psiquica'!$D$7:$R$145,11,FALSE))</f>
        <v/>
      </c>
      <c r="BY31" s="6201"/>
      <c r="BZ31" s="6201"/>
      <c r="CA31" s="6202"/>
      <c r="CB31" s="530"/>
      <c r="CC31" s="524"/>
      <c r="CD31" s="524"/>
      <c r="CE31" s="1450"/>
      <c r="CF31" s="2270">
        <v>180</v>
      </c>
      <c r="CG31" s="6199" t="s">
        <v>2017</v>
      </c>
      <c r="CH31" s="6138"/>
      <c r="CI31" s="6200" t="str">
        <f>IF(CF24=0,"",VLOOKUP(CF24,'Tablas psiquica'!$D$7:$R$145,11,FALSE))</f>
        <v/>
      </c>
      <c r="CJ31" s="6201"/>
      <c r="CK31" s="6201"/>
      <c r="CL31" s="6202"/>
      <c r="CM31" s="865"/>
      <c r="CN31" s="2270">
        <v>180</v>
      </c>
      <c r="CO31" s="6199" t="s">
        <v>2017</v>
      </c>
      <c r="CP31" s="6138"/>
      <c r="CQ31" s="6200" t="str">
        <f>IF(CN24=0,"",VLOOKUP(CN24,'Tablas psiquica'!$D$7:$R$145,11,FALSE))</f>
        <v/>
      </c>
      <c r="CR31" s="6201"/>
      <c r="CS31" s="6201"/>
      <c r="CT31" s="6202"/>
      <c r="CU31" s="1450"/>
      <c r="CV31" s="2270">
        <v>180</v>
      </c>
      <c r="CW31" s="6199" t="s">
        <v>2017</v>
      </c>
      <c r="CX31" s="6138"/>
      <c r="CY31" s="6200" t="str">
        <f>IF(CV24=0,"",VLOOKUP(CV24,'Tablas psiquica'!$D$7:$R$145,11,FALSE))</f>
        <v/>
      </c>
      <c r="CZ31" s="6201"/>
      <c r="DA31" s="6201"/>
      <c r="DB31" s="6202"/>
      <c r="DC31" s="530"/>
      <c r="DD31" s="524"/>
    </row>
    <row r="32" spans="1:108" ht="12" customHeight="1" x14ac:dyDescent="0.2">
      <c r="A32" s="524"/>
      <c r="B32" s="1450"/>
      <c r="C32" s="2271">
        <v>240</v>
      </c>
      <c r="D32" s="6203" t="s">
        <v>6895</v>
      </c>
      <c r="E32" s="6133"/>
      <c r="F32" s="6204" t="str">
        <f>IF(C24=0,"",VLOOKUP(C24,'Tablas psiquica'!$D$7:$R$145,12,FALSE))</f>
        <v/>
      </c>
      <c r="G32" s="6205"/>
      <c r="H32" s="6205"/>
      <c r="I32" s="5767"/>
      <c r="J32" s="865"/>
      <c r="K32" s="2271">
        <v>240</v>
      </c>
      <c r="L32" s="6203" t="s">
        <v>6895</v>
      </c>
      <c r="M32" s="6133"/>
      <c r="N32" s="6204" t="str">
        <f>IF(K24=0,"",VLOOKUP(K24,'Tablas psiquica'!$D$7:$R$145,12,FALSE))</f>
        <v/>
      </c>
      <c r="O32" s="6205"/>
      <c r="P32" s="6205"/>
      <c r="Q32" s="5767"/>
      <c r="R32" s="1450"/>
      <c r="S32" s="2271">
        <v>240</v>
      </c>
      <c r="T32" s="6203" t="s">
        <v>6895</v>
      </c>
      <c r="U32" s="6133"/>
      <c r="V32" s="6204" t="str">
        <f>IF(S24=0,"",VLOOKUP(S24,'Tablas psiquica'!$D$7:$R$145,12,FALSE))</f>
        <v/>
      </c>
      <c r="W32" s="6205"/>
      <c r="X32" s="6205"/>
      <c r="Y32" s="5767"/>
      <c r="Z32" s="530"/>
      <c r="AA32" s="524"/>
      <c r="AB32" s="524"/>
      <c r="AC32" s="1450"/>
      <c r="AD32" s="2271">
        <v>240</v>
      </c>
      <c r="AE32" s="6203" t="s">
        <v>6895</v>
      </c>
      <c r="AF32" s="6133"/>
      <c r="AG32" s="6204" t="str">
        <f>IF(AD24=0,"",VLOOKUP(AD24,'Tablas psiquica'!$D$7:$R$145,12,FALSE))</f>
        <v/>
      </c>
      <c r="AH32" s="6205"/>
      <c r="AI32" s="6205"/>
      <c r="AJ32" s="5767"/>
      <c r="AK32" s="865"/>
      <c r="AL32" s="2271">
        <v>240</v>
      </c>
      <c r="AM32" s="6203" t="s">
        <v>6895</v>
      </c>
      <c r="AN32" s="6133"/>
      <c r="AO32" s="6204" t="str">
        <f>IF(AL24=0,"",VLOOKUP(AL24,'Tablas psiquica'!$D$7:$R$145,12,FALSE))</f>
        <v/>
      </c>
      <c r="AP32" s="6205"/>
      <c r="AQ32" s="6205"/>
      <c r="AR32" s="5767"/>
      <c r="AS32" s="1450"/>
      <c r="AT32" s="2271">
        <v>240</v>
      </c>
      <c r="AU32" s="6203" t="s">
        <v>6895</v>
      </c>
      <c r="AV32" s="6133"/>
      <c r="AW32" s="6204" t="str">
        <f>IF(AT24=0,"",VLOOKUP(AT24,'Tablas psiquica'!$D$7:$R$145,12,FALSE))</f>
        <v/>
      </c>
      <c r="AX32" s="6205"/>
      <c r="AY32" s="6205"/>
      <c r="AZ32" s="5767"/>
      <c r="BA32" s="530"/>
      <c r="BB32" s="524"/>
      <c r="BC32" s="524"/>
      <c r="BD32" s="1450"/>
      <c r="BE32" s="2271">
        <v>240</v>
      </c>
      <c r="BF32" s="6203" t="s">
        <v>6895</v>
      </c>
      <c r="BG32" s="6133"/>
      <c r="BH32" s="6204" t="str">
        <f>IF(BE24=0,"",VLOOKUP(BE24,'Tablas psiquica'!$D$7:$R$145,12,FALSE))</f>
        <v/>
      </c>
      <c r="BI32" s="6205"/>
      <c r="BJ32" s="6205"/>
      <c r="BK32" s="5767"/>
      <c r="BL32" s="865"/>
      <c r="BM32" s="2271">
        <v>240</v>
      </c>
      <c r="BN32" s="6203" t="s">
        <v>6895</v>
      </c>
      <c r="BO32" s="6133"/>
      <c r="BP32" s="6204" t="str">
        <f>IF(BM24=0,"",VLOOKUP(BM24,'Tablas psiquica'!$D$7:$R$145,12,FALSE))</f>
        <v/>
      </c>
      <c r="BQ32" s="6205"/>
      <c r="BR32" s="6205"/>
      <c r="BS32" s="5767"/>
      <c r="BT32" s="1450"/>
      <c r="BU32" s="2271">
        <v>240</v>
      </c>
      <c r="BV32" s="6203" t="s">
        <v>6895</v>
      </c>
      <c r="BW32" s="6133"/>
      <c r="BX32" s="6204" t="str">
        <f>IF(BU24=0,"",VLOOKUP(BU24,'Tablas psiquica'!$D$7:$R$145,12,FALSE))</f>
        <v/>
      </c>
      <c r="BY32" s="6205"/>
      <c r="BZ32" s="6205"/>
      <c r="CA32" s="5767"/>
      <c r="CB32" s="530"/>
      <c r="CC32" s="524"/>
      <c r="CD32" s="524"/>
      <c r="CE32" s="1450"/>
      <c r="CF32" s="2271">
        <v>240</v>
      </c>
      <c r="CG32" s="6203" t="s">
        <v>6895</v>
      </c>
      <c r="CH32" s="6133"/>
      <c r="CI32" s="6204" t="str">
        <f>IF(CF24=0,"",VLOOKUP(CF24,'Tablas psiquica'!$D$7:$R$145,12,FALSE))</f>
        <v/>
      </c>
      <c r="CJ32" s="6205"/>
      <c r="CK32" s="6205"/>
      <c r="CL32" s="5767"/>
      <c r="CM32" s="865"/>
      <c r="CN32" s="2271">
        <v>240</v>
      </c>
      <c r="CO32" s="6203" t="s">
        <v>6895</v>
      </c>
      <c r="CP32" s="6133"/>
      <c r="CQ32" s="6204" t="str">
        <f>IF(CN24=0,"",VLOOKUP(CN24,'Tablas psiquica'!$D$7:$R$145,12,FALSE))</f>
        <v/>
      </c>
      <c r="CR32" s="6205"/>
      <c r="CS32" s="6205"/>
      <c r="CT32" s="5767"/>
      <c r="CU32" s="1450"/>
      <c r="CV32" s="2271">
        <v>240</v>
      </c>
      <c r="CW32" s="6203" t="s">
        <v>6895</v>
      </c>
      <c r="CX32" s="6133"/>
      <c r="CY32" s="6204" t="str">
        <f>IF(CV24=0,"",VLOOKUP(CV24,'Tablas psiquica'!$D$7:$R$145,12,FALSE))</f>
        <v/>
      </c>
      <c r="CZ32" s="6205"/>
      <c r="DA32" s="6205"/>
      <c r="DB32" s="5767"/>
      <c r="DC32" s="530"/>
      <c r="DD32" s="524"/>
    </row>
    <row r="33" spans="1:108" ht="12" customHeight="1" x14ac:dyDescent="0.2">
      <c r="A33" s="524"/>
      <c r="B33" s="1450"/>
      <c r="C33" s="2270">
        <v>280</v>
      </c>
      <c r="D33" s="6199" t="s">
        <v>2022</v>
      </c>
      <c r="E33" s="6138"/>
      <c r="F33" s="6200" t="str">
        <f>IF(C24=0,"",VLOOKUP(C24,'Tablas psiquica'!$D$7:$R$145,13,FALSE))</f>
        <v/>
      </c>
      <c r="G33" s="6201"/>
      <c r="H33" s="6201"/>
      <c r="I33" s="6202"/>
      <c r="J33" s="865"/>
      <c r="K33" s="2270">
        <v>280</v>
      </c>
      <c r="L33" s="6199" t="s">
        <v>2022</v>
      </c>
      <c r="M33" s="6138"/>
      <c r="N33" s="6200" t="str">
        <f>IF(K24=0,"",VLOOKUP(K24,'Tablas psiquica'!$D$7:$R$145,13,FALSE))</f>
        <v/>
      </c>
      <c r="O33" s="6201"/>
      <c r="P33" s="6201"/>
      <c r="Q33" s="6202"/>
      <c r="R33" s="1450"/>
      <c r="S33" s="2270">
        <v>280</v>
      </c>
      <c r="T33" s="6199" t="s">
        <v>2022</v>
      </c>
      <c r="U33" s="6138"/>
      <c r="V33" s="6200" t="str">
        <f>IF(S24=0,"",VLOOKUP(S24,'Tablas psiquica'!$D$7:$R$145,13,FALSE))</f>
        <v/>
      </c>
      <c r="W33" s="6201"/>
      <c r="X33" s="6201"/>
      <c r="Y33" s="6202"/>
      <c r="Z33" s="530"/>
      <c r="AA33" s="524"/>
      <c r="AB33" s="524"/>
      <c r="AC33" s="1450"/>
      <c r="AD33" s="2270">
        <v>280</v>
      </c>
      <c r="AE33" s="6199" t="s">
        <v>2022</v>
      </c>
      <c r="AF33" s="6138"/>
      <c r="AG33" s="6200" t="str">
        <f>IF(AD24=0,"",VLOOKUP(AD24,'Tablas psiquica'!$D$7:$R$145,13,FALSE))</f>
        <v/>
      </c>
      <c r="AH33" s="6201"/>
      <c r="AI33" s="6201"/>
      <c r="AJ33" s="6202"/>
      <c r="AK33" s="865"/>
      <c r="AL33" s="2270">
        <v>280</v>
      </c>
      <c r="AM33" s="6199" t="s">
        <v>2022</v>
      </c>
      <c r="AN33" s="6138"/>
      <c r="AO33" s="6200" t="str">
        <f>IF(AL24=0,"",VLOOKUP(AL24,'Tablas psiquica'!$D$7:$R$145,13,FALSE))</f>
        <v/>
      </c>
      <c r="AP33" s="6201"/>
      <c r="AQ33" s="6201"/>
      <c r="AR33" s="6202"/>
      <c r="AS33" s="1450"/>
      <c r="AT33" s="2270">
        <v>280</v>
      </c>
      <c r="AU33" s="6199" t="s">
        <v>2022</v>
      </c>
      <c r="AV33" s="6138"/>
      <c r="AW33" s="6200" t="str">
        <f>IF(AT24=0,"",VLOOKUP(AT24,'Tablas psiquica'!$D$7:$R$145,13,FALSE))</f>
        <v/>
      </c>
      <c r="AX33" s="6201"/>
      <c r="AY33" s="6201"/>
      <c r="AZ33" s="6202"/>
      <c r="BA33" s="530"/>
      <c r="BB33" s="524"/>
      <c r="BC33" s="524"/>
      <c r="BD33" s="1450"/>
      <c r="BE33" s="2270">
        <v>280</v>
      </c>
      <c r="BF33" s="6199" t="s">
        <v>2022</v>
      </c>
      <c r="BG33" s="6138"/>
      <c r="BH33" s="6200" t="str">
        <f>IF(BE24=0,"",VLOOKUP(BE24,'Tablas psiquica'!$D$7:$R$145,13,FALSE))</f>
        <v/>
      </c>
      <c r="BI33" s="6201"/>
      <c r="BJ33" s="6201"/>
      <c r="BK33" s="6202"/>
      <c r="BL33" s="865"/>
      <c r="BM33" s="2270">
        <v>280</v>
      </c>
      <c r="BN33" s="6199" t="s">
        <v>2022</v>
      </c>
      <c r="BO33" s="6138"/>
      <c r="BP33" s="6200" t="str">
        <f>IF(BM24=0,"",VLOOKUP(BM24,'Tablas psiquica'!$D$7:$R$145,13,FALSE))</f>
        <v/>
      </c>
      <c r="BQ33" s="6201"/>
      <c r="BR33" s="6201"/>
      <c r="BS33" s="6202"/>
      <c r="BT33" s="1450"/>
      <c r="BU33" s="2270">
        <v>280</v>
      </c>
      <c r="BV33" s="6199" t="s">
        <v>2022</v>
      </c>
      <c r="BW33" s="6138"/>
      <c r="BX33" s="6200" t="str">
        <f>IF(BU24=0,"",VLOOKUP(BU24,'Tablas psiquica'!$D$7:$R$145,13,FALSE))</f>
        <v/>
      </c>
      <c r="BY33" s="6201"/>
      <c r="BZ33" s="6201"/>
      <c r="CA33" s="6202"/>
      <c r="CB33" s="530"/>
      <c r="CC33" s="524"/>
      <c r="CD33" s="524"/>
      <c r="CE33" s="1450"/>
      <c r="CF33" s="2270">
        <v>280</v>
      </c>
      <c r="CG33" s="6199" t="s">
        <v>2022</v>
      </c>
      <c r="CH33" s="6138"/>
      <c r="CI33" s="6200" t="str">
        <f>IF(CF24=0,"",VLOOKUP(CF24,'Tablas psiquica'!$D$7:$R$145,13,FALSE))</f>
        <v/>
      </c>
      <c r="CJ33" s="6201"/>
      <c r="CK33" s="6201"/>
      <c r="CL33" s="6202"/>
      <c r="CM33" s="865"/>
      <c r="CN33" s="2270">
        <v>280</v>
      </c>
      <c r="CO33" s="6199" t="s">
        <v>2022</v>
      </c>
      <c r="CP33" s="6138"/>
      <c r="CQ33" s="6200" t="str">
        <f>IF(CN24=0,"",VLOOKUP(CN24,'Tablas psiquica'!$D$7:$R$145,13,FALSE))</f>
        <v/>
      </c>
      <c r="CR33" s="6201"/>
      <c r="CS33" s="6201"/>
      <c r="CT33" s="6202"/>
      <c r="CU33" s="1450"/>
      <c r="CV33" s="2270">
        <v>280</v>
      </c>
      <c r="CW33" s="6199" t="s">
        <v>2022</v>
      </c>
      <c r="CX33" s="6138"/>
      <c r="CY33" s="6200" t="str">
        <f>IF(CV24=0,"",VLOOKUP(CV24,'Tablas psiquica'!$D$7:$R$145,13,FALSE))</f>
        <v/>
      </c>
      <c r="CZ33" s="6201"/>
      <c r="DA33" s="6201"/>
      <c r="DB33" s="6202"/>
      <c r="DC33" s="530"/>
      <c r="DD33" s="524"/>
    </row>
    <row r="34" spans="1:108" ht="12" customHeight="1" x14ac:dyDescent="0.2">
      <c r="A34" s="524"/>
      <c r="B34" s="1450"/>
      <c r="C34" s="2271">
        <v>320</v>
      </c>
      <c r="D34" s="6203" t="s">
        <v>2024</v>
      </c>
      <c r="E34" s="6133"/>
      <c r="F34" s="6204" t="str">
        <f>IF(C24=0,"",VLOOKUP(C24,'Tablas psiquica'!$D$7:$R$145,14,FALSE))</f>
        <v/>
      </c>
      <c r="G34" s="6205"/>
      <c r="H34" s="6205"/>
      <c r="I34" s="5767"/>
      <c r="J34" s="865"/>
      <c r="K34" s="2271">
        <v>320</v>
      </c>
      <c r="L34" s="6203" t="s">
        <v>2024</v>
      </c>
      <c r="M34" s="6133"/>
      <c r="N34" s="6204" t="str">
        <f>IF(K24=0,"",VLOOKUP(K24,'Tablas psiquica'!$D$7:$R$145,14,FALSE))</f>
        <v/>
      </c>
      <c r="O34" s="6205"/>
      <c r="P34" s="6205"/>
      <c r="Q34" s="5767"/>
      <c r="R34" s="1450"/>
      <c r="S34" s="2271">
        <v>320</v>
      </c>
      <c r="T34" s="6203" t="s">
        <v>2024</v>
      </c>
      <c r="U34" s="6133"/>
      <c r="V34" s="6204" t="str">
        <f>IF(S24=0,"",VLOOKUP(S24,'Tablas psiquica'!$D$7:$R$145,14,FALSE))</f>
        <v/>
      </c>
      <c r="W34" s="6205"/>
      <c r="X34" s="6205"/>
      <c r="Y34" s="5767"/>
      <c r="Z34" s="530"/>
      <c r="AA34" s="524"/>
      <c r="AB34" s="524"/>
      <c r="AC34" s="1450"/>
      <c r="AD34" s="2271">
        <v>320</v>
      </c>
      <c r="AE34" s="6203" t="s">
        <v>2024</v>
      </c>
      <c r="AF34" s="6133"/>
      <c r="AG34" s="6204" t="str">
        <f>IF(AD24=0,"",VLOOKUP(AD24,'Tablas psiquica'!$D$7:$R$145,14,FALSE))</f>
        <v/>
      </c>
      <c r="AH34" s="6205"/>
      <c r="AI34" s="6205"/>
      <c r="AJ34" s="5767"/>
      <c r="AK34" s="865"/>
      <c r="AL34" s="2271">
        <v>320</v>
      </c>
      <c r="AM34" s="6203" t="s">
        <v>2024</v>
      </c>
      <c r="AN34" s="6133"/>
      <c r="AO34" s="6204" t="str">
        <f>IF(AL24=0,"",VLOOKUP(AL24,'Tablas psiquica'!$D$7:$R$145,14,FALSE))</f>
        <v/>
      </c>
      <c r="AP34" s="6205"/>
      <c r="AQ34" s="6205"/>
      <c r="AR34" s="5767"/>
      <c r="AS34" s="1450"/>
      <c r="AT34" s="2271">
        <v>320</v>
      </c>
      <c r="AU34" s="6203" t="s">
        <v>2024</v>
      </c>
      <c r="AV34" s="6133"/>
      <c r="AW34" s="6204" t="str">
        <f>IF(AT24=0,"",VLOOKUP(AT24,'Tablas psiquica'!$D$7:$R$145,14,FALSE))</f>
        <v/>
      </c>
      <c r="AX34" s="6205"/>
      <c r="AY34" s="6205"/>
      <c r="AZ34" s="5767"/>
      <c r="BA34" s="530"/>
      <c r="BB34" s="524"/>
      <c r="BC34" s="524"/>
      <c r="BD34" s="1450"/>
      <c r="BE34" s="2271">
        <v>320</v>
      </c>
      <c r="BF34" s="6203" t="s">
        <v>2024</v>
      </c>
      <c r="BG34" s="6133"/>
      <c r="BH34" s="6204" t="str">
        <f>IF(BE24=0,"",VLOOKUP(BE24,'Tablas psiquica'!$D$7:$R$145,14,FALSE))</f>
        <v/>
      </c>
      <c r="BI34" s="6205"/>
      <c r="BJ34" s="6205"/>
      <c r="BK34" s="5767"/>
      <c r="BL34" s="865"/>
      <c r="BM34" s="2271">
        <v>320</v>
      </c>
      <c r="BN34" s="6203" t="s">
        <v>2024</v>
      </c>
      <c r="BO34" s="6133"/>
      <c r="BP34" s="6204" t="str">
        <f>IF(BM24=0,"",VLOOKUP(BM24,'Tablas psiquica'!$D$7:$R$145,14,FALSE))</f>
        <v/>
      </c>
      <c r="BQ34" s="6205"/>
      <c r="BR34" s="6205"/>
      <c r="BS34" s="5767"/>
      <c r="BT34" s="1450"/>
      <c r="BU34" s="2271">
        <v>320</v>
      </c>
      <c r="BV34" s="6203" t="s">
        <v>2024</v>
      </c>
      <c r="BW34" s="6133"/>
      <c r="BX34" s="6204" t="str">
        <f>IF(BU24=0,"",VLOOKUP(BU24,'Tablas psiquica'!$D$7:$R$145,14,FALSE))</f>
        <v/>
      </c>
      <c r="BY34" s="6205"/>
      <c r="BZ34" s="6205"/>
      <c r="CA34" s="5767"/>
      <c r="CB34" s="530"/>
      <c r="CC34" s="524"/>
      <c r="CD34" s="524"/>
      <c r="CE34" s="1450"/>
      <c r="CF34" s="2271">
        <v>320</v>
      </c>
      <c r="CG34" s="6203" t="s">
        <v>2024</v>
      </c>
      <c r="CH34" s="6133"/>
      <c r="CI34" s="6204" t="str">
        <f>IF(CF24=0,"",VLOOKUP(CF24,'Tablas psiquica'!$D$7:$R$145,14,FALSE))</f>
        <v/>
      </c>
      <c r="CJ34" s="6205"/>
      <c r="CK34" s="6205"/>
      <c r="CL34" s="5767"/>
      <c r="CM34" s="865"/>
      <c r="CN34" s="2271">
        <v>320</v>
      </c>
      <c r="CO34" s="6203" t="s">
        <v>2024</v>
      </c>
      <c r="CP34" s="6133"/>
      <c r="CQ34" s="6204" t="str">
        <f>IF(CN24=0,"",VLOOKUP(CN24,'Tablas psiquica'!$D$7:$R$145,14,FALSE))</f>
        <v/>
      </c>
      <c r="CR34" s="6205"/>
      <c r="CS34" s="6205"/>
      <c r="CT34" s="5767"/>
      <c r="CU34" s="1450"/>
      <c r="CV34" s="2271">
        <v>320</v>
      </c>
      <c r="CW34" s="6203" t="s">
        <v>2024</v>
      </c>
      <c r="CX34" s="6133"/>
      <c r="CY34" s="6204" t="str">
        <f>IF(CV24=0,"",VLOOKUP(CV24,'Tablas psiquica'!$D$7:$R$145,14,FALSE))</f>
        <v/>
      </c>
      <c r="CZ34" s="6205"/>
      <c r="DA34" s="6205"/>
      <c r="DB34" s="5767"/>
      <c r="DC34" s="530"/>
      <c r="DD34" s="524"/>
    </row>
    <row r="35" spans="1:108" ht="12" customHeight="1" x14ac:dyDescent="0.2">
      <c r="A35" s="524"/>
      <c r="B35" s="1450"/>
      <c r="C35" s="565">
        <v>440</v>
      </c>
      <c r="D35" s="6206" t="s">
        <v>1958</v>
      </c>
      <c r="E35" s="6207"/>
      <c r="F35" s="6208" t="str">
        <f>IF(C24=0,"",VLOOKUP(C24,'Tablas psiquica'!$D$7:$R$145,15,FALSE))</f>
        <v/>
      </c>
      <c r="G35" s="6209"/>
      <c r="H35" s="6209"/>
      <c r="I35" s="6210"/>
      <c r="J35" s="865"/>
      <c r="K35" s="565">
        <v>440</v>
      </c>
      <c r="L35" s="6206" t="s">
        <v>1958</v>
      </c>
      <c r="M35" s="6207"/>
      <c r="N35" s="6208" t="str">
        <f>IF(K24=0,"",VLOOKUP(K24,'Tablas psiquica'!$D$7:$R$145,15,FALSE))</f>
        <v/>
      </c>
      <c r="O35" s="6209"/>
      <c r="P35" s="6209"/>
      <c r="Q35" s="6210"/>
      <c r="R35" s="1450"/>
      <c r="S35" s="565">
        <v>440</v>
      </c>
      <c r="T35" s="6206" t="s">
        <v>1958</v>
      </c>
      <c r="U35" s="6207"/>
      <c r="V35" s="6208" t="str">
        <f>IF(S24=0,"",VLOOKUP(S24,'Tablas psiquica'!$D$7:$R$145,15,FALSE))</f>
        <v/>
      </c>
      <c r="W35" s="6209"/>
      <c r="X35" s="6209"/>
      <c r="Y35" s="6210"/>
      <c r="Z35" s="530"/>
      <c r="AA35" s="524"/>
      <c r="AB35" s="524"/>
      <c r="AC35" s="1450"/>
      <c r="AD35" s="565">
        <v>440</v>
      </c>
      <c r="AE35" s="6206" t="s">
        <v>1958</v>
      </c>
      <c r="AF35" s="6207"/>
      <c r="AG35" s="6208" t="str">
        <f>IF(AD24=0,"",VLOOKUP(AD24,'Tablas psiquica'!$D$7:$R$145,15,FALSE))</f>
        <v/>
      </c>
      <c r="AH35" s="6209"/>
      <c r="AI35" s="6209"/>
      <c r="AJ35" s="6210"/>
      <c r="AK35" s="865"/>
      <c r="AL35" s="565">
        <v>440</v>
      </c>
      <c r="AM35" s="6206" t="s">
        <v>1958</v>
      </c>
      <c r="AN35" s="6207"/>
      <c r="AO35" s="6208" t="str">
        <f>IF(AL24=0,"",VLOOKUP(AL24,'Tablas psiquica'!$D$7:$R$145,15,FALSE))</f>
        <v/>
      </c>
      <c r="AP35" s="6209"/>
      <c r="AQ35" s="6209"/>
      <c r="AR35" s="6210"/>
      <c r="AS35" s="1450"/>
      <c r="AT35" s="565">
        <v>440</v>
      </c>
      <c r="AU35" s="6206" t="s">
        <v>1958</v>
      </c>
      <c r="AV35" s="6207"/>
      <c r="AW35" s="6208" t="str">
        <f>IF(AT24=0,"",VLOOKUP(AT24,'Tablas psiquica'!$D$7:$R$145,15,FALSE))</f>
        <v/>
      </c>
      <c r="AX35" s="6209"/>
      <c r="AY35" s="6209"/>
      <c r="AZ35" s="6210"/>
      <c r="BA35" s="530"/>
      <c r="BB35" s="524"/>
      <c r="BC35" s="524"/>
      <c r="BD35" s="1450"/>
      <c r="BE35" s="565">
        <v>440</v>
      </c>
      <c r="BF35" s="6206" t="s">
        <v>1958</v>
      </c>
      <c r="BG35" s="6207"/>
      <c r="BH35" s="6208" t="str">
        <f>IF(BE24=0,"",VLOOKUP(BE24,'Tablas psiquica'!$D$7:$R$145,15,FALSE))</f>
        <v/>
      </c>
      <c r="BI35" s="6209"/>
      <c r="BJ35" s="6209"/>
      <c r="BK35" s="6210"/>
      <c r="BL35" s="865"/>
      <c r="BM35" s="565">
        <v>440</v>
      </c>
      <c r="BN35" s="6206" t="s">
        <v>1958</v>
      </c>
      <c r="BO35" s="6207"/>
      <c r="BP35" s="6208" t="str">
        <f>IF(BM24=0,"",VLOOKUP(BM24,'Tablas psiquica'!$D$7:$R$145,15,FALSE))</f>
        <v/>
      </c>
      <c r="BQ35" s="6209"/>
      <c r="BR35" s="6209"/>
      <c r="BS35" s="6210"/>
      <c r="BT35" s="1450"/>
      <c r="BU35" s="565">
        <v>440</v>
      </c>
      <c r="BV35" s="6206" t="s">
        <v>1958</v>
      </c>
      <c r="BW35" s="6207"/>
      <c r="BX35" s="6208" t="str">
        <f>IF(BU24=0,"",VLOOKUP(BU24,'Tablas psiquica'!$D$7:$R$145,15,FALSE))</f>
        <v/>
      </c>
      <c r="BY35" s="6209"/>
      <c r="BZ35" s="6209"/>
      <c r="CA35" s="6210"/>
      <c r="CB35" s="530"/>
      <c r="CC35" s="524"/>
      <c r="CD35" s="524"/>
      <c r="CE35" s="1450"/>
      <c r="CF35" s="565">
        <v>440</v>
      </c>
      <c r="CG35" s="6206" t="s">
        <v>1958</v>
      </c>
      <c r="CH35" s="6207"/>
      <c r="CI35" s="6208" t="str">
        <f>IF(CF24=0,"",VLOOKUP(CF24,'Tablas psiquica'!$D$7:$R$145,15,FALSE))</f>
        <v/>
      </c>
      <c r="CJ35" s="6209"/>
      <c r="CK35" s="6209"/>
      <c r="CL35" s="6210"/>
      <c r="CM35" s="865"/>
      <c r="CN35" s="565">
        <v>440</v>
      </c>
      <c r="CO35" s="6206" t="s">
        <v>1958</v>
      </c>
      <c r="CP35" s="6207"/>
      <c r="CQ35" s="6208" t="str">
        <f>IF(CN24=0,"",VLOOKUP(CN24,'Tablas psiquica'!$D$7:$R$145,15,FALSE))</f>
        <v/>
      </c>
      <c r="CR35" s="6209"/>
      <c r="CS35" s="6209"/>
      <c r="CT35" s="6210"/>
      <c r="CU35" s="1450"/>
      <c r="CV35" s="565">
        <v>440</v>
      </c>
      <c r="CW35" s="6206" t="s">
        <v>1958</v>
      </c>
      <c r="CX35" s="6207"/>
      <c r="CY35" s="6208" t="str">
        <f>IF(CV24=0,"",VLOOKUP(CV24,'Tablas psiquica'!$D$7:$R$145,15,FALSE))</f>
        <v/>
      </c>
      <c r="CZ35" s="6209"/>
      <c r="DA35" s="6209"/>
      <c r="DB35" s="6210"/>
      <c r="DC35" s="530"/>
      <c r="DD35" s="524"/>
    </row>
    <row r="36" spans="1:108" ht="12" customHeight="1" thickBot="1" x14ac:dyDescent="0.25">
      <c r="A36" s="524"/>
      <c r="B36" s="1450"/>
      <c r="C36" s="6211" t="s">
        <v>6896</v>
      </c>
      <c r="D36" s="6212"/>
      <c r="E36" s="566" t="str">
        <f>IF(C24=0,"",VLOOKUP(C24,'Tablas psiquica'!$D$7:$R$145,4,FALSE))</f>
        <v/>
      </c>
      <c r="F36" s="6213" t="s">
        <v>6891</v>
      </c>
      <c r="G36" s="6213"/>
      <c r="H36" s="4569" t="str">
        <f>IF(C24=0,"",VLOOKUP(C24,'Tablas psiquica'!$D$7:$R$145,5,FALSE))</f>
        <v/>
      </c>
      <c r="I36" s="4570"/>
      <c r="J36" s="865"/>
      <c r="K36" s="6211" t="s">
        <v>6896</v>
      </c>
      <c r="L36" s="6212"/>
      <c r="M36" s="566" t="str">
        <f>IF(K24=0,"",VLOOKUP(K24,'Tablas psiquica'!$D$7:$R$145,4,FALSE))</f>
        <v/>
      </c>
      <c r="N36" s="6213" t="s">
        <v>6891</v>
      </c>
      <c r="O36" s="6213"/>
      <c r="P36" s="4569" t="str">
        <f>IF(K24=0,"",VLOOKUP(K24,'Tablas psiquica'!$D$7:$R$145,5,FALSE))</f>
        <v/>
      </c>
      <c r="Q36" s="4570"/>
      <c r="R36" s="1450"/>
      <c r="S36" s="6211" t="s">
        <v>6896</v>
      </c>
      <c r="T36" s="6212"/>
      <c r="U36" s="566" t="str">
        <f>IF(S24=0,"",VLOOKUP(S24,'Tablas psiquica'!$D$7:$R$145,4,FALSE))</f>
        <v/>
      </c>
      <c r="V36" s="6213" t="s">
        <v>6891</v>
      </c>
      <c r="W36" s="6213"/>
      <c r="X36" s="4569" t="str">
        <f>IF(S24=0,"",VLOOKUP(S24,'Tablas psiquica'!$D$7:$R$145,5,FALSE))</f>
        <v/>
      </c>
      <c r="Y36" s="4570"/>
      <c r="Z36" s="530"/>
      <c r="AA36" s="524"/>
      <c r="AB36" s="524"/>
      <c r="AC36" s="1450"/>
      <c r="AD36" s="6211" t="s">
        <v>6896</v>
      </c>
      <c r="AE36" s="6212"/>
      <c r="AF36" s="566" t="str">
        <f>IF(AD24=0,"",VLOOKUP(AD24,'Tablas psiquica'!$D$7:$R$145,4,FALSE))</f>
        <v/>
      </c>
      <c r="AG36" s="6213" t="s">
        <v>6891</v>
      </c>
      <c r="AH36" s="6213"/>
      <c r="AI36" s="4569" t="str">
        <f>IF(AD24=0,"",VLOOKUP(AD24,'Tablas psiquica'!$D$7:$R$145,5,FALSE))</f>
        <v/>
      </c>
      <c r="AJ36" s="4570"/>
      <c r="AK36" s="865"/>
      <c r="AL36" s="6211" t="s">
        <v>6896</v>
      </c>
      <c r="AM36" s="6212"/>
      <c r="AN36" s="566" t="str">
        <f>IF(AL24=0,"",VLOOKUP(AL24,'Tablas psiquica'!$D$7:$R$145,4,FALSE))</f>
        <v/>
      </c>
      <c r="AO36" s="6213" t="s">
        <v>6891</v>
      </c>
      <c r="AP36" s="6213"/>
      <c r="AQ36" s="4569" t="str">
        <f>IF(AL24=0,"",VLOOKUP(AL24,'Tablas psiquica'!$D$7:$R$145,5,FALSE))</f>
        <v/>
      </c>
      <c r="AR36" s="4570"/>
      <c r="AS36" s="1450"/>
      <c r="AT36" s="6211" t="s">
        <v>6896</v>
      </c>
      <c r="AU36" s="6212"/>
      <c r="AV36" s="566" t="str">
        <f>IF(AT24=0,"",VLOOKUP(AT24,'Tablas psiquica'!$D$7:$R$145,4,FALSE))</f>
        <v/>
      </c>
      <c r="AW36" s="6213" t="s">
        <v>6891</v>
      </c>
      <c r="AX36" s="6213"/>
      <c r="AY36" s="4569" t="str">
        <f>IF(AT24=0,"",VLOOKUP(AT24,'Tablas psiquica'!$D$7:$R$145,5,FALSE))</f>
        <v/>
      </c>
      <c r="AZ36" s="4570"/>
      <c r="BA36" s="530"/>
      <c r="BB36" s="524"/>
      <c r="BC36" s="524"/>
      <c r="BD36" s="1450"/>
      <c r="BE36" s="6211" t="s">
        <v>6896</v>
      </c>
      <c r="BF36" s="6212"/>
      <c r="BG36" s="566" t="str">
        <f>IF(BE24=0,"",VLOOKUP(BE24,'Tablas psiquica'!$D$7:$R$145,4,FALSE))</f>
        <v/>
      </c>
      <c r="BH36" s="6213" t="s">
        <v>6891</v>
      </c>
      <c r="BI36" s="6213"/>
      <c r="BJ36" s="4569" t="str">
        <f>IF(BE24=0,"",VLOOKUP(BE24,'Tablas psiquica'!$D$7:$R$145,5,FALSE))</f>
        <v/>
      </c>
      <c r="BK36" s="4570"/>
      <c r="BL36" s="865"/>
      <c r="BM36" s="6211" t="s">
        <v>6896</v>
      </c>
      <c r="BN36" s="6212"/>
      <c r="BO36" s="566" t="str">
        <f>IF(BM24=0,"",VLOOKUP(BM24,'Tablas psiquica'!$D$7:$R$145,4,FALSE))</f>
        <v/>
      </c>
      <c r="BP36" s="6213" t="s">
        <v>6891</v>
      </c>
      <c r="BQ36" s="6213"/>
      <c r="BR36" s="4569" t="str">
        <f>IF(BM24=0,"",VLOOKUP(BM24,'Tablas psiquica'!$D$7:$R$145,5,FALSE))</f>
        <v/>
      </c>
      <c r="BS36" s="4570"/>
      <c r="BT36" s="1450"/>
      <c r="BU36" s="6211" t="s">
        <v>6896</v>
      </c>
      <c r="BV36" s="6212"/>
      <c r="BW36" s="566" t="str">
        <f>IF(BU24=0,"",VLOOKUP(BU24,'Tablas psiquica'!$D$7:$R$145,4,FALSE))</f>
        <v/>
      </c>
      <c r="BX36" s="6213" t="s">
        <v>6891</v>
      </c>
      <c r="BY36" s="6213"/>
      <c r="BZ36" s="4569" t="str">
        <f>IF(BU24=0,"",VLOOKUP(BU24,'Tablas psiquica'!$D$7:$R$145,5,FALSE))</f>
        <v/>
      </c>
      <c r="CA36" s="4570"/>
      <c r="CB36" s="530"/>
      <c r="CC36" s="524"/>
      <c r="CD36" s="524"/>
      <c r="CE36" s="1450"/>
      <c r="CF36" s="6211" t="s">
        <v>6896</v>
      </c>
      <c r="CG36" s="6212"/>
      <c r="CH36" s="566" t="str">
        <f>IF(CF24=0,"",VLOOKUP(CF24,'Tablas psiquica'!$D$7:$R$145,4,FALSE))</f>
        <v/>
      </c>
      <c r="CI36" s="6213" t="s">
        <v>6891</v>
      </c>
      <c r="CJ36" s="6213"/>
      <c r="CK36" s="4569" t="str">
        <f>IF(CF24=0,"",VLOOKUP(CF24,'Tablas psiquica'!$D$7:$R$145,5,FALSE))</f>
        <v/>
      </c>
      <c r="CL36" s="4570"/>
      <c r="CM36" s="865"/>
      <c r="CN36" s="6211" t="s">
        <v>6896</v>
      </c>
      <c r="CO36" s="6212"/>
      <c r="CP36" s="566" t="str">
        <f>IF(CN24=0,"",VLOOKUP(CN24,'Tablas psiquica'!$D$7:$R$145,4,FALSE))</f>
        <v/>
      </c>
      <c r="CQ36" s="6213" t="s">
        <v>6891</v>
      </c>
      <c r="CR36" s="6213"/>
      <c r="CS36" s="4569" t="str">
        <f>IF(CN24=0,"",VLOOKUP(CN24,'Tablas psiquica'!$D$7:$R$145,5,FALSE))</f>
        <v/>
      </c>
      <c r="CT36" s="4570"/>
      <c r="CU36" s="1450"/>
      <c r="CV36" s="6211" t="s">
        <v>6896</v>
      </c>
      <c r="CW36" s="6212"/>
      <c r="CX36" s="566" t="str">
        <f>IF(CV24=0,"",VLOOKUP(CV24,'Tablas psiquica'!$D$7:$R$145,4,FALSE))</f>
        <v/>
      </c>
      <c r="CY36" s="6213" t="s">
        <v>6891</v>
      </c>
      <c r="CZ36" s="6213"/>
      <c r="DA36" s="4569" t="str">
        <f>IF(CV24=0,"",VLOOKUP(CV24,'Tablas psiquica'!$D$7:$R$145,5,FALSE))</f>
        <v/>
      </c>
      <c r="DB36" s="4570"/>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186">
        <f>IFERROR(INDEX('Tablas psiquica'!$U$115:$AH$129,B38,$Y$7),0)</f>
        <v>0</v>
      </c>
      <c r="D38" s="6187"/>
      <c r="E38" s="6187"/>
      <c r="F38" s="6187"/>
      <c r="G38" s="6187"/>
      <c r="H38" s="6187"/>
      <c r="I38" s="563" t="s">
        <v>1676</v>
      </c>
      <c r="J38" s="865">
        <v>8</v>
      </c>
      <c r="K38" s="6186">
        <f>IFERROR(INDEX('Tablas psiquica'!$U$115:$AH$129,J38,$Y$7),0)</f>
        <v>0</v>
      </c>
      <c r="L38" s="6187"/>
      <c r="M38" s="6187"/>
      <c r="N38" s="6187"/>
      <c r="O38" s="6187"/>
      <c r="P38" s="6187"/>
      <c r="Q38" s="563" t="s">
        <v>1676</v>
      </c>
      <c r="R38" s="1450">
        <v>9</v>
      </c>
      <c r="S38" s="6186">
        <f>IFERROR(INDEX('Tablas psiquica'!$U$115:$AH$129,R38,$Y$7),0)</f>
        <v>0</v>
      </c>
      <c r="T38" s="6187"/>
      <c r="U38" s="6187"/>
      <c r="V38" s="6187"/>
      <c r="W38" s="6187"/>
      <c r="X38" s="6187"/>
      <c r="Y38" s="563" t="s">
        <v>1676</v>
      </c>
      <c r="Z38" s="530"/>
      <c r="AA38" s="524"/>
      <c r="AB38" s="524"/>
      <c r="AC38" s="1450">
        <v>7</v>
      </c>
      <c r="AD38" s="6186">
        <f>IFERROR(INDEX('Tablas psiquica'!$U$115:$AH$129,AC38,$AZ$7),0)</f>
        <v>0</v>
      </c>
      <c r="AE38" s="6187"/>
      <c r="AF38" s="6187"/>
      <c r="AG38" s="6187"/>
      <c r="AH38" s="6187"/>
      <c r="AI38" s="6187"/>
      <c r="AJ38" s="563" t="s">
        <v>1676</v>
      </c>
      <c r="AK38" s="865">
        <v>8</v>
      </c>
      <c r="AL38" s="6186">
        <f>IFERROR(INDEX('Tablas psiquica'!$U$115:$AH$129,AK38,$AZ$7),0)</f>
        <v>0</v>
      </c>
      <c r="AM38" s="6187"/>
      <c r="AN38" s="6187"/>
      <c r="AO38" s="6187"/>
      <c r="AP38" s="6187"/>
      <c r="AQ38" s="6187"/>
      <c r="AR38" s="563" t="s">
        <v>1676</v>
      </c>
      <c r="AS38" s="1450">
        <v>9</v>
      </c>
      <c r="AT38" s="6186">
        <f>IFERROR(INDEX('Tablas psiquica'!$U$115:$AH$129,AS38,$AZ$7),0)</f>
        <v>0</v>
      </c>
      <c r="AU38" s="6187"/>
      <c r="AV38" s="6187"/>
      <c r="AW38" s="6187"/>
      <c r="AX38" s="6187"/>
      <c r="AY38" s="6187"/>
      <c r="AZ38" s="563" t="s">
        <v>1676</v>
      </c>
      <c r="BA38" s="530"/>
      <c r="BB38" s="524"/>
      <c r="BC38" s="524"/>
      <c r="BD38" s="1450">
        <v>7</v>
      </c>
      <c r="BE38" s="6186">
        <f>IFERROR(INDEX('Tablas psiquica'!$U$115:$AH$129,BD38,$CA$7),0)</f>
        <v>0</v>
      </c>
      <c r="BF38" s="6187"/>
      <c r="BG38" s="6187"/>
      <c r="BH38" s="6187"/>
      <c r="BI38" s="6187"/>
      <c r="BJ38" s="6187"/>
      <c r="BK38" s="563" t="s">
        <v>1676</v>
      </c>
      <c r="BL38" s="865">
        <v>8</v>
      </c>
      <c r="BM38" s="6186">
        <f>IFERROR(INDEX('Tablas psiquica'!$U$115:$AH$129,BL38,$CA$7),0)</f>
        <v>0</v>
      </c>
      <c r="BN38" s="6187"/>
      <c r="BO38" s="6187"/>
      <c r="BP38" s="6187"/>
      <c r="BQ38" s="6187"/>
      <c r="BR38" s="6187"/>
      <c r="BS38" s="563" t="s">
        <v>1676</v>
      </c>
      <c r="BT38" s="1450">
        <v>9</v>
      </c>
      <c r="BU38" s="6186">
        <f>IFERROR(INDEX('Tablas psiquica'!$U$115:$AH$129,BT38,$CA$7),0)</f>
        <v>0</v>
      </c>
      <c r="BV38" s="6187"/>
      <c r="BW38" s="6187"/>
      <c r="BX38" s="6187"/>
      <c r="BY38" s="6187"/>
      <c r="BZ38" s="6187"/>
      <c r="CA38" s="563" t="s">
        <v>1676</v>
      </c>
      <c r="CB38" s="530"/>
      <c r="CC38" s="524"/>
      <c r="CD38" s="524"/>
      <c r="CE38" s="1450">
        <v>7</v>
      </c>
      <c r="CF38" s="6186">
        <f>IFERROR(INDEX('Tablas psiquica'!$U$115:$AH$129,CE38,$DB$7),0)</f>
        <v>0</v>
      </c>
      <c r="CG38" s="6187"/>
      <c r="CH38" s="6187"/>
      <c r="CI38" s="6187"/>
      <c r="CJ38" s="6187"/>
      <c r="CK38" s="6187"/>
      <c r="CL38" s="563" t="s">
        <v>1676</v>
      </c>
      <c r="CM38" s="865">
        <v>8</v>
      </c>
      <c r="CN38" s="6186">
        <f>IFERROR(INDEX('Tablas psiquica'!$U$115:$AH$129,CM38,$DB$7),0)</f>
        <v>0</v>
      </c>
      <c r="CO38" s="6187"/>
      <c r="CP38" s="6187"/>
      <c r="CQ38" s="6187"/>
      <c r="CR38" s="6187"/>
      <c r="CS38" s="6187"/>
      <c r="CT38" s="563" t="s">
        <v>1676</v>
      </c>
      <c r="CU38" s="1450">
        <v>9</v>
      </c>
      <c r="CV38" s="6186">
        <f>IFERROR(INDEX('Tablas psiquica'!$U$115:$AH$129,CU38,$DB$7),0)</f>
        <v>0</v>
      </c>
      <c r="CW38" s="6187"/>
      <c r="CX38" s="6187"/>
      <c r="CY38" s="6187"/>
      <c r="CZ38" s="6187"/>
      <c r="DA38" s="6187"/>
      <c r="DB38" s="563" t="s">
        <v>1676</v>
      </c>
      <c r="DC38" s="530"/>
      <c r="DD38" s="524"/>
    </row>
    <row r="39" spans="1:108" ht="12" customHeight="1" x14ac:dyDescent="0.2">
      <c r="A39" s="524"/>
      <c r="B39" s="1450"/>
      <c r="C39" s="6188" t="str">
        <f>IF(C38=0,"",VLOOKUP(C38,'Tablas psiquica'!$D$7:$R$145,2,FALSE))</f>
        <v/>
      </c>
      <c r="D39" s="6189"/>
      <c r="E39" s="6189"/>
      <c r="F39" s="6190"/>
      <c r="G39" s="6191" t="str">
        <f>IF(C38=0,"",IF(INDEX('Tablas psiquica'!$U$114:$AH$114,1,$Y$7)=0,"No Accesible",IF(ISNA(VLOOKUP(C38,Psíquicos!$V$11:$Z$64,1,0)),"Accesible CV","Aprendido")))</f>
        <v/>
      </c>
      <c r="H39" s="6192"/>
      <c r="I39" s="2313" t="str">
        <f>IF(C38=0,"",VLOOKUP(C38,'Tablas psiquica'!$D$7:$R$145,3,FALSE))</f>
        <v/>
      </c>
      <c r="J39" s="865"/>
      <c r="K39" s="6188" t="str">
        <f>IF(K38=0,"",VLOOKUP(K38,'Tablas psiquica'!$D$7:$R$145,2,FALSE))</f>
        <v/>
      </c>
      <c r="L39" s="6189"/>
      <c r="M39" s="6189"/>
      <c r="N39" s="6190"/>
      <c r="O39" s="6191" t="str">
        <f>IF(K38=0,"",IF(INDEX('Tablas psiquica'!$U$114:$AH$114,1,$Y$7)=0,"No Accesible",IF(ISNA(VLOOKUP(K38,Psíquicos!$V$11:$Z$64,1,0)),"Accesible CV","Aprendido")))</f>
        <v/>
      </c>
      <c r="P39" s="6192"/>
      <c r="Q39" s="2313" t="str">
        <f>IF(K38=0,"",VLOOKUP(K38,'Tablas psiquica'!$D$7:$R$145,3,FALSE))</f>
        <v/>
      </c>
      <c r="R39" s="1450"/>
      <c r="S39" s="6188" t="str">
        <f>IF(S38=0,"",VLOOKUP(S38,'Tablas psiquica'!$D$7:$R$145,2,FALSE))</f>
        <v/>
      </c>
      <c r="T39" s="6189"/>
      <c r="U39" s="6189"/>
      <c r="V39" s="6190"/>
      <c r="W39" s="6191" t="str">
        <f>IF(S38=0,"",IF(INDEX('Tablas psiquica'!$U$114:$AH$114,1,$Y$7)=0,"No Accesible",IF(ISNA(VLOOKUP(S38,Psíquicos!$V$11:$Z$64,1,0)),"Accesible CV","Aprendido")))</f>
        <v/>
      </c>
      <c r="X39" s="6192"/>
      <c r="Y39" s="2313" t="str">
        <f>IF(S38=0,"",VLOOKUP(S38,'Tablas psiquica'!$D$7:$R$145,3,FALSE))</f>
        <v/>
      </c>
      <c r="Z39" s="530"/>
      <c r="AA39" s="524"/>
      <c r="AB39" s="524"/>
      <c r="AC39" s="1450"/>
      <c r="AD39" s="6188" t="str">
        <f>IF(AD38=0,"",VLOOKUP(AD38,'Tablas psiquica'!$D$7:$R$145,2,FALSE))</f>
        <v/>
      </c>
      <c r="AE39" s="6189"/>
      <c r="AF39" s="6189"/>
      <c r="AG39" s="6190"/>
      <c r="AH39" s="6191" t="str">
        <f>IF(AD38=0,"",IF(INDEX('Tablas psiquica'!$U$114:$AH$114,1,$AZ$7)=0,"No Accesible",IF(ISNA(VLOOKUP(AD38,Psíquicos!$V$11:$Z$64,1,0)),"Accesible CV","Aprendido")))</f>
        <v/>
      </c>
      <c r="AI39" s="6192"/>
      <c r="AJ39" s="2313" t="str">
        <f>IF(AD38=0,"",VLOOKUP(AD38,'Tablas psiquica'!$D$7:$R$145,3,FALSE))</f>
        <v/>
      </c>
      <c r="AK39" s="865"/>
      <c r="AL39" s="6188" t="str">
        <f>IF(AL38=0,"",VLOOKUP(AL38,'Tablas psiquica'!$D$7:$R$145,2,FALSE))</f>
        <v/>
      </c>
      <c r="AM39" s="6189"/>
      <c r="AN39" s="6189"/>
      <c r="AO39" s="6190"/>
      <c r="AP39" s="6191" t="str">
        <f>IF(AL38=0,"",IF(INDEX('Tablas psiquica'!$U$114:$AH$114,1,$AZ$7)=0,"No Accesible",IF(ISNA(VLOOKUP(AL38,Psíquicos!$V$11:$Z$64,1,0)),"Accesible CV","Aprendido")))</f>
        <v/>
      </c>
      <c r="AQ39" s="6192"/>
      <c r="AR39" s="2313" t="str">
        <f>IF(AL38=0,"",VLOOKUP(AL38,'Tablas psiquica'!$D$7:$R$145,3,FALSE))</f>
        <v/>
      </c>
      <c r="AS39" s="1450"/>
      <c r="AT39" s="6188" t="str">
        <f>IF(AT38=0,"",VLOOKUP(AT38,'Tablas psiquica'!$D$7:$R$145,2,FALSE))</f>
        <v/>
      </c>
      <c r="AU39" s="6189"/>
      <c r="AV39" s="6189"/>
      <c r="AW39" s="6190"/>
      <c r="AX39" s="6191" t="str">
        <f>IF(AT38=0,"",IF(INDEX('Tablas psiquica'!$U$114:$AH$114,1,$AZ$7)=0,"No Accesible",IF(ISNA(VLOOKUP(AT38,Psíquicos!$V$11:$Z$64,1,0)),"Accesible CV","Aprendido")))</f>
        <v/>
      </c>
      <c r="AY39" s="6192"/>
      <c r="AZ39" s="2313" t="str">
        <f>IF(AT38=0,"",VLOOKUP(AT38,'Tablas psiquica'!$D$7:$R$145,3,FALSE))</f>
        <v/>
      </c>
      <c r="BA39" s="530"/>
      <c r="BB39" s="524"/>
      <c r="BC39" s="524"/>
      <c r="BD39" s="1450"/>
      <c r="BE39" s="6188" t="str">
        <f>IF(BE38=0,"",VLOOKUP(BE38,'Tablas psiquica'!$D$7:$R$145,2,FALSE))</f>
        <v/>
      </c>
      <c r="BF39" s="6189"/>
      <c r="BG39" s="6189"/>
      <c r="BH39" s="6190"/>
      <c r="BI39" s="6191" t="str">
        <f>IF(BE38=0,"",IF(INDEX('Tablas psiquica'!$U$114:$AH$114,1,$CA$7)=0,"No Accesible",IF(ISNA(VLOOKUP(BE38,Psíquicos!$V$11:$Z$64,1,0)),"Accesible CV","Aprendido")))</f>
        <v/>
      </c>
      <c r="BJ39" s="6192"/>
      <c r="BK39" s="2313" t="str">
        <f>IF(BE38=0,"",VLOOKUP(BE38,'Tablas psiquica'!$D$7:$R$145,3,FALSE))</f>
        <v/>
      </c>
      <c r="BL39" s="865"/>
      <c r="BM39" s="6188" t="str">
        <f>IF(BM38=0,"",VLOOKUP(BM38,'Tablas psiquica'!$D$7:$R$145,2,FALSE))</f>
        <v/>
      </c>
      <c r="BN39" s="6189"/>
      <c r="BO39" s="6189"/>
      <c r="BP39" s="6190"/>
      <c r="BQ39" s="6191" t="str">
        <f>IF(BM38=0,"",IF(INDEX('Tablas psiquica'!$U$114:$AH$114,1,$CA$7)=0,"No Accesible",IF(ISNA(VLOOKUP(BM38,Psíquicos!$V$11:$Z$64,1,0)),"Accesible CV","Aprendido")))</f>
        <v/>
      </c>
      <c r="BR39" s="6192"/>
      <c r="BS39" s="2313" t="str">
        <f>IF(BM38=0,"",VLOOKUP(BM38,'Tablas psiquica'!$D$7:$R$145,3,FALSE))</f>
        <v/>
      </c>
      <c r="BT39" s="1450"/>
      <c r="BU39" s="6188" t="str">
        <f>IF(BU38=0,"",VLOOKUP(BU38,'Tablas psiquica'!$D$7:$R$145,2,FALSE))</f>
        <v/>
      </c>
      <c r="BV39" s="6189"/>
      <c r="BW39" s="6189"/>
      <c r="BX39" s="6190"/>
      <c r="BY39" s="6191" t="str">
        <f>IF(BU38=0,"",IF(INDEX('Tablas psiquica'!$U$114:$AH$114,1,$CA$7)=0,"No Accesible",IF(ISNA(VLOOKUP(BU38,Psíquicos!$V$11:$Z$64,1,0)),"Accesible CV","Aprendido")))</f>
        <v/>
      </c>
      <c r="BZ39" s="6192"/>
      <c r="CA39" s="2313" t="str">
        <f>IF(BU38=0,"",VLOOKUP(BU38,'Tablas psiquica'!$D$7:$R$145,3,FALSE))</f>
        <v/>
      </c>
      <c r="CB39" s="530"/>
      <c r="CC39" s="524"/>
      <c r="CD39" s="524"/>
      <c r="CE39" s="1450"/>
      <c r="CF39" s="6188" t="str">
        <f>IF(CF38=0,"",VLOOKUP(CF38,'Tablas psiquica'!$D$7:$R$145,2,FALSE))</f>
        <v/>
      </c>
      <c r="CG39" s="6189"/>
      <c r="CH39" s="6189"/>
      <c r="CI39" s="6190"/>
      <c r="CJ39" s="6191" t="str">
        <f>IF(CF38=0,"",IF(INDEX('Tablas psiquica'!$U$114:$AH$114,1,$DB$7)=0,"No Accesible",IF(ISNA(VLOOKUP(CF38,Psíquicos!$V$11:$Z$64,1,0)),"Accesible CV","Aprendido")))</f>
        <v/>
      </c>
      <c r="CK39" s="6192"/>
      <c r="CL39" s="2313" t="str">
        <f>IF(CF38=0,"",VLOOKUP(CF38,'Tablas psiquica'!$D$7:$R$145,3,FALSE))</f>
        <v/>
      </c>
      <c r="CM39" s="865"/>
      <c r="CN39" s="6188" t="str">
        <f>IF(CN38=0,"",VLOOKUP(CN38,'Tablas psiquica'!$D$7:$R$145,2,FALSE))</f>
        <v/>
      </c>
      <c r="CO39" s="6189"/>
      <c r="CP39" s="6189"/>
      <c r="CQ39" s="6190"/>
      <c r="CR39" s="6191" t="str">
        <f>IF(CN38=0,"",IF(INDEX('Tablas psiquica'!$U$114:$AH$114,1,$DB$7)=0,"No Accesible",IF(ISNA(VLOOKUP(CN38,Psíquicos!$V$11:$Z$64,1,0)),"Accesible CV","Aprendido")))</f>
        <v/>
      </c>
      <c r="CS39" s="6192"/>
      <c r="CT39" s="2313" t="str">
        <f>IF(CN38=0,"",VLOOKUP(CN38,'Tablas psiquica'!$D$7:$R$145,3,FALSE))</f>
        <v/>
      </c>
      <c r="CU39" s="1450"/>
      <c r="CV39" s="6188" t="str">
        <f>IF(CV38=0,"",VLOOKUP(CV38,'Tablas psiquica'!$D$7:$R$145,2,FALSE))</f>
        <v/>
      </c>
      <c r="CW39" s="6189"/>
      <c r="CX39" s="6189"/>
      <c r="CY39" s="6190"/>
      <c r="CZ39" s="6191" t="str">
        <f>IF(CV38=0,"",IF(INDEX('Tablas psiquica'!$U$114:$AH$114,1,$DB$7)=0,"No Accesible",IF(ISNA(VLOOKUP(CV38,Psíquicos!$V$11:$Z$64,1,0)),"Accesible CV","Aprendido")))</f>
        <v/>
      </c>
      <c r="DA39" s="6192"/>
      <c r="DB39" s="2313" t="str">
        <f>IF(CV38=0,"",VLOOKUP(CV38,'Tablas psiquica'!$D$7:$R$145,3,FALSE))</f>
        <v/>
      </c>
      <c r="DC39" s="530"/>
      <c r="DD39" s="524"/>
    </row>
    <row r="40" spans="1:108" ht="12" customHeight="1" x14ac:dyDescent="0.2">
      <c r="A40" s="524"/>
      <c r="B40" s="1450"/>
      <c r="C40" s="2271">
        <v>20</v>
      </c>
      <c r="D40" s="6203" t="s">
        <v>2001</v>
      </c>
      <c r="E40" s="6133"/>
      <c r="F40" s="6204" t="str">
        <f>IF(C38=0,"",VLOOKUP(C38,'Tablas psiquica'!$D$7:$R$145,6,FALSE))</f>
        <v/>
      </c>
      <c r="G40" s="6205"/>
      <c r="H40" s="6205"/>
      <c r="I40" s="5767"/>
      <c r="J40" s="865"/>
      <c r="K40" s="2271">
        <v>20</v>
      </c>
      <c r="L40" s="6203" t="s">
        <v>2001</v>
      </c>
      <c r="M40" s="6133"/>
      <c r="N40" s="6204" t="str">
        <f>IF(K38=0,"",VLOOKUP(K38,'Tablas psiquica'!$D$7:$R$145,6,FALSE))</f>
        <v/>
      </c>
      <c r="O40" s="6205"/>
      <c r="P40" s="6205"/>
      <c r="Q40" s="5767"/>
      <c r="R40" s="1450"/>
      <c r="S40" s="2271">
        <v>20</v>
      </c>
      <c r="T40" s="6203" t="s">
        <v>2001</v>
      </c>
      <c r="U40" s="6133"/>
      <c r="V40" s="6204" t="str">
        <f>IF(S38=0,"",VLOOKUP(S38,'Tablas psiquica'!$D$7:$R$145,6,FALSE))</f>
        <v/>
      </c>
      <c r="W40" s="6205"/>
      <c r="X40" s="6205"/>
      <c r="Y40" s="5767"/>
      <c r="Z40" s="530"/>
      <c r="AA40" s="524"/>
      <c r="AB40" s="524"/>
      <c r="AC40" s="1450"/>
      <c r="AD40" s="2271">
        <v>20</v>
      </c>
      <c r="AE40" s="6203" t="s">
        <v>2001</v>
      </c>
      <c r="AF40" s="6133"/>
      <c r="AG40" s="6204" t="str">
        <f>IF(AD38=0,"",VLOOKUP(AD38,'Tablas psiquica'!$D$7:$R$145,6,FALSE))</f>
        <v/>
      </c>
      <c r="AH40" s="6205"/>
      <c r="AI40" s="6205"/>
      <c r="AJ40" s="5767"/>
      <c r="AK40" s="865"/>
      <c r="AL40" s="2271">
        <v>20</v>
      </c>
      <c r="AM40" s="6203" t="s">
        <v>2001</v>
      </c>
      <c r="AN40" s="6133"/>
      <c r="AO40" s="6204" t="str">
        <f>IF(AL38=0,"",VLOOKUP(AL38,'Tablas psiquica'!$D$7:$R$145,6,FALSE))</f>
        <v/>
      </c>
      <c r="AP40" s="6205"/>
      <c r="AQ40" s="6205"/>
      <c r="AR40" s="5767"/>
      <c r="AS40" s="1450"/>
      <c r="AT40" s="2271">
        <v>20</v>
      </c>
      <c r="AU40" s="6203" t="s">
        <v>2001</v>
      </c>
      <c r="AV40" s="6133"/>
      <c r="AW40" s="6204" t="str">
        <f>IF(AT38=0,"",VLOOKUP(AT38,'Tablas psiquica'!$D$7:$R$145,6,FALSE))</f>
        <v/>
      </c>
      <c r="AX40" s="6205"/>
      <c r="AY40" s="6205"/>
      <c r="AZ40" s="5767"/>
      <c r="BA40" s="530"/>
      <c r="BB40" s="524"/>
      <c r="BC40" s="524"/>
      <c r="BD40" s="1450"/>
      <c r="BE40" s="2271">
        <v>20</v>
      </c>
      <c r="BF40" s="6203" t="s">
        <v>2001</v>
      </c>
      <c r="BG40" s="6133"/>
      <c r="BH40" s="6204" t="str">
        <f>IF(BE38=0,"",VLOOKUP(BE38,'Tablas psiquica'!$D$7:$R$145,6,FALSE))</f>
        <v/>
      </c>
      <c r="BI40" s="6205"/>
      <c r="BJ40" s="6205"/>
      <c r="BK40" s="5767"/>
      <c r="BL40" s="865"/>
      <c r="BM40" s="2271">
        <v>20</v>
      </c>
      <c r="BN40" s="6203" t="s">
        <v>2001</v>
      </c>
      <c r="BO40" s="6133"/>
      <c r="BP40" s="6204" t="str">
        <f>IF(BM38=0,"",VLOOKUP(BM38,'Tablas psiquica'!$D$7:$R$145,6,FALSE))</f>
        <v/>
      </c>
      <c r="BQ40" s="6205"/>
      <c r="BR40" s="6205"/>
      <c r="BS40" s="5767"/>
      <c r="BT40" s="1450"/>
      <c r="BU40" s="2271">
        <v>20</v>
      </c>
      <c r="BV40" s="6203" t="s">
        <v>2001</v>
      </c>
      <c r="BW40" s="6133"/>
      <c r="BX40" s="6204" t="str">
        <f>IF(BU38=0,"",VLOOKUP(BU38,'Tablas psiquica'!$D$7:$R$145,6,FALSE))</f>
        <v/>
      </c>
      <c r="BY40" s="6205"/>
      <c r="BZ40" s="6205"/>
      <c r="CA40" s="5767"/>
      <c r="CB40" s="530"/>
      <c r="CC40" s="524"/>
      <c r="CD40" s="524"/>
      <c r="CE40" s="1450"/>
      <c r="CF40" s="2271">
        <v>20</v>
      </c>
      <c r="CG40" s="6203" t="s">
        <v>2001</v>
      </c>
      <c r="CH40" s="6133"/>
      <c r="CI40" s="6204" t="str">
        <f>IF(CF38=0,"",VLOOKUP(CF38,'Tablas psiquica'!$D$7:$R$145,6,FALSE))</f>
        <v/>
      </c>
      <c r="CJ40" s="6205"/>
      <c r="CK40" s="6205"/>
      <c r="CL40" s="5767"/>
      <c r="CM40" s="865"/>
      <c r="CN40" s="2271">
        <v>20</v>
      </c>
      <c r="CO40" s="6203" t="s">
        <v>2001</v>
      </c>
      <c r="CP40" s="6133"/>
      <c r="CQ40" s="6204" t="str">
        <f>IF(CN38=0,"",VLOOKUP(CN38,'Tablas psiquica'!$D$7:$R$145,6,FALSE))</f>
        <v/>
      </c>
      <c r="CR40" s="6205"/>
      <c r="CS40" s="6205"/>
      <c r="CT40" s="5767"/>
      <c r="CU40" s="1450"/>
      <c r="CV40" s="2271">
        <v>20</v>
      </c>
      <c r="CW40" s="6203" t="s">
        <v>2001</v>
      </c>
      <c r="CX40" s="6133"/>
      <c r="CY40" s="6204" t="str">
        <f>IF(CV38=0,"",VLOOKUP(CV38,'Tablas psiquica'!$D$7:$R$145,6,FALSE))</f>
        <v/>
      </c>
      <c r="CZ40" s="6205"/>
      <c r="DA40" s="6205"/>
      <c r="DB40" s="5767"/>
      <c r="DC40" s="530"/>
      <c r="DD40" s="524"/>
    </row>
    <row r="41" spans="1:108" ht="12" customHeight="1" x14ac:dyDescent="0.2">
      <c r="A41" s="524"/>
      <c r="B41" s="1450"/>
      <c r="C41" s="2270">
        <v>40</v>
      </c>
      <c r="D41" s="6199" t="s">
        <v>2005</v>
      </c>
      <c r="E41" s="6138"/>
      <c r="F41" s="6200" t="str">
        <f>IF(C38=0,"",VLOOKUP(C38,'Tablas psiquica'!$D$7:$R$145,7,FALSE))</f>
        <v/>
      </c>
      <c r="G41" s="6201"/>
      <c r="H41" s="6201"/>
      <c r="I41" s="6202"/>
      <c r="J41" s="865"/>
      <c r="K41" s="2270">
        <v>40</v>
      </c>
      <c r="L41" s="6199" t="s">
        <v>2005</v>
      </c>
      <c r="M41" s="6138"/>
      <c r="N41" s="6200" t="str">
        <f>IF(K38=0,"",VLOOKUP(K38,'Tablas psiquica'!$D$7:$R$145,7,FALSE))</f>
        <v/>
      </c>
      <c r="O41" s="6201"/>
      <c r="P41" s="6201"/>
      <c r="Q41" s="6202"/>
      <c r="R41" s="1450"/>
      <c r="S41" s="2270">
        <v>40</v>
      </c>
      <c r="T41" s="6199" t="s">
        <v>2005</v>
      </c>
      <c r="U41" s="6138"/>
      <c r="V41" s="6200" t="str">
        <f>IF(S38=0,"",VLOOKUP(S38,'Tablas psiquica'!$D$7:$R$145,7,FALSE))</f>
        <v/>
      </c>
      <c r="W41" s="6201"/>
      <c r="X41" s="6201"/>
      <c r="Y41" s="6202"/>
      <c r="Z41" s="530"/>
      <c r="AA41" s="524"/>
      <c r="AB41" s="524"/>
      <c r="AC41" s="1450"/>
      <c r="AD41" s="2270">
        <v>40</v>
      </c>
      <c r="AE41" s="6199" t="s">
        <v>2005</v>
      </c>
      <c r="AF41" s="6138"/>
      <c r="AG41" s="6200" t="str">
        <f>IF(AD38=0,"",VLOOKUP(AD38,'Tablas psiquica'!$D$7:$R$145,7,FALSE))</f>
        <v/>
      </c>
      <c r="AH41" s="6201"/>
      <c r="AI41" s="6201"/>
      <c r="AJ41" s="6202"/>
      <c r="AK41" s="865"/>
      <c r="AL41" s="2270">
        <v>40</v>
      </c>
      <c r="AM41" s="6199" t="s">
        <v>2005</v>
      </c>
      <c r="AN41" s="6138"/>
      <c r="AO41" s="6200" t="str">
        <f>IF(AL38=0,"",VLOOKUP(AL38,'Tablas psiquica'!$D$7:$R$145,7,FALSE))</f>
        <v/>
      </c>
      <c r="AP41" s="6201"/>
      <c r="AQ41" s="6201"/>
      <c r="AR41" s="6202"/>
      <c r="AS41" s="1450"/>
      <c r="AT41" s="2270">
        <v>40</v>
      </c>
      <c r="AU41" s="6199" t="s">
        <v>2005</v>
      </c>
      <c r="AV41" s="6138"/>
      <c r="AW41" s="6200" t="str">
        <f>IF(AT38=0,"",VLOOKUP(AT38,'Tablas psiquica'!$D$7:$R$145,7,FALSE))</f>
        <v/>
      </c>
      <c r="AX41" s="6201"/>
      <c r="AY41" s="6201"/>
      <c r="AZ41" s="6202"/>
      <c r="BA41" s="530"/>
      <c r="BB41" s="524"/>
      <c r="BC41" s="524"/>
      <c r="BD41" s="1450"/>
      <c r="BE41" s="2270">
        <v>40</v>
      </c>
      <c r="BF41" s="6199" t="s">
        <v>2005</v>
      </c>
      <c r="BG41" s="6138"/>
      <c r="BH41" s="6200" t="str">
        <f>IF(BE38=0,"",VLOOKUP(BE38,'Tablas psiquica'!$D$7:$R$145,7,FALSE))</f>
        <v/>
      </c>
      <c r="BI41" s="6201"/>
      <c r="BJ41" s="6201"/>
      <c r="BK41" s="6202"/>
      <c r="BL41" s="865"/>
      <c r="BM41" s="2270">
        <v>40</v>
      </c>
      <c r="BN41" s="6199" t="s">
        <v>2005</v>
      </c>
      <c r="BO41" s="6138"/>
      <c r="BP41" s="6200" t="str">
        <f>IF(BM38=0,"",VLOOKUP(BM38,'Tablas psiquica'!$D$7:$R$145,7,FALSE))</f>
        <v/>
      </c>
      <c r="BQ41" s="6201"/>
      <c r="BR41" s="6201"/>
      <c r="BS41" s="6202"/>
      <c r="BT41" s="1450"/>
      <c r="BU41" s="2270">
        <v>40</v>
      </c>
      <c r="BV41" s="6199" t="s">
        <v>2005</v>
      </c>
      <c r="BW41" s="6138"/>
      <c r="BX41" s="6200" t="str">
        <f>IF(BU38=0,"",VLOOKUP(BU38,'Tablas psiquica'!$D$7:$R$145,7,FALSE))</f>
        <v/>
      </c>
      <c r="BY41" s="6201"/>
      <c r="BZ41" s="6201"/>
      <c r="CA41" s="6202"/>
      <c r="CB41" s="530"/>
      <c r="CC41" s="524"/>
      <c r="CD41" s="524"/>
      <c r="CE41" s="1450"/>
      <c r="CF41" s="2270">
        <v>40</v>
      </c>
      <c r="CG41" s="6199" t="s">
        <v>2005</v>
      </c>
      <c r="CH41" s="6138"/>
      <c r="CI41" s="6200" t="str">
        <f>IF(CF38=0,"",VLOOKUP(CF38,'Tablas psiquica'!$D$7:$R$145,7,FALSE))</f>
        <v/>
      </c>
      <c r="CJ41" s="6201"/>
      <c r="CK41" s="6201"/>
      <c r="CL41" s="6202"/>
      <c r="CM41" s="865"/>
      <c r="CN41" s="2270">
        <v>40</v>
      </c>
      <c r="CO41" s="6199" t="s">
        <v>2005</v>
      </c>
      <c r="CP41" s="6138"/>
      <c r="CQ41" s="6200" t="str">
        <f>IF(CN38=0,"",VLOOKUP(CN38,'Tablas psiquica'!$D$7:$R$145,7,FALSE))</f>
        <v/>
      </c>
      <c r="CR41" s="6201"/>
      <c r="CS41" s="6201"/>
      <c r="CT41" s="6202"/>
      <c r="CU41" s="1450"/>
      <c r="CV41" s="2270">
        <v>40</v>
      </c>
      <c r="CW41" s="6199" t="s">
        <v>2005</v>
      </c>
      <c r="CX41" s="6138"/>
      <c r="CY41" s="6200" t="str">
        <f>IF(CV38=0,"",VLOOKUP(CV38,'Tablas psiquica'!$D$7:$R$145,7,FALSE))</f>
        <v/>
      </c>
      <c r="CZ41" s="6201"/>
      <c r="DA41" s="6201"/>
      <c r="DB41" s="6202"/>
      <c r="DC41" s="530"/>
      <c r="DD41" s="524"/>
    </row>
    <row r="42" spans="1:108" ht="12" customHeight="1" x14ac:dyDescent="0.2">
      <c r="A42" s="524"/>
      <c r="B42" s="1450"/>
      <c r="C42" s="2271">
        <v>80</v>
      </c>
      <c r="D42" s="6203" t="s">
        <v>2008</v>
      </c>
      <c r="E42" s="6133"/>
      <c r="F42" s="6204" t="str">
        <f>IF(C38=0,"",VLOOKUP(C38,'Tablas psiquica'!$D$7:$R$145,8,FALSE))</f>
        <v/>
      </c>
      <c r="G42" s="6205"/>
      <c r="H42" s="6205"/>
      <c r="I42" s="5767"/>
      <c r="J42" s="865"/>
      <c r="K42" s="2271">
        <v>80</v>
      </c>
      <c r="L42" s="6203" t="s">
        <v>2008</v>
      </c>
      <c r="M42" s="6133"/>
      <c r="N42" s="6204" t="str">
        <f>IF(K38=0,"",VLOOKUP(K38,'Tablas psiquica'!$D$7:$R$145,8,FALSE))</f>
        <v/>
      </c>
      <c r="O42" s="6205"/>
      <c r="P42" s="6205"/>
      <c r="Q42" s="5767"/>
      <c r="R42" s="1450"/>
      <c r="S42" s="2271">
        <v>80</v>
      </c>
      <c r="T42" s="6203" t="s">
        <v>2008</v>
      </c>
      <c r="U42" s="6133"/>
      <c r="V42" s="6204" t="str">
        <f>IF(S38=0,"",VLOOKUP(S38,'Tablas psiquica'!$D$7:$R$145,8,FALSE))</f>
        <v/>
      </c>
      <c r="W42" s="6205"/>
      <c r="X42" s="6205"/>
      <c r="Y42" s="5767"/>
      <c r="Z42" s="530"/>
      <c r="AA42" s="524"/>
      <c r="AB42" s="524"/>
      <c r="AC42" s="1450"/>
      <c r="AD42" s="2271">
        <v>80</v>
      </c>
      <c r="AE42" s="6203" t="s">
        <v>2008</v>
      </c>
      <c r="AF42" s="6133"/>
      <c r="AG42" s="6204" t="str">
        <f>IF(AD38=0,"",VLOOKUP(AD38,'Tablas psiquica'!$D$7:$R$145,8,FALSE))</f>
        <v/>
      </c>
      <c r="AH42" s="6205"/>
      <c r="AI42" s="6205"/>
      <c r="AJ42" s="5767"/>
      <c r="AK42" s="865"/>
      <c r="AL42" s="2271">
        <v>80</v>
      </c>
      <c r="AM42" s="6203" t="s">
        <v>2008</v>
      </c>
      <c r="AN42" s="6133"/>
      <c r="AO42" s="6204" t="str">
        <f>IF(AL38=0,"",VLOOKUP(AL38,'Tablas psiquica'!$D$7:$R$145,8,FALSE))</f>
        <v/>
      </c>
      <c r="AP42" s="6205"/>
      <c r="AQ42" s="6205"/>
      <c r="AR42" s="5767"/>
      <c r="AS42" s="1450"/>
      <c r="AT42" s="2271">
        <v>80</v>
      </c>
      <c r="AU42" s="6203" t="s">
        <v>2008</v>
      </c>
      <c r="AV42" s="6133"/>
      <c r="AW42" s="6204" t="str">
        <f>IF(AT38=0,"",VLOOKUP(AT38,'Tablas psiquica'!$D$7:$R$145,8,FALSE))</f>
        <v/>
      </c>
      <c r="AX42" s="6205"/>
      <c r="AY42" s="6205"/>
      <c r="AZ42" s="5767"/>
      <c r="BA42" s="530"/>
      <c r="BB42" s="524"/>
      <c r="BC42" s="524"/>
      <c r="BD42" s="1450"/>
      <c r="BE42" s="2271">
        <v>80</v>
      </c>
      <c r="BF42" s="6203" t="s">
        <v>2008</v>
      </c>
      <c r="BG42" s="6133"/>
      <c r="BH42" s="6204" t="str">
        <f>IF(BE38=0,"",VLOOKUP(BE38,'Tablas psiquica'!$D$7:$R$145,8,FALSE))</f>
        <v/>
      </c>
      <c r="BI42" s="6205"/>
      <c r="BJ42" s="6205"/>
      <c r="BK42" s="5767"/>
      <c r="BL42" s="865"/>
      <c r="BM42" s="2271">
        <v>80</v>
      </c>
      <c r="BN42" s="6203" t="s">
        <v>2008</v>
      </c>
      <c r="BO42" s="6133"/>
      <c r="BP42" s="6204" t="str">
        <f>IF(BM38=0,"",VLOOKUP(BM38,'Tablas psiquica'!$D$7:$R$145,8,FALSE))</f>
        <v/>
      </c>
      <c r="BQ42" s="6205"/>
      <c r="BR42" s="6205"/>
      <c r="BS42" s="5767"/>
      <c r="BT42" s="1450"/>
      <c r="BU42" s="2271">
        <v>80</v>
      </c>
      <c r="BV42" s="6203" t="s">
        <v>2008</v>
      </c>
      <c r="BW42" s="6133"/>
      <c r="BX42" s="6204" t="str">
        <f>IF(BU38=0,"",VLOOKUP(BU38,'Tablas psiquica'!$D$7:$R$145,8,FALSE))</f>
        <v/>
      </c>
      <c r="BY42" s="6205"/>
      <c r="BZ42" s="6205"/>
      <c r="CA42" s="5767"/>
      <c r="CB42" s="530"/>
      <c r="CC42" s="524"/>
      <c r="CD42" s="524"/>
      <c r="CE42" s="1450"/>
      <c r="CF42" s="2271">
        <v>80</v>
      </c>
      <c r="CG42" s="6203" t="s">
        <v>2008</v>
      </c>
      <c r="CH42" s="6133"/>
      <c r="CI42" s="6204" t="str">
        <f>IF(CF38=0,"",VLOOKUP(CF38,'Tablas psiquica'!$D$7:$R$145,8,FALSE))</f>
        <v/>
      </c>
      <c r="CJ42" s="6205"/>
      <c r="CK42" s="6205"/>
      <c r="CL42" s="5767"/>
      <c r="CM42" s="865"/>
      <c r="CN42" s="2271">
        <v>80</v>
      </c>
      <c r="CO42" s="6203" t="s">
        <v>2008</v>
      </c>
      <c r="CP42" s="6133"/>
      <c r="CQ42" s="6204" t="str">
        <f>IF(CN38=0,"",VLOOKUP(CN38,'Tablas psiquica'!$D$7:$R$145,8,FALSE))</f>
        <v/>
      </c>
      <c r="CR42" s="6205"/>
      <c r="CS42" s="6205"/>
      <c r="CT42" s="5767"/>
      <c r="CU42" s="1450"/>
      <c r="CV42" s="2271">
        <v>80</v>
      </c>
      <c r="CW42" s="6203" t="s">
        <v>2008</v>
      </c>
      <c r="CX42" s="6133"/>
      <c r="CY42" s="6204" t="str">
        <f>IF(CV38=0,"",VLOOKUP(CV38,'Tablas psiquica'!$D$7:$R$145,8,FALSE))</f>
        <v/>
      </c>
      <c r="CZ42" s="6205"/>
      <c r="DA42" s="6205"/>
      <c r="DB42" s="5767"/>
      <c r="DC42" s="530"/>
      <c r="DD42" s="524"/>
    </row>
    <row r="43" spans="1:108" ht="12" customHeight="1" x14ac:dyDescent="0.2">
      <c r="A43" s="524"/>
      <c r="B43" s="1450"/>
      <c r="C43" s="2270">
        <v>120</v>
      </c>
      <c r="D43" s="6199" t="s">
        <v>2012</v>
      </c>
      <c r="E43" s="6138"/>
      <c r="F43" s="6200" t="str">
        <f>IF(C38=0,"",VLOOKUP(C38,'Tablas psiquica'!$D$7:$R$145,9,FALSE))</f>
        <v/>
      </c>
      <c r="G43" s="6201"/>
      <c r="H43" s="6201"/>
      <c r="I43" s="6202"/>
      <c r="J43" s="865"/>
      <c r="K43" s="2270">
        <v>120</v>
      </c>
      <c r="L43" s="6199" t="s">
        <v>2012</v>
      </c>
      <c r="M43" s="6138"/>
      <c r="N43" s="6200" t="str">
        <f>IF(K38=0,"",VLOOKUP(K38,'Tablas psiquica'!$D$7:$R$145,9,FALSE))</f>
        <v/>
      </c>
      <c r="O43" s="6201"/>
      <c r="P43" s="6201"/>
      <c r="Q43" s="6202"/>
      <c r="R43" s="1450"/>
      <c r="S43" s="2270">
        <v>120</v>
      </c>
      <c r="T43" s="6199" t="s">
        <v>2012</v>
      </c>
      <c r="U43" s="6138"/>
      <c r="V43" s="6200" t="str">
        <f>IF(S38=0,"",VLOOKUP(S38,'Tablas psiquica'!$D$7:$R$145,9,FALSE))</f>
        <v/>
      </c>
      <c r="W43" s="6201"/>
      <c r="X43" s="6201"/>
      <c r="Y43" s="6202"/>
      <c r="Z43" s="530"/>
      <c r="AA43" s="524"/>
      <c r="AB43" s="524"/>
      <c r="AC43" s="1450"/>
      <c r="AD43" s="2270">
        <v>120</v>
      </c>
      <c r="AE43" s="6199" t="s">
        <v>2012</v>
      </c>
      <c r="AF43" s="6138"/>
      <c r="AG43" s="6200" t="str">
        <f>IF(AD38=0,"",VLOOKUP(AD38,'Tablas psiquica'!$D$7:$R$145,9,FALSE))</f>
        <v/>
      </c>
      <c r="AH43" s="6201"/>
      <c r="AI43" s="6201"/>
      <c r="AJ43" s="6202"/>
      <c r="AK43" s="865"/>
      <c r="AL43" s="2270">
        <v>120</v>
      </c>
      <c r="AM43" s="6199" t="s">
        <v>2012</v>
      </c>
      <c r="AN43" s="6138"/>
      <c r="AO43" s="6200" t="str">
        <f>IF(AL38=0,"",VLOOKUP(AL38,'Tablas psiquica'!$D$7:$R$145,9,FALSE))</f>
        <v/>
      </c>
      <c r="AP43" s="6201"/>
      <c r="AQ43" s="6201"/>
      <c r="AR43" s="6202"/>
      <c r="AS43" s="1450"/>
      <c r="AT43" s="2270">
        <v>120</v>
      </c>
      <c r="AU43" s="6199" t="s">
        <v>2012</v>
      </c>
      <c r="AV43" s="6138"/>
      <c r="AW43" s="6200" t="str">
        <f>IF(AT38=0,"",VLOOKUP(AT38,'Tablas psiquica'!$D$7:$R$145,9,FALSE))</f>
        <v/>
      </c>
      <c r="AX43" s="6201"/>
      <c r="AY43" s="6201"/>
      <c r="AZ43" s="6202"/>
      <c r="BA43" s="530"/>
      <c r="BB43" s="524"/>
      <c r="BC43" s="524"/>
      <c r="BD43" s="1450"/>
      <c r="BE43" s="2270">
        <v>120</v>
      </c>
      <c r="BF43" s="6199" t="s">
        <v>2012</v>
      </c>
      <c r="BG43" s="6138"/>
      <c r="BH43" s="6200" t="str">
        <f>IF(BE38=0,"",VLOOKUP(BE38,'Tablas psiquica'!$D$7:$R$145,9,FALSE))</f>
        <v/>
      </c>
      <c r="BI43" s="6201"/>
      <c r="BJ43" s="6201"/>
      <c r="BK43" s="6202"/>
      <c r="BL43" s="865"/>
      <c r="BM43" s="2270">
        <v>120</v>
      </c>
      <c r="BN43" s="6199" t="s">
        <v>2012</v>
      </c>
      <c r="BO43" s="6138"/>
      <c r="BP43" s="6200" t="str">
        <f>IF(BM38=0,"",VLOOKUP(BM38,'Tablas psiquica'!$D$7:$R$145,9,FALSE))</f>
        <v/>
      </c>
      <c r="BQ43" s="6201"/>
      <c r="BR43" s="6201"/>
      <c r="BS43" s="6202"/>
      <c r="BT43" s="1450"/>
      <c r="BU43" s="2270">
        <v>120</v>
      </c>
      <c r="BV43" s="6199" t="s">
        <v>2012</v>
      </c>
      <c r="BW43" s="6138"/>
      <c r="BX43" s="6200" t="str">
        <f>IF(BU38=0,"",VLOOKUP(BU38,'Tablas psiquica'!$D$7:$R$145,9,FALSE))</f>
        <v/>
      </c>
      <c r="BY43" s="6201"/>
      <c r="BZ43" s="6201"/>
      <c r="CA43" s="6202"/>
      <c r="CB43" s="530"/>
      <c r="CC43" s="524"/>
      <c r="CD43" s="524"/>
      <c r="CE43" s="1450"/>
      <c r="CF43" s="2270">
        <v>120</v>
      </c>
      <c r="CG43" s="6199" t="s">
        <v>2012</v>
      </c>
      <c r="CH43" s="6138"/>
      <c r="CI43" s="6200" t="str">
        <f>IF(CF38=0,"",VLOOKUP(CF38,'Tablas psiquica'!$D$7:$R$145,9,FALSE))</f>
        <v/>
      </c>
      <c r="CJ43" s="6201"/>
      <c r="CK43" s="6201"/>
      <c r="CL43" s="6202"/>
      <c r="CM43" s="865"/>
      <c r="CN43" s="2270">
        <v>120</v>
      </c>
      <c r="CO43" s="6199" t="s">
        <v>2012</v>
      </c>
      <c r="CP43" s="6138"/>
      <c r="CQ43" s="6200" t="str">
        <f>IF(CN38=0,"",VLOOKUP(CN38,'Tablas psiquica'!$D$7:$R$145,9,FALSE))</f>
        <v/>
      </c>
      <c r="CR43" s="6201"/>
      <c r="CS43" s="6201"/>
      <c r="CT43" s="6202"/>
      <c r="CU43" s="1450"/>
      <c r="CV43" s="2270">
        <v>120</v>
      </c>
      <c r="CW43" s="6199" t="s">
        <v>2012</v>
      </c>
      <c r="CX43" s="6138"/>
      <c r="CY43" s="6200" t="str">
        <f>IF(CV38=0,"",VLOOKUP(CV38,'Tablas psiquica'!$D$7:$R$145,9,FALSE))</f>
        <v/>
      </c>
      <c r="CZ43" s="6201"/>
      <c r="DA43" s="6201"/>
      <c r="DB43" s="6202"/>
      <c r="DC43" s="530"/>
      <c r="DD43" s="524"/>
    </row>
    <row r="44" spans="1:108" ht="12" customHeight="1" x14ac:dyDescent="0.2">
      <c r="A44" s="524"/>
      <c r="B44" s="1450"/>
      <c r="C44" s="2271">
        <v>140</v>
      </c>
      <c r="D44" s="6203" t="s">
        <v>6894</v>
      </c>
      <c r="E44" s="6133"/>
      <c r="F44" s="6204" t="str">
        <f>IF(C38=0,"",VLOOKUP(C38,'Tablas psiquica'!$D$7:$R$145,10,FALSE))</f>
        <v/>
      </c>
      <c r="G44" s="6205"/>
      <c r="H44" s="6205"/>
      <c r="I44" s="5767"/>
      <c r="J44" s="865"/>
      <c r="K44" s="2271">
        <v>140</v>
      </c>
      <c r="L44" s="6203" t="s">
        <v>6894</v>
      </c>
      <c r="M44" s="6133"/>
      <c r="N44" s="6204" t="str">
        <f>IF(K38=0,"",VLOOKUP(K38,'Tablas psiquica'!$D$7:$R$145,10,FALSE))</f>
        <v/>
      </c>
      <c r="O44" s="6205"/>
      <c r="P44" s="6205"/>
      <c r="Q44" s="5767"/>
      <c r="R44" s="1450"/>
      <c r="S44" s="2271">
        <v>140</v>
      </c>
      <c r="T44" s="6203" t="s">
        <v>6894</v>
      </c>
      <c r="U44" s="6133"/>
      <c r="V44" s="6204" t="str">
        <f>IF(S38=0,"",VLOOKUP(S38,'Tablas psiquica'!$D$7:$R$145,10,FALSE))</f>
        <v/>
      </c>
      <c r="W44" s="6205"/>
      <c r="X44" s="6205"/>
      <c r="Y44" s="5767"/>
      <c r="Z44" s="530"/>
      <c r="AA44" s="524"/>
      <c r="AB44" s="524"/>
      <c r="AC44" s="1450"/>
      <c r="AD44" s="2271">
        <v>140</v>
      </c>
      <c r="AE44" s="6203" t="s">
        <v>6894</v>
      </c>
      <c r="AF44" s="6133"/>
      <c r="AG44" s="6204" t="str">
        <f>IF(AD38=0,"",VLOOKUP(AD38,'Tablas psiquica'!$D$7:$R$145,10,FALSE))</f>
        <v/>
      </c>
      <c r="AH44" s="6205"/>
      <c r="AI44" s="6205"/>
      <c r="AJ44" s="5767"/>
      <c r="AK44" s="865"/>
      <c r="AL44" s="2271">
        <v>140</v>
      </c>
      <c r="AM44" s="6203" t="s">
        <v>6894</v>
      </c>
      <c r="AN44" s="6133"/>
      <c r="AO44" s="6204" t="str">
        <f>IF(AL38=0,"",VLOOKUP(AL38,'Tablas psiquica'!$D$7:$R$145,10,FALSE))</f>
        <v/>
      </c>
      <c r="AP44" s="6205"/>
      <c r="AQ44" s="6205"/>
      <c r="AR44" s="5767"/>
      <c r="AS44" s="1450"/>
      <c r="AT44" s="2271">
        <v>140</v>
      </c>
      <c r="AU44" s="6203" t="s">
        <v>6894</v>
      </c>
      <c r="AV44" s="6133"/>
      <c r="AW44" s="6204" t="str">
        <f>IF(AT38=0,"",VLOOKUP(AT38,'Tablas psiquica'!$D$7:$R$145,10,FALSE))</f>
        <v/>
      </c>
      <c r="AX44" s="6205"/>
      <c r="AY44" s="6205"/>
      <c r="AZ44" s="5767"/>
      <c r="BA44" s="530"/>
      <c r="BB44" s="524"/>
      <c r="BC44" s="524"/>
      <c r="BD44" s="1450"/>
      <c r="BE44" s="2271">
        <v>140</v>
      </c>
      <c r="BF44" s="6203" t="s">
        <v>6894</v>
      </c>
      <c r="BG44" s="6133"/>
      <c r="BH44" s="6204" t="str">
        <f>IF(BE38=0,"",VLOOKUP(BE38,'Tablas psiquica'!$D$7:$R$145,10,FALSE))</f>
        <v/>
      </c>
      <c r="BI44" s="6205"/>
      <c r="BJ44" s="6205"/>
      <c r="BK44" s="5767"/>
      <c r="BL44" s="865"/>
      <c r="BM44" s="2271">
        <v>140</v>
      </c>
      <c r="BN44" s="6203" t="s">
        <v>6894</v>
      </c>
      <c r="BO44" s="6133"/>
      <c r="BP44" s="6204" t="str">
        <f>IF(BM38=0,"",VLOOKUP(BM38,'Tablas psiquica'!$D$7:$R$145,10,FALSE))</f>
        <v/>
      </c>
      <c r="BQ44" s="6205"/>
      <c r="BR44" s="6205"/>
      <c r="BS44" s="5767"/>
      <c r="BT44" s="1450"/>
      <c r="BU44" s="2271">
        <v>140</v>
      </c>
      <c r="BV44" s="6203" t="s">
        <v>6894</v>
      </c>
      <c r="BW44" s="6133"/>
      <c r="BX44" s="6204" t="str">
        <f>IF(BU38=0,"",VLOOKUP(BU38,'Tablas psiquica'!$D$7:$R$145,10,FALSE))</f>
        <v/>
      </c>
      <c r="BY44" s="6205"/>
      <c r="BZ44" s="6205"/>
      <c r="CA44" s="5767"/>
      <c r="CB44" s="530"/>
      <c r="CC44" s="524"/>
      <c r="CD44" s="524"/>
      <c r="CE44" s="1450"/>
      <c r="CF44" s="2271">
        <v>140</v>
      </c>
      <c r="CG44" s="6203" t="s">
        <v>6894</v>
      </c>
      <c r="CH44" s="6133"/>
      <c r="CI44" s="6204" t="str">
        <f>IF(CF38=0,"",VLOOKUP(CF38,'Tablas psiquica'!$D$7:$R$145,10,FALSE))</f>
        <v/>
      </c>
      <c r="CJ44" s="6205"/>
      <c r="CK44" s="6205"/>
      <c r="CL44" s="5767"/>
      <c r="CM44" s="865"/>
      <c r="CN44" s="2271">
        <v>140</v>
      </c>
      <c r="CO44" s="6203" t="s">
        <v>6894</v>
      </c>
      <c r="CP44" s="6133"/>
      <c r="CQ44" s="6204" t="str">
        <f>IF(CN38=0,"",VLOOKUP(CN38,'Tablas psiquica'!$D$7:$R$145,10,FALSE))</f>
        <v/>
      </c>
      <c r="CR44" s="6205"/>
      <c r="CS44" s="6205"/>
      <c r="CT44" s="5767"/>
      <c r="CU44" s="1450"/>
      <c r="CV44" s="2271">
        <v>140</v>
      </c>
      <c r="CW44" s="6203" t="s">
        <v>6894</v>
      </c>
      <c r="CX44" s="6133"/>
      <c r="CY44" s="6204" t="str">
        <f>IF(CV38=0,"",VLOOKUP(CV38,'Tablas psiquica'!$D$7:$R$145,10,FALSE))</f>
        <v/>
      </c>
      <c r="CZ44" s="6205"/>
      <c r="DA44" s="6205"/>
      <c r="DB44" s="5767"/>
      <c r="DC44" s="530"/>
      <c r="DD44" s="524"/>
    </row>
    <row r="45" spans="1:108" ht="12" customHeight="1" x14ac:dyDescent="0.2">
      <c r="A45" s="524"/>
      <c r="B45" s="1450"/>
      <c r="C45" s="2270">
        <v>180</v>
      </c>
      <c r="D45" s="6199" t="s">
        <v>2017</v>
      </c>
      <c r="E45" s="6138"/>
      <c r="F45" s="6200" t="str">
        <f>IF(C38=0,"",VLOOKUP(C38,'Tablas psiquica'!$D$7:$R$145,11,FALSE))</f>
        <v/>
      </c>
      <c r="G45" s="6201"/>
      <c r="H45" s="6201"/>
      <c r="I45" s="6202"/>
      <c r="J45" s="865"/>
      <c r="K45" s="2270">
        <v>180</v>
      </c>
      <c r="L45" s="6199" t="s">
        <v>2017</v>
      </c>
      <c r="M45" s="6138"/>
      <c r="N45" s="6200" t="str">
        <f>IF(K38=0,"",VLOOKUP(K38,'Tablas psiquica'!$D$7:$R$145,11,FALSE))</f>
        <v/>
      </c>
      <c r="O45" s="6201"/>
      <c r="P45" s="6201"/>
      <c r="Q45" s="6202"/>
      <c r="R45" s="1450"/>
      <c r="S45" s="2270">
        <v>180</v>
      </c>
      <c r="T45" s="6199" t="s">
        <v>2017</v>
      </c>
      <c r="U45" s="6138"/>
      <c r="V45" s="6200" t="str">
        <f>IF(S38=0,"",VLOOKUP(S38,'Tablas psiquica'!$D$7:$R$145,11,FALSE))</f>
        <v/>
      </c>
      <c r="W45" s="6201"/>
      <c r="X45" s="6201"/>
      <c r="Y45" s="6202"/>
      <c r="Z45" s="530"/>
      <c r="AA45" s="524"/>
      <c r="AB45" s="524"/>
      <c r="AC45" s="1450"/>
      <c r="AD45" s="2270">
        <v>180</v>
      </c>
      <c r="AE45" s="6199" t="s">
        <v>2017</v>
      </c>
      <c r="AF45" s="6138"/>
      <c r="AG45" s="6200" t="str">
        <f>IF(AD38=0,"",VLOOKUP(AD38,'Tablas psiquica'!$D$7:$R$145,11,FALSE))</f>
        <v/>
      </c>
      <c r="AH45" s="6201"/>
      <c r="AI45" s="6201"/>
      <c r="AJ45" s="6202"/>
      <c r="AK45" s="865"/>
      <c r="AL45" s="2270">
        <v>180</v>
      </c>
      <c r="AM45" s="6199" t="s">
        <v>2017</v>
      </c>
      <c r="AN45" s="6138"/>
      <c r="AO45" s="6200" t="str">
        <f>IF(AL38=0,"",VLOOKUP(AL38,'Tablas psiquica'!$D$7:$R$145,11,FALSE))</f>
        <v/>
      </c>
      <c r="AP45" s="6201"/>
      <c r="AQ45" s="6201"/>
      <c r="AR45" s="6202"/>
      <c r="AS45" s="1450"/>
      <c r="AT45" s="2270">
        <v>180</v>
      </c>
      <c r="AU45" s="6199" t="s">
        <v>2017</v>
      </c>
      <c r="AV45" s="6138"/>
      <c r="AW45" s="6200" t="str">
        <f>IF(AT38=0,"",VLOOKUP(AT38,'Tablas psiquica'!$D$7:$R$145,11,FALSE))</f>
        <v/>
      </c>
      <c r="AX45" s="6201"/>
      <c r="AY45" s="6201"/>
      <c r="AZ45" s="6202"/>
      <c r="BA45" s="530"/>
      <c r="BB45" s="524"/>
      <c r="BC45" s="524"/>
      <c r="BD45" s="1450"/>
      <c r="BE45" s="2270">
        <v>180</v>
      </c>
      <c r="BF45" s="6199" t="s">
        <v>2017</v>
      </c>
      <c r="BG45" s="6138"/>
      <c r="BH45" s="6200" t="str">
        <f>IF(BE38=0,"",VLOOKUP(BE38,'Tablas psiquica'!$D$7:$R$145,11,FALSE))</f>
        <v/>
      </c>
      <c r="BI45" s="6201"/>
      <c r="BJ45" s="6201"/>
      <c r="BK45" s="6202"/>
      <c r="BL45" s="865"/>
      <c r="BM45" s="2270">
        <v>180</v>
      </c>
      <c r="BN45" s="6199" t="s">
        <v>2017</v>
      </c>
      <c r="BO45" s="6138"/>
      <c r="BP45" s="6200" t="str">
        <f>IF(BM38=0,"",VLOOKUP(BM38,'Tablas psiquica'!$D$7:$R$145,11,FALSE))</f>
        <v/>
      </c>
      <c r="BQ45" s="6201"/>
      <c r="BR45" s="6201"/>
      <c r="BS45" s="6202"/>
      <c r="BT45" s="1450"/>
      <c r="BU45" s="2270">
        <v>180</v>
      </c>
      <c r="BV45" s="6199" t="s">
        <v>2017</v>
      </c>
      <c r="BW45" s="6138"/>
      <c r="BX45" s="6200" t="str">
        <f>IF(BU38=0,"",VLOOKUP(BU38,'Tablas psiquica'!$D$7:$R$145,11,FALSE))</f>
        <v/>
      </c>
      <c r="BY45" s="6201"/>
      <c r="BZ45" s="6201"/>
      <c r="CA45" s="6202"/>
      <c r="CB45" s="530"/>
      <c r="CC45" s="524"/>
      <c r="CD45" s="524"/>
      <c r="CE45" s="1450"/>
      <c r="CF45" s="2270">
        <v>180</v>
      </c>
      <c r="CG45" s="6199" t="s">
        <v>2017</v>
      </c>
      <c r="CH45" s="6138"/>
      <c r="CI45" s="6200" t="str">
        <f>IF(CF38=0,"",VLOOKUP(CF38,'Tablas psiquica'!$D$7:$R$145,11,FALSE))</f>
        <v/>
      </c>
      <c r="CJ45" s="6201"/>
      <c r="CK45" s="6201"/>
      <c r="CL45" s="6202"/>
      <c r="CM45" s="865"/>
      <c r="CN45" s="2270">
        <v>180</v>
      </c>
      <c r="CO45" s="6199" t="s">
        <v>2017</v>
      </c>
      <c r="CP45" s="6138"/>
      <c r="CQ45" s="6200" t="str">
        <f>IF(CN38=0,"",VLOOKUP(CN38,'Tablas psiquica'!$D$7:$R$145,11,FALSE))</f>
        <v/>
      </c>
      <c r="CR45" s="6201"/>
      <c r="CS45" s="6201"/>
      <c r="CT45" s="6202"/>
      <c r="CU45" s="1450"/>
      <c r="CV45" s="2270">
        <v>180</v>
      </c>
      <c r="CW45" s="6199" t="s">
        <v>2017</v>
      </c>
      <c r="CX45" s="6138"/>
      <c r="CY45" s="6200" t="str">
        <f>IF(CV38=0,"",VLOOKUP(CV38,'Tablas psiquica'!$D$7:$R$145,11,FALSE))</f>
        <v/>
      </c>
      <c r="CZ45" s="6201"/>
      <c r="DA45" s="6201"/>
      <c r="DB45" s="6202"/>
      <c r="DC45" s="530"/>
      <c r="DD45" s="524"/>
    </row>
    <row r="46" spans="1:108" ht="12" customHeight="1" x14ac:dyDescent="0.2">
      <c r="A46" s="524"/>
      <c r="B46" s="1450"/>
      <c r="C46" s="2271">
        <v>240</v>
      </c>
      <c r="D46" s="6203" t="s">
        <v>6895</v>
      </c>
      <c r="E46" s="6133"/>
      <c r="F46" s="6204" t="str">
        <f>IF(C38=0,"",VLOOKUP(C38,'Tablas psiquica'!$D$7:$R$145,12,FALSE))</f>
        <v/>
      </c>
      <c r="G46" s="6205"/>
      <c r="H46" s="6205"/>
      <c r="I46" s="5767"/>
      <c r="J46" s="865"/>
      <c r="K46" s="2271">
        <v>240</v>
      </c>
      <c r="L46" s="6203" t="s">
        <v>6895</v>
      </c>
      <c r="M46" s="6133"/>
      <c r="N46" s="6204" t="str">
        <f>IF(K38=0,"",VLOOKUP(K38,'Tablas psiquica'!$D$7:$R$145,12,FALSE))</f>
        <v/>
      </c>
      <c r="O46" s="6205"/>
      <c r="P46" s="6205"/>
      <c r="Q46" s="5767"/>
      <c r="R46" s="1450"/>
      <c r="S46" s="2271">
        <v>240</v>
      </c>
      <c r="T46" s="6203" t="s">
        <v>6895</v>
      </c>
      <c r="U46" s="6133"/>
      <c r="V46" s="6204" t="str">
        <f>IF(S38=0,"",VLOOKUP(S38,'Tablas psiquica'!$D$7:$R$145,12,FALSE))</f>
        <v/>
      </c>
      <c r="W46" s="6205"/>
      <c r="X46" s="6205"/>
      <c r="Y46" s="5767"/>
      <c r="Z46" s="530"/>
      <c r="AA46" s="524"/>
      <c r="AB46" s="524"/>
      <c r="AC46" s="1450"/>
      <c r="AD46" s="2271">
        <v>240</v>
      </c>
      <c r="AE46" s="6203" t="s">
        <v>6895</v>
      </c>
      <c r="AF46" s="6133"/>
      <c r="AG46" s="6204" t="str">
        <f>IF(AD38=0,"",VLOOKUP(AD38,'Tablas psiquica'!$D$7:$R$145,12,FALSE))</f>
        <v/>
      </c>
      <c r="AH46" s="6205"/>
      <c r="AI46" s="6205"/>
      <c r="AJ46" s="5767"/>
      <c r="AK46" s="865"/>
      <c r="AL46" s="2271">
        <v>240</v>
      </c>
      <c r="AM46" s="6203" t="s">
        <v>6895</v>
      </c>
      <c r="AN46" s="6133"/>
      <c r="AO46" s="6204" t="str">
        <f>IF(AL38=0,"",VLOOKUP(AL38,'Tablas psiquica'!$D$7:$R$145,12,FALSE))</f>
        <v/>
      </c>
      <c r="AP46" s="6205"/>
      <c r="AQ46" s="6205"/>
      <c r="AR46" s="5767"/>
      <c r="AS46" s="1450"/>
      <c r="AT46" s="2271">
        <v>240</v>
      </c>
      <c r="AU46" s="6203" t="s">
        <v>6895</v>
      </c>
      <c r="AV46" s="6133"/>
      <c r="AW46" s="6204" t="str">
        <f>IF(AT38=0,"",VLOOKUP(AT38,'Tablas psiquica'!$D$7:$R$145,12,FALSE))</f>
        <v/>
      </c>
      <c r="AX46" s="6205"/>
      <c r="AY46" s="6205"/>
      <c r="AZ46" s="5767"/>
      <c r="BA46" s="530"/>
      <c r="BB46" s="524"/>
      <c r="BC46" s="524"/>
      <c r="BD46" s="1450"/>
      <c r="BE46" s="2271">
        <v>240</v>
      </c>
      <c r="BF46" s="6203" t="s">
        <v>6895</v>
      </c>
      <c r="BG46" s="6133"/>
      <c r="BH46" s="6204" t="str">
        <f>IF(BE38=0,"",VLOOKUP(BE38,'Tablas psiquica'!$D$7:$R$145,12,FALSE))</f>
        <v/>
      </c>
      <c r="BI46" s="6205"/>
      <c r="BJ46" s="6205"/>
      <c r="BK46" s="5767"/>
      <c r="BL46" s="865"/>
      <c r="BM46" s="2271">
        <v>240</v>
      </c>
      <c r="BN46" s="6203" t="s">
        <v>6895</v>
      </c>
      <c r="BO46" s="6133"/>
      <c r="BP46" s="6204" t="str">
        <f>IF(BM38=0,"",VLOOKUP(BM38,'Tablas psiquica'!$D$7:$R$145,12,FALSE))</f>
        <v/>
      </c>
      <c r="BQ46" s="6205"/>
      <c r="BR46" s="6205"/>
      <c r="BS46" s="5767"/>
      <c r="BT46" s="1450"/>
      <c r="BU46" s="2271">
        <v>240</v>
      </c>
      <c r="BV46" s="6203" t="s">
        <v>6895</v>
      </c>
      <c r="BW46" s="6133"/>
      <c r="BX46" s="6204" t="str">
        <f>IF(BU38=0,"",VLOOKUP(BU38,'Tablas psiquica'!$D$7:$R$145,12,FALSE))</f>
        <v/>
      </c>
      <c r="BY46" s="6205"/>
      <c r="BZ46" s="6205"/>
      <c r="CA46" s="5767"/>
      <c r="CB46" s="530"/>
      <c r="CC46" s="524"/>
      <c r="CD46" s="524"/>
      <c r="CE46" s="1450"/>
      <c r="CF46" s="2271">
        <v>240</v>
      </c>
      <c r="CG46" s="6203" t="s">
        <v>6895</v>
      </c>
      <c r="CH46" s="6133"/>
      <c r="CI46" s="6204" t="str">
        <f>IF(CF38=0,"",VLOOKUP(CF38,'Tablas psiquica'!$D$7:$R$145,12,FALSE))</f>
        <v/>
      </c>
      <c r="CJ46" s="6205"/>
      <c r="CK46" s="6205"/>
      <c r="CL46" s="5767"/>
      <c r="CM46" s="865"/>
      <c r="CN46" s="2271">
        <v>240</v>
      </c>
      <c r="CO46" s="6203" t="s">
        <v>6895</v>
      </c>
      <c r="CP46" s="6133"/>
      <c r="CQ46" s="6204" t="str">
        <f>IF(CN38=0,"",VLOOKUP(CN38,'Tablas psiquica'!$D$7:$R$145,12,FALSE))</f>
        <v/>
      </c>
      <c r="CR46" s="6205"/>
      <c r="CS46" s="6205"/>
      <c r="CT46" s="5767"/>
      <c r="CU46" s="1450"/>
      <c r="CV46" s="2271">
        <v>240</v>
      </c>
      <c r="CW46" s="6203" t="s">
        <v>6895</v>
      </c>
      <c r="CX46" s="6133"/>
      <c r="CY46" s="6204" t="str">
        <f>IF(CV38=0,"",VLOOKUP(CV38,'Tablas psiquica'!$D$7:$R$145,12,FALSE))</f>
        <v/>
      </c>
      <c r="CZ46" s="6205"/>
      <c r="DA46" s="6205"/>
      <c r="DB46" s="5767"/>
      <c r="DC46" s="530"/>
      <c r="DD46" s="524"/>
    </row>
    <row r="47" spans="1:108" ht="12" customHeight="1" x14ac:dyDescent="0.2">
      <c r="A47" s="524"/>
      <c r="B47" s="1450"/>
      <c r="C47" s="2270">
        <v>280</v>
      </c>
      <c r="D47" s="6199" t="s">
        <v>2022</v>
      </c>
      <c r="E47" s="6138"/>
      <c r="F47" s="6200" t="str">
        <f>IF(C38=0,"",VLOOKUP(C38,'Tablas psiquica'!$D$7:$R$145,13,FALSE))</f>
        <v/>
      </c>
      <c r="G47" s="6201"/>
      <c r="H47" s="6201"/>
      <c r="I47" s="6202"/>
      <c r="J47" s="865"/>
      <c r="K47" s="2270">
        <v>280</v>
      </c>
      <c r="L47" s="6199" t="s">
        <v>2022</v>
      </c>
      <c r="M47" s="6138"/>
      <c r="N47" s="6200" t="str">
        <f>IF(K38=0,"",VLOOKUP(K38,'Tablas psiquica'!$D$7:$R$145,13,FALSE))</f>
        <v/>
      </c>
      <c r="O47" s="6201"/>
      <c r="P47" s="6201"/>
      <c r="Q47" s="6202"/>
      <c r="R47" s="1450"/>
      <c r="S47" s="2270">
        <v>280</v>
      </c>
      <c r="T47" s="6199" t="s">
        <v>2022</v>
      </c>
      <c r="U47" s="6138"/>
      <c r="V47" s="6200" t="str">
        <f>IF(S38=0,"",VLOOKUP(S38,'Tablas psiquica'!$D$7:$R$145,13,FALSE))</f>
        <v/>
      </c>
      <c r="W47" s="6201"/>
      <c r="X47" s="6201"/>
      <c r="Y47" s="6202"/>
      <c r="Z47" s="530"/>
      <c r="AA47" s="524"/>
      <c r="AB47" s="524"/>
      <c r="AC47" s="1450"/>
      <c r="AD47" s="2270">
        <v>280</v>
      </c>
      <c r="AE47" s="6199" t="s">
        <v>2022</v>
      </c>
      <c r="AF47" s="6138"/>
      <c r="AG47" s="6200" t="str">
        <f>IF(AD38=0,"",VLOOKUP(AD38,'Tablas psiquica'!$D$7:$R$145,13,FALSE))</f>
        <v/>
      </c>
      <c r="AH47" s="6201"/>
      <c r="AI47" s="6201"/>
      <c r="AJ47" s="6202"/>
      <c r="AK47" s="865"/>
      <c r="AL47" s="2270">
        <v>280</v>
      </c>
      <c r="AM47" s="6199" t="s">
        <v>2022</v>
      </c>
      <c r="AN47" s="6138"/>
      <c r="AO47" s="6200" t="str">
        <f>IF(AL38=0,"",VLOOKUP(AL38,'Tablas psiquica'!$D$7:$R$145,13,FALSE))</f>
        <v/>
      </c>
      <c r="AP47" s="6201"/>
      <c r="AQ47" s="6201"/>
      <c r="AR47" s="6202"/>
      <c r="AS47" s="1450"/>
      <c r="AT47" s="2270">
        <v>280</v>
      </c>
      <c r="AU47" s="6199" t="s">
        <v>2022</v>
      </c>
      <c r="AV47" s="6138"/>
      <c r="AW47" s="6200" t="str">
        <f>IF(AT38=0,"",VLOOKUP(AT38,'Tablas psiquica'!$D$7:$R$145,13,FALSE))</f>
        <v/>
      </c>
      <c r="AX47" s="6201"/>
      <c r="AY47" s="6201"/>
      <c r="AZ47" s="6202"/>
      <c r="BA47" s="530"/>
      <c r="BB47" s="524"/>
      <c r="BC47" s="524"/>
      <c r="BD47" s="1450"/>
      <c r="BE47" s="2270">
        <v>280</v>
      </c>
      <c r="BF47" s="6199" t="s">
        <v>2022</v>
      </c>
      <c r="BG47" s="6138"/>
      <c r="BH47" s="6200" t="str">
        <f>IF(BE38=0,"",VLOOKUP(BE38,'Tablas psiquica'!$D$7:$R$145,13,FALSE))</f>
        <v/>
      </c>
      <c r="BI47" s="6201"/>
      <c r="BJ47" s="6201"/>
      <c r="BK47" s="6202"/>
      <c r="BL47" s="865"/>
      <c r="BM47" s="2270">
        <v>280</v>
      </c>
      <c r="BN47" s="6199" t="s">
        <v>2022</v>
      </c>
      <c r="BO47" s="6138"/>
      <c r="BP47" s="6200" t="str">
        <f>IF(BM38=0,"",VLOOKUP(BM38,'Tablas psiquica'!$D$7:$R$145,13,FALSE))</f>
        <v/>
      </c>
      <c r="BQ47" s="6201"/>
      <c r="BR47" s="6201"/>
      <c r="BS47" s="6202"/>
      <c r="BT47" s="1450"/>
      <c r="BU47" s="2270">
        <v>280</v>
      </c>
      <c r="BV47" s="6199" t="s">
        <v>2022</v>
      </c>
      <c r="BW47" s="6138"/>
      <c r="BX47" s="6200" t="str">
        <f>IF(BU38=0,"",VLOOKUP(BU38,'Tablas psiquica'!$D$7:$R$145,13,FALSE))</f>
        <v/>
      </c>
      <c r="BY47" s="6201"/>
      <c r="BZ47" s="6201"/>
      <c r="CA47" s="6202"/>
      <c r="CB47" s="530"/>
      <c r="CC47" s="524"/>
      <c r="CD47" s="524"/>
      <c r="CE47" s="1450"/>
      <c r="CF47" s="2270">
        <v>280</v>
      </c>
      <c r="CG47" s="6199" t="s">
        <v>2022</v>
      </c>
      <c r="CH47" s="6138"/>
      <c r="CI47" s="6200" t="str">
        <f>IF(CF38=0,"",VLOOKUP(CF38,'Tablas psiquica'!$D$7:$R$145,13,FALSE))</f>
        <v/>
      </c>
      <c r="CJ47" s="6201"/>
      <c r="CK47" s="6201"/>
      <c r="CL47" s="6202"/>
      <c r="CM47" s="865"/>
      <c r="CN47" s="2270">
        <v>280</v>
      </c>
      <c r="CO47" s="6199" t="s">
        <v>2022</v>
      </c>
      <c r="CP47" s="6138"/>
      <c r="CQ47" s="6200" t="str">
        <f>IF(CN38=0,"",VLOOKUP(CN38,'Tablas psiquica'!$D$7:$R$145,13,FALSE))</f>
        <v/>
      </c>
      <c r="CR47" s="6201"/>
      <c r="CS47" s="6201"/>
      <c r="CT47" s="6202"/>
      <c r="CU47" s="1450"/>
      <c r="CV47" s="2270">
        <v>280</v>
      </c>
      <c r="CW47" s="6199" t="s">
        <v>2022</v>
      </c>
      <c r="CX47" s="6138"/>
      <c r="CY47" s="6200" t="str">
        <f>IF(CV38=0,"",VLOOKUP(CV38,'Tablas psiquica'!$D$7:$R$145,13,FALSE))</f>
        <v/>
      </c>
      <c r="CZ47" s="6201"/>
      <c r="DA47" s="6201"/>
      <c r="DB47" s="6202"/>
      <c r="DC47" s="530"/>
      <c r="DD47" s="524"/>
    </row>
    <row r="48" spans="1:108" ht="12" customHeight="1" x14ac:dyDescent="0.2">
      <c r="A48" s="524"/>
      <c r="B48" s="1450"/>
      <c r="C48" s="2271">
        <v>320</v>
      </c>
      <c r="D48" s="6203" t="s">
        <v>2024</v>
      </c>
      <c r="E48" s="6133"/>
      <c r="F48" s="6204" t="str">
        <f>IF(C38=0,"",VLOOKUP(C38,'Tablas psiquica'!$D$7:$R$145,14,FALSE))</f>
        <v/>
      </c>
      <c r="G48" s="6205"/>
      <c r="H48" s="6205"/>
      <c r="I48" s="5767"/>
      <c r="J48" s="865"/>
      <c r="K48" s="2271">
        <v>320</v>
      </c>
      <c r="L48" s="6203" t="s">
        <v>2024</v>
      </c>
      <c r="M48" s="6133"/>
      <c r="N48" s="6204" t="str">
        <f>IF(K38=0,"",VLOOKUP(K38,'Tablas psiquica'!$D$7:$R$145,14,FALSE))</f>
        <v/>
      </c>
      <c r="O48" s="6205"/>
      <c r="P48" s="6205"/>
      <c r="Q48" s="5767"/>
      <c r="R48" s="1450"/>
      <c r="S48" s="2271">
        <v>320</v>
      </c>
      <c r="T48" s="6203" t="s">
        <v>2024</v>
      </c>
      <c r="U48" s="6133"/>
      <c r="V48" s="6204" t="str">
        <f>IF(S38=0,"",VLOOKUP(S38,'Tablas psiquica'!$D$7:$R$145,14,FALSE))</f>
        <v/>
      </c>
      <c r="W48" s="6205"/>
      <c r="X48" s="6205"/>
      <c r="Y48" s="5767"/>
      <c r="Z48" s="530"/>
      <c r="AA48" s="524"/>
      <c r="AB48" s="524"/>
      <c r="AC48" s="1450"/>
      <c r="AD48" s="2271">
        <v>320</v>
      </c>
      <c r="AE48" s="6203" t="s">
        <v>2024</v>
      </c>
      <c r="AF48" s="6133"/>
      <c r="AG48" s="6204" t="str">
        <f>IF(AD38=0,"",VLOOKUP(AD38,'Tablas psiquica'!$D$7:$R$145,14,FALSE))</f>
        <v/>
      </c>
      <c r="AH48" s="6205"/>
      <c r="AI48" s="6205"/>
      <c r="AJ48" s="5767"/>
      <c r="AK48" s="865"/>
      <c r="AL48" s="2271">
        <v>320</v>
      </c>
      <c r="AM48" s="6203" t="s">
        <v>2024</v>
      </c>
      <c r="AN48" s="6133"/>
      <c r="AO48" s="6204" t="str">
        <f>IF(AL38=0,"",VLOOKUP(AL38,'Tablas psiquica'!$D$7:$R$145,14,FALSE))</f>
        <v/>
      </c>
      <c r="AP48" s="6205"/>
      <c r="AQ48" s="6205"/>
      <c r="AR48" s="5767"/>
      <c r="AS48" s="1450"/>
      <c r="AT48" s="2271">
        <v>320</v>
      </c>
      <c r="AU48" s="6203" t="s">
        <v>2024</v>
      </c>
      <c r="AV48" s="6133"/>
      <c r="AW48" s="6204" t="str">
        <f>IF(AT38=0,"",VLOOKUP(AT38,'Tablas psiquica'!$D$7:$R$145,14,FALSE))</f>
        <v/>
      </c>
      <c r="AX48" s="6205"/>
      <c r="AY48" s="6205"/>
      <c r="AZ48" s="5767"/>
      <c r="BA48" s="530"/>
      <c r="BB48" s="524"/>
      <c r="BC48" s="524"/>
      <c r="BD48" s="1450"/>
      <c r="BE48" s="2271">
        <v>320</v>
      </c>
      <c r="BF48" s="6203" t="s">
        <v>2024</v>
      </c>
      <c r="BG48" s="6133"/>
      <c r="BH48" s="6204" t="str">
        <f>IF(BE38=0,"",VLOOKUP(BE38,'Tablas psiquica'!$D$7:$R$145,14,FALSE))</f>
        <v/>
      </c>
      <c r="BI48" s="6205"/>
      <c r="BJ48" s="6205"/>
      <c r="BK48" s="5767"/>
      <c r="BL48" s="865"/>
      <c r="BM48" s="2271">
        <v>320</v>
      </c>
      <c r="BN48" s="6203" t="s">
        <v>2024</v>
      </c>
      <c r="BO48" s="6133"/>
      <c r="BP48" s="6204" t="str">
        <f>IF(BM38=0,"",VLOOKUP(BM38,'Tablas psiquica'!$D$7:$R$145,14,FALSE))</f>
        <v/>
      </c>
      <c r="BQ48" s="6205"/>
      <c r="BR48" s="6205"/>
      <c r="BS48" s="5767"/>
      <c r="BT48" s="1450"/>
      <c r="BU48" s="2271">
        <v>320</v>
      </c>
      <c r="BV48" s="6203" t="s">
        <v>2024</v>
      </c>
      <c r="BW48" s="6133"/>
      <c r="BX48" s="6204" t="str">
        <f>IF(BU38=0,"",VLOOKUP(BU38,'Tablas psiquica'!$D$7:$R$145,14,FALSE))</f>
        <v/>
      </c>
      <c r="BY48" s="6205"/>
      <c r="BZ48" s="6205"/>
      <c r="CA48" s="5767"/>
      <c r="CB48" s="530"/>
      <c r="CC48" s="524"/>
      <c r="CD48" s="524"/>
      <c r="CE48" s="1450"/>
      <c r="CF48" s="2271">
        <v>320</v>
      </c>
      <c r="CG48" s="6203" t="s">
        <v>2024</v>
      </c>
      <c r="CH48" s="6133"/>
      <c r="CI48" s="6204" t="str">
        <f>IF(CF38=0,"",VLOOKUP(CF38,'Tablas psiquica'!$D$7:$R$145,14,FALSE))</f>
        <v/>
      </c>
      <c r="CJ48" s="6205"/>
      <c r="CK48" s="6205"/>
      <c r="CL48" s="5767"/>
      <c r="CM48" s="865"/>
      <c r="CN48" s="2271">
        <v>320</v>
      </c>
      <c r="CO48" s="6203" t="s">
        <v>2024</v>
      </c>
      <c r="CP48" s="6133"/>
      <c r="CQ48" s="6204" t="str">
        <f>IF(CN38=0,"",VLOOKUP(CN38,'Tablas psiquica'!$D$7:$R$145,14,FALSE))</f>
        <v/>
      </c>
      <c r="CR48" s="6205"/>
      <c r="CS48" s="6205"/>
      <c r="CT48" s="5767"/>
      <c r="CU48" s="1450"/>
      <c r="CV48" s="2271">
        <v>320</v>
      </c>
      <c r="CW48" s="6203" t="s">
        <v>2024</v>
      </c>
      <c r="CX48" s="6133"/>
      <c r="CY48" s="6204" t="str">
        <f>IF(CV38=0,"",VLOOKUP(CV38,'Tablas psiquica'!$D$7:$R$145,14,FALSE))</f>
        <v/>
      </c>
      <c r="CZ48" s="6205"/>
      <c r="DA48" s="6205"/>
      <c r="DB48" s="5767"/>
      <c r="DC48" s="530"/>
      <c r="DD48" s="524"/>
    </row>
    <row r="49" spans="1:108" ht="12" customHeight="1" x14ac:dyDescent="0.2">
      <c r="A49" s="524"/>
      <c r="B49" s="1450"/>
      <c r="C49" s="565">
        <v>440</v>
      </c>
      <c r="D49" s="6206" t="s">
        <v>1958</v>
      </c>
      <c r="E49" s="6207"/>
      <c r="F49" s="6208" t="str">
        <f>IF(C38=0,"",VLOOKUP(C38,'Tablas psiquica'!$D$7:$R$145,15,FALSE))</f>
        <v/>
      </c>
      <c r="G49" s="6209"/>
      <c r="H49" s="6209"/>
      <c r="I49" s="6210"/>
      <c r="J49" s="865"/>
      <c r="K49" s="565">
        <v>440</v>
      </c>
      <c r="L49" s="6206" t="s">
        <v>1958</v>
      </c>
      <c r="M49" s="6207"/>
      <c r="N49" s="6208" t="str">
        <f>IF(K38=0,"",VLOOKUP(K38,'Tablas psiquica'!$D$7:$R$145,15,FALSE))</f>
        <v/>
      </c>
      <c r="O49" s="6209"/>
      <c r="P49" s="6209"/>
      <c r="Q49" s="6210"/>
      <c r="R49" s="1450"/>
      <c r="S49" s="565">
        <v>440</v>
      </c>
      <c r="T49" s="6206" t="s">
        <v>1958</v>
      </c>
      <c r="U49" s="6207"/>
      <c r="V49" s="6208" t="str">
        <f>IF(S38=0,"",VLOOKUP(S38,'Tablas psiquica'!$D$7:$R$145,15,FALSE))</f>
        <v/>
      </c>
      <c r="W49" s="6209"/>
      <c r="X49" s="6209"/>
      <c r="Y49" s="6210"/>
      <c r="Z49" s="530"/>
      <c r="AA49" s="524"/>
      <c r="AB49" s="524"/>
      <c r="AC49" s="1450"/>
      <c r="AD49" s="565">
        <v>440</v>
      </c>
      <c r="AE49" s="6206" t="s">
        <v>1958</v>
      </c>
      <c r="AF49" s="6207"/>
      <c r="AG49" s="6208" t="str">
        <f>IF(AD38=0,"",VLOOKUP(AD38,'Tablas psiquica'!$D$7:$R$145,15,FALSE))</f>
        <v/>
      </c>
      <c r="AH49" s="6209"/>
      <c r="AI49" s="6209"/>
      <c r="AJ49" s="6210"/>
      <c r="AK49" s="865"/>
      <c r="AL49" s="565">
        <v>440</v>
      </c>
      <c r="AM49" s="6206" t="s">
        <v>1958</v>
      </c>
      <c r="AN49" s="6207"/>
      <c r="AO49" s="6208" t="str">
        <f>IF(AL38=0,"",VLOOKUP(AL38,'Tablas psiquica'!$D$7:$R$145,15,FALSE))</f>
        <v/>
      </c>
      <c r="AP49" s="6209"/>
      <c r="AQ49" s="6209"/>
      <c r="AR49" s="6210"/>
      <c r="AS49" s="1450"/>
      <c r="AT49" s="565">
        <v>440</v>
      </c>
      <c r="AU49" s="6206" t="s">
        <v>1958</v>
      </c>
      <c r="AV49" s="6207"/>
      <c r="AW49" s="6208" t="str">
        <f>IF(AT38=0,"",VLOOKUP(AT38,'Tablas psiquica'!$D$7:$R$145,15,FALSE))</f>
        <v/>
      </c>
      <c r="AX49" s="6209"/>
      <c r="AY49" s="6209"/>
      <c r="AZ49" s="6210"/>
      <c r="BA49" s="530"/>
      <c r="BB49" s="524"/>
      <c r="BC49" s="524"/>
      <c r="BD49" s="1450"/>
      <c r="BE49" s="565">
        <v>440</v>
      </c>
      <c r="BF49" s="6206" t="s">
        <v>1958</v>
      </c>
      <c r="BG49" s="6207"/>
      <c r="BH49" s="6208" t="str">
        <f>IF(BE38=0,"",VLOOKUP(BE38,'Tablas psiquica'!$D$7:$R$145,15,FALSE))</f>
        <v/>
      </c>
      <c r="BI49" s="6209"/>
      <c r="BJ49" s="6209"/>
      <c r="BK49" s="6210"/>
      <c r="BL49" s="865"/>
      <c r="BM49" s="565">
        <v>440</v>
      </c>
      <c r="BN49" s="6206" t="s">
        <v>1958</v>
      </c>
      <c r="BO49" s="6207"/>
      <c r="BP49" s="6208" t="str">
        <f>IF(BM38=0,"",VLOOKUP(BM38,'Tablas psiquica'!$D$7:$R$145,15,FALSE))</f>
        <v/>
      </c>
      <c r="BQ49" s="6209"/>
      <c r="BR49" s="6209"/>
      <c r="BS49" s="6210"/>
      <c r="BT49" s="1450"/>
      <c r="BU49" s="565">
        <v>440</v>
      </c>
      <c r="BV49" s="6206" t="s">
        <v>1958</v>
      </c>
      <c r="BW49" s="6207"/>
      <c r="BX49" s="6208" t="str">
        <f>IF(BU38=0,"",VLOOKUP(BU38,'Tablas psiquica'!$D$7:$R$145,15,FALSE))</f>
        <v/>
      </c>
      <c r="BY49" s="6209"/>
      <c r="BZ49" s="6209"/>
      <c r="CA49" s="6210"/>
      <c r="CB49" s="530"/>
      <c r="CC49" s="524"/>
      <c r="CD49" s="524"/>
      <c r="CE49" s="1450"/>
      <c r="CF49" s="565">
        <v>440</v>
      </c>
      <c r="CG49" s="6206" t="s">
        <v>1958</v>
      </c>
      <c r="CH49" s="6207"/>
      <c r="CI49" s="6208" t="str">
        <f>IF(CF38=0,"",VLOOKUP(CF38,'Tablas psiquica'!$D$7:$R$145,15,FALSE))</f>
        <v/>
      </c>
      <c r="CJ49" s="6209"/>
      <c r="CK49" s="6209"/>
      <c r="CL49" s="6210"/>
      <c r="CM49" s="865"/>
      <c r="CN49" s="565">
        <v>440</v>
      </c>
      <c r="CO49" s="6206" t="s">
        <v>1958</v>
      </c>
      <c r="CP49" s="6207"/>
      <c r="CQ49" s="6208" t="str">
        <f>IF(CN38=0,"",VLOOKUP(CN38,'Tablas psiquica'!$D$7:$R$145,15,FALSE))</f>
        <v/>
      </c>
      <c r="CR49" s="6209"/>
      <c r="CS49" s="6209"/>
      <c r="CT49" s="6210"/>
      <c r="CU49" s="1450"/>
      <c r="CV49" s="565">
        <v>440</v>
      </c>
      <c r="CW49" s="6206" t="s">
        <v>1958</v>
      </c>
      <c r="CX49" s="6207"/>
      <c r="CY49" s="6208" t="str">
        <f>IF(CV38=0,"",VLOOKUP(CV38,'Tablas psiquica'!$D$7:$R$145,15,FALSE))</f>
        <v/>
      </c>
      <c r="CZ49" s="6209"/>
      <c r="DA49" s="6209"/>
      <c r="DB49" s="6210"/>
      <c r="DC49" s="530"/>
      <c r="DD49" s="524"/>
    </row>
    <row r="50" spans="1:108" ht="12" customHeight="1" thickBot="1" x14ac:dyDescent="0.25">
      <c r="A50" s="524"/>
      <c r="B50" s="1450"/>
      <c r="C50" s="6211" t="s">
        <v>6896</v>
      </c>
      <c r="D50" s="6212"/>
      <c r="E50" s="566" t="str">
        <f>IF(C38=0,"",VLOOKUP(C38,'Tablas psiquica'!$D$7:$R$145,4,FALSE))</f>
        <v/>
      </c>
      <c r="F50" s="6213" t="s">
        <v>6891</v>
      </c>
      <c r="G50" s="6213"/>
      <c r="H50" s="4569" t="str">
        <f>IF(C38=0,"",VLOOKUP(C38,'Tablas psiquica'!$D$7:$R$145,5,FALSE))</f>
        <v/>
      </c>
      <c r="I50" s="4570"/>
      <c r="J50" s="865"/>
      <c r="K50" s="6211" t="s">
        <v>6896</v>
      </c>
      <c r="L50" s="6212"/>
      <c r="M50" s="566" t="str">
        <f>IF(K38=0,"",VLOOKUP(K38,'Tablas psiquica'!$D$7:$R$145,4,FALSE))</f>
        <v/>
      </c>
      <c r="N50" s="6213" t="s">
        <v>6891</v>
      </c>
      <c r="O50" s="6213"/>
      <c r="P50" s="4569" t="str">
        <f>IF(K38=0,"",VLOOKUP(K38,'Tablas psiquica'!$D$7:$R$145,5,FALSE))</f>
        <v/>
      </c>
      <c r="Q50" s="4570"/>
      <c r="R50" s="1450"/>
      <c r="S50" s="6211" t="s">
        <v>6896</v>
      </c>
      <c r="T50" s="6212"/>
      <c r="U50" s="566" t="str">
        <f>IF(S38=0,"",VLOOKUP(S38,'Tablas psiquica'!$D$7:$R$145,4,FALSE))</f>
        <v/>
      </c>
      <c r="V50" s="6213" t="s">
        <v>6891</v>
      </c>
      <c r="W50" s="6213"/>
      <c r="X50" s="4569" t="str">
        <f>IF(S38=0,"",VLOOKUP(S38,'Tablas psiquica'!$D$7:$R$145,5,FALSE))</f>
        <v/>
      </c>
      <c r="Y50" s="4570"/>
      <c r="Z50" s="530"/>
      <c r="AA50" s="524"/>
      <c r="AB50" s="524"/>
      <c r="AC50" s="1450"/>
      <c r="AD50" s="6211" t="s">
        <v>6896</v>
      </c>
      <c r="AE50" s="6212"/>
      <c r="AF50" s="566" t="str">
        <f>IF(AD38=0,"",VLOOKUP(AD38,'Tablas psiquica'!$D$7:$R$145,4,FALSE))</f>
        <v/>
      </c>
      <c r="AG50" s="6213" t="s">
        <v>6891</v>
      </c>
      <c r="AH50" s="6213"/>
      <c r="AI50" s="4569" t="str">
        <f>IF(AD38=0,"",VLOOKUP(AD38,'Tablas psiquica'!$D$7:$R$145,5,FALSE))</f>
        <v/>
      </c>
      <c r="AJ50" s="4570"/>
      <c r="AK50" s="865"/>
      <c r="AL50" s="6211" t="s">
        <v>6896</v>
      </c>
      <c r="AM50" s="6212"/>
      <c r="AN50" s="566" t="str">
        <f>IF(AL38=0,"",VLOOKUP(AL38,'Tablas psiquica'!$D$7:$R$145,4,FALSE))</f>
        <v/>
      </c>
      <c r="AO50" s="6213" t="s">
        <v>6891</v>
      </c>
      <c r="AP50" s="6213"/>
      <c r="AQ50" s="4569" t="str">
        <f>IF(AL38=0,"",VLOOKUP(AL38,'Tablas psiquica'!$D$7:$R$145,5,FALSE))</f>
        <v/>
      </c>
      <c r="AR50" s="4570"/>
      <c r="AS50" s="1450"/>
      <c r="AT50" s="6211" t="s">
        <v>6896</v>
      </c>
      <c r="AU50" s="6212"/>
      <c r="AV50" s="566" t="str">
        <f>IF(AT38=0,"",VLOOKUP(AT38,'Tablas psiquica'!$D$7:$R$145,4,FALSE))</f>
        <v/>
      </c>
      <c r="AW50" s="6213" t="s">
        <v>6891</v>
      </c>
      <c r="AX50" s="6213"/>
      <c r="AY50" s="4569" t="str">
        <f>IF(AT38=0,"",VLOOKUP(AT38,'Tablas psiquica'!$D$7:$R$145,5,FALSE))</f>
        <v/>
      </c>
      <c r="AZ50" s="4570"/>
      <c r="BA50" s="530"/>
      <c r="BB50" s="524"/>
      <c r="BC50" s="524"/>
      <c r="BD50" s="1450"/>
      <c r="BE50" s="6211" t="s">
        <v>6896</v>
      </c>
      <c r="BF50" s="6212"/>
      <c r="BG50" s="566" t="str">
        <f>IF(BE38=0,"",VLOOKUP(BE38,'Tablas psiquica'!$D$7:$R$145,4,FALSE))</f>
        <v/>
      </c>
      <c r="BH50" s="6213" t="s">
        <v>6891</v>
      </c>
      <c r="BI50" s="6213"/>
      <c r="BJ50" s="4569" t="str">
        <f>IF(BE38=0,"",VLOOKUP(BE38,'Tablas psiquica'!$D$7:$R$145,5,FALSE))</f>
        <v/>
      </c>
      <c r="BK50" s="4570"/>
      <c r="BL50" s="865"/>
      <c r="BM50" s="6211" t="s">
        <v>6896</v>
      </c>
      <c r="BN50" s="6212"/>
      <c r="BO50" s="566" t="str">
        <f>IF(BM38=0,"",VLOOKUP(BM38,'Tablas psiquica'!$D$7:$R$145,4,FALSE))</f>
        <v/>
      </c>
      <c r="BP50" s="6213" t="s">
        <v>6891</v>
      </c>
      <c r="BQ50" s="6213"/>
      <c r="BR50" s="4569" t="str">
        <f>IF(BM38=0,"",VLOOKUP(BM38,'Tablas psiquica'!$D$7:$R$145,5,FALSE))</f>
        <v/>
      </c>
      <c r="BS50" s="4570"/>
      <c r="BT50" s="1450"/>
      <c r="BU50" s="6211" t="s">
        <v>6896</v>
      </c>
      <c r="BV50" s="6212"/>
      <c r="BW50" s="566" t="str">
        <f>IF(BU38=0,"",VLOOKUP(BU38,'Tablas psiquica'!$D$7:$R$145,4,FALSE))</f>
        <v/>
      </c>
      <c r="BX50" s="6213" t="s">
        <v>6891</v>
      </c>
      <c r="BY50" s="6213"/>
      <c r="BZ50" s="4569" t="str">
        <f>IF(BU38=0,"",VLOOKUP(BU38,'Tablas psiquica'!$D$7:$R$145,5,FALSE))</f>
        <v/>
      </c>
      <c r="CA50" s="4570"/>
      <c r="CB50" s="530"/>
      <c r="CC50" s="524"/>
      <c r="CD50" s="524"/>
      <c r="CE50" s="1450"/>
      <c r="CF50" s="6211" t="s">
        <v>6896</v>
      </c>
      <c r="CG50" s="6212"/>
      <c r="CH50" s="566" t="str">
        <f>IF(CF38=0,"",VLOOKUP(CF38,'Tablas psiquica'!$D$7:$R$145,4,FALSE))</f>
        <v/>
      </c>
      <c r="CI50" s="6213" t="s">
        <v>6891</v>
      </c>
      <c r="CJ50" s="6213"/>
      <c r="CK50" s="4569" t="str">
        <f>IF(CF38=0,"",VLOOKUP(CF38,'Tablas psiquica'!$D$7:$R$145,5,FALSE))</f>
        <v/>
      </c>
      <c r="CL50" s="4570"/>
      <c r="CM50" s="865"/>
      <c r="CN50" s="6211" t="s">
        <v>6896</v>
      </c>
      <c r="CO50" s="6212"/>
      <c r="CP50" s="566" t="str">
        <f>IF(CN38=0,"",VLOOKUP(CN38,'Tablas psiquica'!$D$7:$R$145,4,FALSE))</f>
        <v/>
      </c>
      <c r="CQ50" s="6213" t="s">
        <v>6891</v>
      </c>
      <c r="CR50" s="6213"/>
      <c r="CS50" s="4569" t="str">
        <f>IF(CN38=0,"",VLOOKUP(CN38,'Tablas psiquica'!$D$7:$R$145,5,FALSE))</f>
        <v/>
      </c>
      <c r="CT50" s="4570"/>
      <c r="CU50" s="1450"/>
      <c r="CV50" s="6211" t="s">
        <v>6896</v>
      </c>
      <c r="CW50" s="6212"/>
      <c r="CX50" s="566" t="str">
        <f>IF(CV38=0,"",VLOOKUP(CV38,'Tablas psiquica'!$D$7:$R$145,4,FALSE))</f>
        <v/>
      </c>
      <c r="CY50" s="6213" t="s">
        <v>6891</v>
      </c>
      <c r="CZ50" s="6213"/>
      <c r="DA50" s="4569" t="str">
        <f>IF(CV38=0,"",VLOOKUP(CV38,'Tablas psiquica'!$D$7:$R$145,5,FALSE))</f>
        <v/>
      </c>
      <c r="DB50" s="4570"/>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186">
        <f>IFERROR(INDEX('Tablas psiquica'!$U$115:$AH$129,B52,$Y$7),0)</f>
        <v>0</v>
      </c>
      <c r="D52" s="6187"/>
      <c r="E52" s="6187"/>
      <c r="F52" s="6187"/>
      <c r="G52" s="6187"/>
      <c r="H52" s="6187"/>
      <c r="I52" s="563" t="s">
        <v>1676</v>
      </c>
      <c r="J52" s="865">
        <v>11</v>
      </c>
      <c r="K52" s="6186">
        <f>IFERROR(INDEX('Tablas psiquica'!$U$115:$AH$129,J52,$Y$7),0)</f>
        <v>0</v>
      </c>
      <c r="L52" s="6187"/>
      <c r="M52" s="6187"/>
      <c r="N52" s="6187"/>
      <c r="O52" s="6187"/>
      <c r="P52" s="6187"/>
      <c r="Q52" s="563" t="s">
        <v>1676</v>
      </c>
      <c r="R52" s="1450">
        <v>12</v>
      </c>
      <c r="S52" s="6186">
        <f>IFERROR(INDEX('Tablas psiquica'!$U$115:$AH$129,R52,$Y$7),0)</f>
        <v>0</v>
      </c>
      <c r="T52" s="6187"/>
      <c r="U52" s="6187"/>
      <c r="V52" s="6187"/>
      <c r="W52" s="6187"/>
      <c r="X52" s="6187"/>
      <c r="Y52" s="563" t="s">
        <v>1676</v>
      </c>
      <c r="Z52" s="530"/>
      <c r="AA52" s="524"/>
      <c r="AB52" s="524"/>
      <c r="AC52" s="1450">
        <v>10</v>
      </c>
      <c r="AD52" s="6186">
        <f>IFERROR(INDEX('Tablas psiquica'!$U$115:$AH$129,AC52,$AZ$7),0)</f>
        <v>0</v>
      </c>
      <c r="AE52" s="6187"/>
      <c r="AF52" s="6187"/>
      <c r="AG52" s="6187"/>
      <c r="AH52" s="6187"/>
      <c r="AI52" s="6187"/>
      <c r="AJ52" s="563" t="s">
        <v>1676</v>
      </c>
      <c r="AK52" s="865">
        <v>11</v>
      </c>
      <c r="AL52" s="6186">
        <f>IFERROR(INDEX('Tablas psiquica'!$U$115:$AH$129,AK52,$AZ$7),0)</f>
        <v>0</v>
      </c>
      <c r="AM52" s="6187"/>
      <c r="AN52" s="6187"/>
      <c r="AO52" s="6187"/>
      <c r="AP52" s="6187"/>
      <c r="AQ52" s="6187"/>
      <c r="AR52" s="563" t="s">
        <v>1676</v>
      </c>
      <c r="AS52" s="1450">
        <v>12</v>
      </c>
      <c r="AT52" s="6186">
        <f>IFERROR(INDEX('Tablas psiquica'!$U$115:$AH$129,AS52,$AZ$7),0)</f>
        <v>0</v>
      </c>
      <c r="AU52" s="6187"/>
      <c r="AV52" s="6187"/>
      <c r="AW52" s="6187"/>
      <c r="AX52" s="6187"/>
      <c r="AY52" s="6187"/>
      <c r="AZ52" s="563" t="s">
        <v>1676</v>
      </c>
      <c r="BA52" s="530"/>
      <c r="BB52" s="524"/>
      <c r="BC52" s="524"/>
      <c r="BD52" s="1450">
        <v>10</v>
      </c>
      <c r="BE52" s="6186">
        <f>IFERROR(INDEX('Tablas psiquica'!$U$115:$AH$129,BD52,$CA$7),0)</f>
        <v>0</v>
      </c>
      <c r="BF52" s="6187"/>
      <c r="BG52" s="6187"/>
      <c r="BH52" s="6187"/>
      <c r="BI52" s="6187"/>
      <c r="BJ52" s="6187"/>
      <c r="BK52" s="563" t="s">
        <v>1676</v>
      </c>
      <c r="BL52" s="865">
        <v>11</v>
      </c>
      <c r="BM52" s="6186">
        <f>IFERROR(INDEX('Tablas psiquica'!$U$115:$AH$129,BL52,$CA$7),0)</f>
        <v>0</v>
      </c>
      <c r="BN52" s="6187"/>
      <c r="BO52" s="6187"/>
      <c r="BP52" s="6187"/>
      <c r="BQ52" s="6187"/>
      <c r="BR52" s="6187"/>
      <c r="BS52" s="563" t="s">
        <v>1676</v>
      </c>
      <c r="BT52" s="1450">
        <v>12</v>
      </c>
      <c r="BU52" s="6186">
        <f>IFERROR(INDEX('Tablas psiquica'!$U$115:$AH$129,BT52,$CA$7),0)</f>
        <v>0</v>
      </c>
      <c r="BV52" s="6187"/>
      <c r="BW52" s="6187"/>
      <c r="BX52" s="6187"/>
      <c r="BY52" s="6187"/>
      <c r="BZ52" s="6187"/>
      <c r="CA52" s="563" t="s">
        <v>1676</v>
      </c>
      <c r="CB52" s="530"/>
      <c r="CC52" s="524"/>
      <c r="CD52" s="524"/>
      <c r="CE52" s="1450">
        <v>10</v>
      </c>
      <c r="CF52" s="6186">
        <f>IFERROR(INDEX('Tablas psiquica'!$U$115:$AH$129,CE52,$DB$7),0)</f>
        <v>0</v>
      </c>
      <c r="CG52" s="6187"/>
      <c r="CH52" s="6187"/>
      <c r="CI52" s="6187"/>
      <c r="CJ52" s="6187"/>
      <c r="CK52" s="6187"/>
      <c r="CL52" s="563" t="s">
        <v>1676</v>
      </c>
      <c r="CM52" s="865">
        <v>11</v>
      </c>
      <c r="CN52" s="6186">
        <f>IFERROR(INDEX('Tablas psiquica'!$U$115:$AH$129,CM52,$DB$7),0)</f>
        <v>0</v>
      </c>
      <c r="CO52" s="6187"/>
      <c r="CP52" s="6187"/>
      <c r="CQ52" s="6187"/>
      <c r="CR52" s="6187"/>
      <c r="CS52" s="6187"/>
      <c r="CT52" s="563" t="s">
        <v>1676</v>
      </c>
      <c r="CU52" s="1450">
        <v>12</v>
      </c>
      <c r="CV52" s="6186">
        <f>IFERROR(INDEX('Tablas psiquica'!$U$115:$AH$129,CU52,$DB$7),0)</f>
        <v>0</v>
      </c>
      <c r="CW52" s="6187"/>
      <c r="CX52" s="6187"/>
      <c r="CY52" s="6187"/>
      <c r="CZ52" s="6187"/>
      <c r="DA52" s="6187"/>
      <c r="DB52" s="563" t="s">
        <v>1676</v>
      </c>
      <c r="DC52" s="530"/>
      <c r="DD52" s="524"/>
    </row>
    <row r="53" spans="1:108" ht="12" customHeight="1" x14ac:dyDescent="0.2">
      <c r="A53" s="524"/>
      <c r="B53" s="1450"/>
      <c r="C53" s="6188" t="str">
        <f>IF(C52=0,"",VLOOKUP(C52,'Tablas psiquica'!$D$7:$R$145,2,FALSE))</f>
        <v/>
      </c>
      <c r="D53" s="6189"/>
      <c r="E53" s="6189"/>
      <c r="F53" s="6190"/>
      <c r="G53" s="6191" t="str">
        <f>IF(C52=0,"",IF(INDEX('Tablas psiquica'!$U$114:$AH$114,1,$Y$7)=0,"No Accesible",IF(ISNA(VLOOKUP(C52,Psíquicos!$V$11:$Z$64,1,0)),"Accesible CV","Aprendido")))</f>
        <v/>
      </c>
      <c r="H53" s="6192"/>
      <c r="I53" s="2313" t="str">
        <f>IF(C52=0,"",VLOOKUP(C52,'Tablas psiquica'!$D$7:$R$145,3,FALSE))</f>
        <v/>
      </c>
      <c r="J53" s="865"/>
      <c r="K53" s="6188" t="str">
        <f>IF(K52=0,"",VLOOKUP(K52,'Tablas psiquica'!$D$7:$R$145,2,FALSE))</f>
        <v/>
      </c>
      <c r="L53" s="6189"/>
      <c r="M53" s="6189"/>
      <c r="N53" s="6190"/>
      <c r="O53" s="6191" t="str">
        <f>IF(K52=0,"",IF(INDEX('Tablas psiquica'!$U$114:$AH$114,1,$Y$7)=0,"No Accesible",IF(ISNA(VLOOKUP(K52,Psíquicos!$V$11:$Z$64,1,0)),"Accesible CV","Aprendido")))</f>
        <v/>
      </c>
      <c r="P53" s="6192"/>
      <c r="Q53" s="2313" t="str">
        <f>IF(K52=0,"",VLOOKUP(K52,'Tablas psiquica'!$D$7:$R$145,3,FALSE))</f>
        <v/>
      </c>
      <c r="R53" s="1450"/>
      <c r="S53" s="6188" t="str">
        <f>IF(S52=0,"",VLOOKUP(S52,'Tablas psiquica'!$D$7:$R$145,2,FALSE))</f>
        <v/>
      </c>
      <c r="T53" s="6189"/>
      <c r="U53" s="6189"/>
      <c r="V53" s="6190"/>
      <c r="W53" s="6191" t="str">
        <f>IF(S52=0,"",IF(INDEX('Tablas psiquica'!$U$114:$AH$114,1,$Y$7)=0,"No Accesible",IF(ISNA(VLOOKUP(S52,Psíquicos!$V$11:$Z$64,1,0)),"Accesible CV","Aprendido")))</f>
        <v/>
      </c>
      <c r="X53" s="6192"/>
      <c r="Y53" s="2313" t="str">
        <f>IF(S52=0,"",VLOOKUP(S52,'Tablas psiquica'!$D$7:$R$145,3,FALSE))</f>
        <v/>
      </c>
      <c r="Z53" s="530"/>
      <c r="AA53" s="524"/>
      <c r="AB53" s="524"/>
      <c r="AC53" s="1450"/>
      <c r="AD53" s="6188" t="str">
        <f>IF(AD52=0,"",VLOOKUP(AD52,'Tablas psiquica'!$D$7:$R$145,2,FALSE))</f>
        <v/>
      </c>
      <c r="AE53" s="6189"/>
      <c r="AF53" s="6189"/>
      <c r="AG53" s="6190"/>
      <c r="AH53" s="6191" t="str">
        <f>IF(AD52=0,"",IF(INDEX('Tablas psiquica'!$U$114:$AH$114,1,$AZ$7)=0,"No Accesible",IF(ISNA(VLOOKUP(AD52,Psíquicos!$V$11:$Z$64,1,0)),"Accesible CV","Aprendido")))</f>
        <v/>
      </c>
      <c r="AI53" s="6192"/>
      <c r="AJ53" s="2313" t="str">
        <f>IF(AD52=0,"",VLOOKUP(AD52,'Tablas psiquica'!$D$7:$R$145,3,FALSE))</f>
        <v/>
      </c>
      <c r="AK53" s="865"/>
      <c r="AL53" s="6188" t="str">
        <f>IF(AL52=0,"",VLOOKUP(AL52,'Tablas psiquica'!$D$7:$R$145,2,FALSE))</f>
        <v/>
      </c>
      <c r="AM53" s="6189"/>
      <c r="AN53" s="6189"/>
      <c r="AO53" s="6190"/>
      <c r="AP53" s="6191" t="str">
        <f>IF(AL52=0,"",IF(INDEX('Tablas psiquica'!$U$114:$AH$114,1,$AZ$7)=0,"No Accesible",IF(ISNA(VLOOKUP(AL52,Psíquicos!$V$11:$Z$64,1,0)),"Accesible CV","Aprendido")))</f>
        <v/>
      </c>
      <c r="AQ53" s="6192"/>
      <c r="AR53" s="2313" t="str">
        <f>IF(AL52=0,"",VLOOKUP(AL52,'Tablas psiquica'!$D$7:$R$145,3,FALSE))</f>
        <v/>
      </c>
      <c r="AS53" s="1450"/>
      <c r="AT53" s="6188" t="str">
        <f>IF(AT52=0,"",VLOOKUP(AT52,'Tablas psiquica'!$D$7:$R$145,2,FALSE))</f>
        <v/>
      </c>
      <c r="AU53" s="6189"/>
      <c r="AV53" s="6189"/>
      <c r="AW53" s="6190"/>
      <c r="AX53" s="6191" t="str">
        <f>IF(AT52=0,"",IF(INDEX('Tablas psiquica'!$U$114:$AH$114,1,$AZ$7)=0,"No Accesible",IF(ISNA(VLOOKUP(AT52,Psíquicos!$V$11:$Z$64,1,0)),"Accesible CV","Aprendido")))</f>
        <v/>
      </c>
      <c r="AY53" s="6192"/>
      <c r="AZ53" s="2313" t="str">
        <f>IF(AT52=0,"",VLOOKUP(AT52,'Tablas psiquica'!$D$7:$R$145,3,FALSE))</f>
        <v/>
      </c>
      <c r="BA53" s="530"/>
      <c r="BB53" s="524"/>
      <c r="BC53" s="524"/>
      <c r="BD53" s="1450"/>
      <c r="BE53" s="6188" t="str">
        <f>IF(BE52=0,"",VLOOKUP(BE52,'Tablas psiquica'!$D$7:$R$145,2,FALSE))</f>
        <v/>
      </c>
      <c r="BF53" s="6189"/>
      <c r="BG53" s="6189"/>
      <c r="BH53" s="6190"/>
      <c r="BI53" s="6191" t="str">
        <f>IF(BE52=0,"",IF(INDEX('Tablas psiquica'!$U$114:$AH$114,1,$CA$7)=0,"No Accesible",IF(ISNA(VLOOKUP(BE52,Psíquicos!$V$11:$Z$64,1,0)),"Accesible CV","Aprendido")))</f>
        <v/>
      </c>
      <c r="BJ53" s="6192"/>
      <c r="BK53" s="2313" t="str">
        <f>IF(BE52=0,"",VLOOKUP(BE52,'Tablas psiquica'!$D$7:$R$145,3,FALSE))</f>
        <v/>
      </c>
      <c r="BL53" s="865"/>
      <c r="BM53" s="6188" t="str">
        <f>IF(BM52=0,"",VLOOKUP(BM52,'Tablas psiquica'!$D$7:$R$145,2,FALSE))</f>
        <v/>
      </c>
      <c r="BN53" s="6189"/>
      <c r="BO53" s="6189"/>
      <c r="BP53" s="6190"/>
      <c r="BQ53" s="6191" t="str">
        <f>IF(BM52=0,"",IF(INDEX('Tablas psiquica'!$U$114:$AH$114,1,$CA$7)=0,"No Accesible",IF(ISNA(VLOOKUP(BM52,Psíquicos!$V$11:$Z$64,1,0)),"Accesible CV","Aprendido")))</f>
        <v/>
      </c>
      <c r="BR53" s="6192"/>
      <c r="BS53" s="2313" t="str">
        <f>IF(BM52=0,"",VLOOKUP(BM52,'Tablas psiquica'!$D$7:$R$145,3,FALSE))</f>
        <v/>
      </c>
      <c r="BT53" s="1450"/>
      <c r="BU53" s="6188" t="str">
        <f>IF(BU52=0,"",VLOOKUP(BU52,'Tablas psiquica'!$D$7:$R$145,2,FALSE))</f>
        <v/>
      </c>
      <c r="BV53" s="6189"/>
      <c r="BW53" s="6189"/>
      <c r="BX53" s="6190"/>
      <c r="BY53" s="6191" t="str">
        <f>IF(BU52=0,"",IF(INDEX('Tablas psiquica'!$U$114:$AH$114,1,$CA$7)=0,"No Accesible",IF(ISNA(VLOOKUP(BU52,Psíquicos!$V$11:$Z$64,1,0)),"Accesible CV","Aprendido")))</f>
        <v/>
      </c>
      <c r="BZ53" s="6192"/>
      <c r="CA53" s="2313" t="str">
        <f>IF(BU52=0,"",VLOOKUP(BU52,'Tablas psiquica'!$D$7:$R$145,3,FALSE))</f>
        <v/>
      </c>
      <c r="CB53" s="530"/>
      <c r="CC53" s="524"/>
      <c r="CD53" s="524"/>
      <c r="CE53" s="1450"/>
      <c r="CF53" s="6188" t="str">
        <f>IF(CF52=0,"",VLOOKUP(CF52,'Tablas psiquica'!$D$7:$R$145,2,FALSE))</f>
        <v/>
      </c>
      <c r="CG53" s="6189"/>
      <c r="CH53" s="6189"/>
      <c r="CI53" s="6190"/>
      <c r="CJ53" s="6191" t="str">
        <f>IF(CF52=0,"",IF(INDEX('Tablas psiquica'!$U$114:$AH$114,1,$DB$7)=0,"No Accesible",IF(ISNA(VLOOKUP(CF52,Psíquicos!$V$11:$Z$64,1,0)),"Accesible CV","Aprendido")))</f>
        <v/>
      </c>
      <c r="CK53" s="6192"/>
      <c r="CL53" s="2313" t="str">
        <f>IF(CF52=0,"",VLOOKUP(CF52,'Tablas psiquica'!$D$7:$R$145,3,FALSE))</f>
        <v/>
      </c>
      <c r="CM53" s="865"/>
      <c r="CN53" s="6188" t="str">
        <f>IF(CN52=0,"",VLOOKUP(CN52,'Tablas psiquica'!$D$7:$R$145,2,FALSE))</f>
        <v/>
      </c>
      <c r="CO53" s="6189"/>
      <c r="CP53" s="6189"/>
      <c r="CQ53" s="6190"/>
      <c r="CR53" s="6191" t="str">
        <f>IF(CN52=0,"",IF(INDEX('Tablas psiquica'!$U$114:$AH$114,1,$DB$7)=0,"No Accesible",IF(ISNA(VLOOKUP(CN52,Psíquicos!$V$11:$Z$64,1,0)),"Accesible CV","Aprendido")))</f>
        <v/>
      </c>
      <c r="CS53" s="6192"/>
      <c r="CT53" s="2313" t="str">
        <f>IF(CN52=0,"",VLOOKUP(CN52,'Tablas psiquica'!$D$7:$R$145,3,FALSE))</f>
        <v/>
      </c>
      <c r="CU53" s="1450"/>
      <c r="CV53" s="6188" t="str">
        <f>IF(CV52=0,"",VLOOKUP(CV52,'Tablas psiquica'!$D$7:$R$145,2,FALSE))</f>
        <v/>
      </c>
      <c r="CW53" s="6189"/>
      <c r="CX53" s="6189"/>
      <c r="CY53" s="6190"/>
      <c r="CZ53" s="6191" t="str">
        <f>IF(CV52=0,"",IF(INDEX('Tablas psiquica'!$U$114:$AH$114,1,$DB$7)=0,"No Accesible",IF(ISNA(VLOOKUP(CV52,Psíquicos!$V$11:$Z$64,1,0)),"Accesible CV","Aprendido")))</f>
        <v/>
      </c>
      <c r="DA53" s="6192"/>
      <c r="DB53" s="2313" t="str">
        <f>IF(CV52=0,"",VLOOKUP(CV52,'Tablas psiquica'!$D$7:$R$145,3,FALSE))</f>
        <v/>
      </c>
      <c r="DC53" s="530"/>
      <c r="DD53" s="524"/>
    </row>
    <row r="54" spans="1:108" ht="12" customHeight="1" x14ac:dyDescent="0.2">
      <c r="A54" s="524"/>
      <c r="B54" s="1450"/>
      <c r="C54" s="2271">
        <v>20</v>
      </c>
      <c r="D54" s="6203" t="s">
        <v>2001</v>
      </c>
      <c r="E54" s="6133"/>
      <c r="F54" s="6204" t="str">
        <f>IF(C52=0,"",VLOOKUP(C52,'Tablas psiquica'!$D$7:$R$145,6,FALSE))</f>
        <v/>
      </c>
      <c r="G54" s="6205"/>
      <c r="H54" s="6205"/>
      <c r="I54" s="5767"/>
      <c r="J54" s="865"/>
      <c r="K54" s="2271">
        <v>20</v>
      </c>
      <c r="L54" s="6203" t="s">
        <v>2001</v>
      </c>
      <c r="M54" s="6133"/>
      <c r="N54" s="6204" t="str">
        <f>IF(K52=0,"",VLOOKUP(K52,'Tablas psiquica'!$D$7:$R$145,6,FALSE))</f>
        <v/>
      </c>
      <c r="O54" s="6205"/>
      <c r="P54" s="6205"/>
      <c r="Q54" s="5767"/>
      <c r="R54" s="1450"/>
      <c r="S54" s="2271">
        <v>20</v>
      </c>
      <c r="T54" s="6203" t="s">
        <v>2001</v>
      </c>
      <c r="U54" s="6133"/>
      <c r="V54" s="6204" t="str">
        <f>IF(S52=0,"",VLOOKUP(S52,'Tablas psiquica'!$D$7:$R$145,6,FALSE))</f>
        <v/>
      </c>
      <c r="W54" s="6205"/>
      <c r="X54" s="6205"/>
      <c r="Y54" s="5767"/>
      <c r="Z54" s="530"/>
      <c r="AA54" s="524"/>
      <c r="AB54" s="524"/>
      <c r="AC54" s="1450"/>
      <c r="AD54" s="2271">
        <v>20</v>
      </c>
      <c r="AE54" s="6203" t="s">
        <v>2001</v>
      </c>
      <c r="AF54" s="6133"/>
      <c r="AG54" s="6204" t="str">
        <f>IF(AD52=0,"",VLOOKUP(AD52,'Tablas psiquica'!$D$7:$R$145,6,FALSE))</f>
        <v/>
      </c>
      <c r="AH54" s="6205"/>
      <c r="AI54" s="6205"/>
      <c r="AJ54" s="5767"/>
      <c r="AK54" s="865"/>
      <c r="AL54" s="2271">
        <v>20</v>
      </c>
      <c r="AM54" s="6203" t="s">
        <v>2001</v>
      </c>
      <c r="AN54" s="6133"/>
      <c r="AO54" s="6204" t="str">
        <f>IF(AL52=0,"",VLOOKUP(AL52,'Tablas psiquica'!$D$7:$R$145,6,FALSE))</f>
        <v/>
      </c>
      <c r="AP54" s="6205"/>
      <c r="AQ54" s="6205"/>
      <c r="AR54" s="5767"/>
      <c r="AS54" s="1450"/>
      <c r="AT54" s="2271">
        <v>20</v>
      </c>
      <c r="AU54" s="6203" t="s">
        <v>2001</v>
      </c>
      <c r="AV54" s="6133"/>
      <c r="AW54" s="6204" t="str">
        <f>IF(AT52=0,"",VLOOKUP(AT52,'Tablas psiquica'!$D$7:$R$145,6,FALSE))</f>
        <v/>
      </c>
      <c r="AX54" s="6205"/>
      <c r="AY54" s="6205"/>
      <c r="AZ54" s="5767"/>
      <c r="BA54" s="530"/>
      <c r="BB54" s="524"/>
      <c r="BC54" s="524"/>
      <c r="BD54" s="1450"/>
      <c r="BE54" s="2271">
        <v>20</v>
      </c>
      <c r="BF54" s="6203" t="s">
        <v>2001</v>
      </c>
      <c r="BG54" s="6133"/>
      <c r="BH54" s="6204" t="str">
        <f>IF(BE52=0,"",VLOOKUP(BE52,'Tablas psiquica'!$D$7:$R$145,6,FALSE))</f>
        <v/>
      </c>
      <c r="BI54" s="6205"/>
      <c r="BJ54" s="6205"/>
      <c r="BK54" s="5767"/>
      <c r="BL54" s="865"/>
      <c r="BM54" s="2271">
        <v>20</v>
      </c>
      <c r="BN54" s="6203" t="s">
        <v>2001</v>
      </c>
      <c r="BO54" s="6133"/>
      <c r="BP54" s="6204" t="str">
        <f>IF(BM52=0,"",VLOOKUP(BM52,'Tablas psiquica'!$D$7:$R$145,6,FALSE))</f>
        <v/>
      </c>
      <c r="BQ54" s="6205"/>
      <c r="BR54" s="6205"/>
      <c r="BS54" s="5767"/>
      <c r="BT54" s="1450"/>
      <c r="BU54" s="2271">
        <v>20</v>
      </c>
      <c r="BV54" s="6203" t="s">
        <v>2001</v>
      </c>
      <c r="BW54" s="6133"/>
      <c r="BX54" s="6204" t="str">
        <f>IF(BU52=0,"",VLOOKUP(BU52,'Tablas psiquica'!$D$7:$R$145,6,FALSE))</f>
        <v/>
      </c>
      <c r="BY54" s="6205"/>
      <c r="BZ54" s="6205"/>
      <c r="CA54" s="5767"/>
      <c r="CB54" s="530"/>
      <c r="CC54" s="524"/>
      <c r="CD54" s="524"/>
      <c r="CE54" s="1450"/>
      <c r="CF54" s="2271">
        <v>20</v>
      </c>
      <c r="CG54" s="6203" t="s">
        <v>2001</v>
      </c>
      <c r="CH54" s="6133"/>
      <c r="CI54" s="6204" t="str">
        <f>IF(CF52=0,"",VLOOKUP(CF52,'Tablas psiquica'!$D$7:$R$145,6,FALSE))</f>
        <v/>
      </c>
      <c r="CJ54" s="6205"/>
      <c r="CK54" s="6205"/>
      <c r="CL54" s="5767"/>
      <c r="CM54" s="865"/>
      <c r="CN54" s="2271">
        <v>20</v>
      </c>
      <c r="CO54" s="6203" t="s">
        <v>2001</v>
      </c>
      <c r="CP54" s="6133"/>
      <c r="CQ54" s="6204" t="str">
        <f>IF(CN52=0,"",VLOOKUP(CN52,'Tablas psiquica'!$D$7:$R$145,6,FALSE))</f>
        <v/>
      </c>
      <c r="CR54" s="6205"/>
      <c r="CS54" s="6205"/>
      <c r="CT54" s="5767"/>
      <c r="CU54" s="1450"/>
      <c r="CV54" s="2271">
        <v>20</v>
      </c>
      <c r="CW54" s="6203" t="s">
        <v>2001</v>
      </c>
      <c r="CX54" s="6133"/>
      <c r="CY54" s="6204" t="str">
        <f>IF(CV52=0,"",VLOOKUP(CV52,'Tablas psiquica'!$D$7:$R$145,6,FALSE))</f>
        <v/>
      </c>
      <c r="CZ54" s="6205"/>
      <c r="DA54" s="6205"/>
      <c r="DB54" s="5767"/>
      <c r="DC54" s="530"/>
      <c r="DD54" s="524"/>
    </row>
    <row r="55" spans="1:108" ht="12" customHeight="1" x14ac:dyDescent="0.2">
      <c r="A55" s="524"/>
      <c r="B55" s="1450"/>
      <c r="C55" s="2270">
        <v>40</v>
      </c>
      <c r="D55" s="6199" t="s">
        <v>2005</v>
      </c>
      <c r="E55" s="6138"/>
      <c r="F55" s="6200" t="str">
        <f>IF(C52=0,"",VLOOKUP(C52,'Tablas psiquica'!$D$7:$R$145,7,FALSE))</f>
        <v/>
      </c>
      <c r="G55" s="6201"/>
      <c r="H55" s="6201"/>
      <c r="I55" s="6202"/>
      <c r="J55" s="865"/>
      <c r="K55" s="2270">
        <v>40</v>
      </c>
      <c r="L55" s="6199" t="s">
        <v>2005</v>
      </c>
      <c r="M55" s="6138"/>
      <c r="N55" s="6200" t="str">
        <f>IF(K52=0,"",VLOOKUP(K52,'Tablas psiquica'!$D$7:$R$145,7,FALSE))</f>
        <v/>
      </c>
      <c r="O55" s="6201"/>
      <c r="P55" s="6201"/>
      <c r="Q55" s="6202"/>
      <c r="R55" s="1450"/>
      <c r="S55" s="2270">
        <v>40</v>
      </c>
      <c r="T55" s="6199" t="s">
        <v>2005</v>
      </c>
      <c r="U55" s="6138"/>
      <c r="V55" s="6200" t="str">
        <f>IF(S52=0,"",VLOOKUP(S52,'Tablas psiquica'!$D$7:$R$145,7,FALSE))</f>
        <v/>
      </c>
      <c r="W55" s="6201"/>
      <c r="X55" s="6201"/>
      <c r="Y55" s="6202"/>
      <c r="Z55" s="530"/>
      <c r="AA55" s="524"/>
      <c r="AB55" s="524"/>
      <c r="AC55" s="1450"/>
      <c r="AD55" s="2270">
        <v>40</v>
      </c>
      <c r="AE55" s="6199" t="s">
        <v>2005</v>
      </c>
      <c r="AF55" s="6138"/>
      <c r="AG55" s="6200" t="str">
        <f>IF(AD52=0,"",VLOOKUP(AD52,'Tablas psiquica'!$D$7:$R$145,7,FALSE))</f>
        <v/>
      </c>
      <c r="AH55" s="6201"/>
      <c r="AI55" s="6201"/>
      <c r="AJ55" s="6202"/>
      <c r="AK55" s="865"/>
      <c r="AL55" s="2270">
        <v>40</v>
      </c>
      <c r="AM55" s="6199" t="s">
        <v>2005</v>
      </c>
      <c r="AN55" s="6138"/>
      <c r="AO55" s="6200" t="str">
        <f>IF(AL52=0,"",VLOOKUP(AL52,'Tablas psiquica'!$D$7:$R$145,7,FALSE))</f>
        <v/>
      </c>
      <c r="AP55" s="6201"/>
      <c r="AQ55" s="6201"/>
      <c r="AR55" s="6202"/>
      <c r="AS55" s="1450"/>
      <c r="AT55" s="2270">
        <v>40</v>
      </c>
      <c r="AU55" s="6199" t="s">
        <v>2005</v>
      </c>
      <c r="AV55" s="6138"/>
      <c r="AW55" s="6200" t="str">
        <f>IF(AT52=0,"",VLOOKUP(AT52,'Tablas psiquica'!$D$7:$R$145,7,FALSE))</f>
        <v/>
      </c>
      <c r="AX55" s="6201"/>
      <c r="AY55" s="6201"/>
      <c r="AZ55" s="6202"/>
      <c r="BA55" s="530"/>
      <c r="BB55" s="524"/>
      <c r="BC55" s="524"/>
      <c r="BD55" s="1450"/>
      <c r="BE55" s="2270">
        <v>40</v>
      </c>
      <c r="BF55" s="6199" t="s">
        <v>2005</v>
      </c>
      <c r="BG55" s="6138"/>
      <c r="BH55" s="6200" t="str">
        <f>IF(BE52=0,"",VLOOKUP(BE52,'Tablas psiquica'!$D$7:$R$145,7,FALSE))</f>
        <v/>
      </c>
      <c r="BI55" s="6201"/>
      <c r="BJ55" s="6201"/>
      <c r="BK55" s="6202"/>
      <c r="BL55" s="865"/>
      <c r="BM55" s="2270">
        <v>40</v>
      </c>
      <c r="BN55" s="6199" t="s">
        <v>2005</v>
      </c>
      <c r="BO55" s="6138"/>
      <c r="BP55" s="6200" t="str">
        <f>IF(BM52=0,"",VLOOKUP(BM52,'Tablas psiquica'!$D$7:$R$145,7,FALSE))</f>
        <v/>
      </c>
      <c r="BQ55" s="6201"/>
      <c r="BR55" s="6201"/>
      <c r="BS55" s="6202"/>
      <c r="BT55" s="1450"/>
      <c r="BU55" s="2270">
        <v>40</v>
      </c>
      <c r="BV55" s="6199" t="s">
        <v>2005</v>
      </c>
      <c r="BW55" s="6138"/>
      <c r="BX55" s="6200" t="str">
        <f>IF(BU52=0,"",VLOOKUP(BU52,'Tablas psiquica'!$D$7:$R$145,7,FALSE))</f>
        <v/>
      </c>
      <c r="BY55" s="6201"/>
      <c r="BZ55" s="6201"/>
      <c r="CA55" s="6202"/>
      <c r="CB55" s="530"/>
      <c r="CC55" s="524"/>
      <c r="CD55" s="524"/>
      <c r="CE55" s="1450"/>
      <c r="CF55" s="2270">
        <v>40</v>
      </c>
      <c r="CG55" s="6199" t="s">
        <v>2005</v>
      </c>
      <c r="CH55" s="6138"/>
      <c r="CI55" s="6200" t="str">
        <f>IF(CF52=0,"",VLOOKUP(CF52,'Tablas psiquica'!$D$7:$R$145,7,FALSE))</f>
        <v/>
      </c>
      <c r="CJ55" s="6201"/>
      <c r="CK55" s="6201"/>
      <c r="CL55" s="6202"/>
      <c r="CM55" s="865"/>
      <c r="CN55" s="2270">
        <v>40</v>
      </c>
      <c r="CO55" s="6199" t="s">
        <v>2005</v>
      </c>
      <c r="CP55" s="6138"/>
      <c r="CQ55" s="6200" t="str">
        <f>IF(CN52=0,"",VLOOKUP(CN52,'Tablas psiquica'!$D$7:$R$145,7,FALSE))</f>
        <v/>
      </c>
      <c r="CR55" s="6201"/>
      <c r="CS55" s="6201"/>
      <c r="CT55" s="6202"/>
      <c r="CU55" s="1450"/>
      <c r="CV55" s="2270">
        <v>40</v>
      </c>
      <c r="CW55" s="6199" t="s">
        <v>2005</v>
      </c>
      <c r="CX55" s="6138"/>
      <c r="CY55" s="6200" t="str">
        <f>IF(CV52=0,"",VLOOKUP(CV52,'Tablas psiquica'!$D$7:$R$145,7,FALSE))</f>
        <v/>
      </c>
      <c r="CZ55" s="6201"/>
      <c r="DA55" s="6201"/>
      <c r="DB55" s="6202"/>
      <c r="DC55" s="530"/>
      <c r="DD55" s="524"/>
    </row>
    <row r="56" spans="1:108" ht="12" customHeight="1" x14ac:dyDescent="0.2">
      <c r="A56" s="524"/>
      <c r="B56" s="1450"/>
      <c r="C56" s="2271">
        <v>80</v>
      </c>
      <c r="D56" s="6203" t="s">
        <v>2008</v>
      </c>
      <c r="E56" s="6133"/>
      <c r="F56" s="6204" t="str">
        <f>IF(C52=0,"",VLOOKUP(C52,'Tablas psiquica'!$D$7:$R$145,8,FALSE))</f>
        <v/>
      </c>
      <c r="G56" s="6205"/>
      <c r="H56" s="6205"/>
      <c r="I56" s="5767"/>
      <c r="J56" s="865"/>
      <c r="K56" s="2271">
        <v>80</v>
      </c>
      <c r="L56" s="6203" t="s">
        <v>2008</v>
      </c>
      <c r="M56" s="6133"/>
      <c r="N56" s="6204" t="str">
        <f>IF(K52=0,"",VLOOKUP(K52,'Tablas psiquica'!$D$7:$R$145,8,FALSE))</f>
        <v/>
      </c>
      <c r="O56" s="6205"/>
      <c r="P56" s="6205"/>
      <c r="Q56" s="5767"/>
      <c r="R56" s="1450"/>
      <c r="S56" s="2271">
        <v>80</v>
      </c>
      <c r="T56" s="6203" t="s">
        <v>2008</v>
      </c>
      <c r="U56" s="6133"/>
      <c r="V56" s="6204" t="str">
        <f>IF(S52=0,"",VLOOKUP(S52,'Tablas psiquica'!$D$7:$R$145,8,FALSE))</f>
        <v/>
      </c>
      <c r="W56" s="6205"/>
      <c r="X56" s="6205"/>
      <c r="Y56" s="5767"/>
      <c r="Z56" s="530"/>
      <c r="AA56" s="524"/>
      <c r="AB56" s="524"/>
      <c r="AC56" s="1450"/>
      <c r="AD56" s="2271">
        <v>80</v>
      </c>
      <c r="AE56" s="6203" t="s">
        <v>2008</v>
      </c>
      <c r="AF56" s="6133"/>
      <c r="AG56" s="6204" t="str">
        <f>IF(AD52=0,"",VLOOKUP(AD52,'Tablas psiquica'!$D$7:$R$145,8,FALSE))</f>
        <v/>
      </c>
      <c r="AH56" s="6205"/>
      <c r="AI56" s="6205"/>
      <c r="AJ56" s="5767"/>
      <c r="AK56" s="865"/>
      <c r="AL56" s="2271">
        <v>80</v>
      </c>
      <c r="AM56" s="6203" t="s">
        <v>2008</v>
      </c>
      <c r="AN56" s="6133"/>
      <c r="AO56" s="6204" t="str">
        <f>IF(AL52=0,"",VLOOKUP(AL52,'Tablas psiquica'!$D$7:$R$145,8,FALSE))</f>
        <v/>
      </c>
      <c r="AP56" s="6205"/>
      <c r="AQ56" s="6205"/>
      <c r="AR56" s="5767"/>
      <c r="AS56" s="1450"/>
      <c r="AT56" s="2271">
        <v>80</v>
      </c>
      <c r="AU56" s="6203" t="s">
        <v>2008</v>
      </c>
      <c r="AV56" s="6133"/>
      <c r="AW56" s="6204" t="str">
        <f>IF(AT52=0,"",VLOOKUP(AT52,'Tablas psiquica'!$D$7:$R$145,8,FALSE))</f>
        <v/>
      </c>
      <c r="AX56" s="6205"/>
      <c r="AY56" s="6205"/>
      <c r="AZ56" s="5767"/>
      <c r="BA56" s="530"/>
      <c r="BB56" s="524"/>
      <c r="BC56" s="524"/>
      <c r="BD56" s="1450"/>
      <c r="BE56" s="2271">
        <v>80</v>
      </c>
      <c r="BF56" s="6203" t="s">
        <v>2008</v>
      </c>
      <c r="BG56" s="6133"/>
      <c r="BH56" s="6204" t="str">
        <f>IF(BE52=0,"",VLOOKUP(BE52,'Tablas psiquica'!$D$7:$R$145,8,FALSE))</f>
        <v/>
      </c>
      <c r="BI56" s="6205"/>
      <c r="BJ56" s="6205"/>
      <c r="BK56" s="5767"/>
      <c r="BL56" s="865"/>
      <c r="BM56" s="2271">
        <v>80</v>
      </c>
      <c r="BN56" s="6203" t="s">
        <v>2008</v>
      </c>
      <c r="BO56" s="6133"/>
      <c r="BP56" s="6204" t="str">
        <f>IF(BM52=0,"",VLOOKUP(BM52,'Tablas psiquica'!$D$7:$R$145,8,FALSE))</f>
        <v/>
      </c>
      <c r="BQ56" s="6205"/>
      <c r="BR56" s="6205"/>
      <c r="BS56" s="5767"/>
      <c r="BT56" s="1450"/>
      <c r="BU56" s="2271">
        <v>80</v>
      </c>
      <c r="BV56" s="6203" t="s">
        <v>2008</v>
      </c>
      <c r="BW56" s="6133"/>
      <c r="BX56" s="6204" t="str">
        <f>IF(BU52=0,"",VLOOKUP(BU52,'Tablas psiquica'!$D$7:$R$145,8,FALSE))</f>
        <v/>
      </c>
      <c r="BY56" s="6205"/>
      <c r="BZ56" s="6205"/>
      <c r="CA56" s="5767"/>
      <c r="CB56" s="530"/>
      <c r="CC56" s="524"/>
      <c r="CD56" s="524"/>
      <c r="CE56" s="1450"/>
      <c r="CF56" s="2271">
        <v>80</v>
      </c>
      <c r="CG56" s="6203" t="s">
        <v>2008</v>
      </c>
      <c r="CH56" s="6133"/>
      <c r="CI56" s="6204" t="str">
        <f>IF(CF52=0,"",VLOOKUP(CF52,'Tablas psiquica'!$D$7:$R$145,8,FALSE))</f>
        <v/>
      </c>
      <c r="CJ56" s="6205"/>
      <c r="CK56" s="6205"/>
      <c r="CL56" s="5767"/>
      <c r="CM56" s="865"/>
      <c r="CN56" s="2271">
        <v>80</v>
      </c>
      <c r="CO56" s="6203" t="s">
        <v>2008</v>
      </c>
      <c r="CP56" s="6133"/>
      <c r="CQ56" s="6204" t="str">
        <f>IF(CN52=0,"",VLOOKUP(CN52,'Tablas psiquica'!$D$7:$R$145,8,FALSE))</f>
        <v/>
      </c>
      <c r="CR56" s="6205"/>
      <c r="CS56" s="6205"/>
      <c r="CT56" s="5767"/>
      <c r="CU56" s="1450"/>
      <c r="CV56" s="2271">
        <v>80</v>
      </c>
      <c r="CW56" s="6203" t="s">
        <v>2008</v>
      </c>
      <c r="CX56" s="6133"/>
      <c r="CY56" s="6204" t="str">
        <f>IF(CV52=0,"",VLOOKUP(CV52,'Tablas psiquica'!$D$7:$R$145,8,FALSE))</f>
        <v/>
      </c>
      <c r="CZ56" s="6205"/>
      <c r="DA56" s="6205"/>
      <c r="DB56" s="5767"/>
      <c r="DC56" s="530"/>
      <c r="DD56" s="524"/>
    </row>
    <row r="57" spans="1:108" ht="12" customHeight="1" x14ac:dyDescent="0.2">
      <c r="A57" s="524"/>
      <c r="B57" s="1450"/>
      <c r="C57" s="2270">
        <v>120</v>
      </c>
      <c r="D57" s="6199" t="s">
        <v>2012</v>
      </c>
      <c r="E57" s="6138"/>
      <c r="F57" s="6200" t="str">
        <f>IF(C52=0,"",VLOOKUP(C52,'Tablas psiquica'!$D$7:$R$145,9,FALSE))</f>
        <v/>
      </c>
      <c r="G57" s="6201"/>
      <c r="H57" s="6201"/>
      <c r="I57" s="6202"/>
      <c r="J57" s="865"/>
      <c r="K57" s="2270">
        <v>120</v>
      </c>
      <c r="L57" s="6199" t="s">
        <v>2012</v>
      </c>
      <c r="M57" s="6138"/>
      <c r="N57" s="6200" t="str">
        <f>IF(K52=0,"",VLOOKUP(K52,'Tablas psiquica'!$D$7:$R$145,9,FALSE))</f>
        <v/>
      </c>
      <c r="O57" s="6201"/>
      <c r="P57" s="6201"/>
      <c r="Q57" s="6202"/>
      <c r="R57" s="1450"/>
      <c r="S57" s="2270">
        <v>120</v>
      </c>
      <c r="T57" s="6199" t="s">
        <v>2012</v>
      </c>
      <c r="U57" s="6138"/>
      <c r="V57" s="6200" t="str">
        <f>IF(S52=0,"",VLOOKUP(S52,'Tablas psiquica'!$D$7:$R$145,9,FALSE))</f>
        <v/>
      </c>
      <c r="W57" s="6201"/>
      <c r="X57" s="6201"/>
      <c r="Y57" s="6202"/>
      <c r="Z57" s="530"/>
      <c r="AA57" s="524"/>
      <c r="AB57" s="524"/>
      <c r="AC57" s="1450"/>
      <c r="AD57" s="2270">
        <v>120</v>
      </c>
      <c r="AE57" s="6199" t="s">
        <v>2012</v>
      </c>
      <c r="AF57" s="6138"/>
      <c r="AG57" s="6200" t="str">
        <f>IF(AD52=0,"",VLOOKUP(AD52,'Tablas psiquica'!$D$7:$R$145,9,FALSE))</f>
        <v/>
      </c>
      <c r="AH57" s="6201"/>
      <c r="AI57" s="6201"/>
      <c r="AJ57" s="6202"/>
      <c r="AK57" s="865"/>
      <c r="AL57" s="2270">
        <v>120</v>
      </c>
      <c r="AM57" s="6199" t="s">
        <v>2012</v>
      </c>
      <c r="AN57" s="6138"/>
      <c r="AO57" s="6200" t="str">
        <f>IF(AL52=0,"",VLOOKUP(AL52,'Tablas psiquica'!$D$7:$R$145,9,FALSE))</f>
        <v/>
      </c>
      <c r="AP57" s="6201"/>
      <c r="AQ57" s="6201"/>
      <c r="AR57" s="6202"/>
      <c r="AS57" s="1450"/>
      <c r="AT57" s="2270">
        <v>120</v>
      </c>
      <c r="AU57" s="6199" t="s">
        <v>2012</v>
      </c>
      <c r="AV57" s="6138"/>
      <c r="AW57" s="6200" t="str">
        <f>IF(AT52=0,"",VLOOKUP(AT52,'Tablas psiquica'!$D$7:$R$145,9,FALSE))</f>
        <v/>
      </c>
      <c r="AX57" s="6201"/>
      <c r="AY57" s="6201"/>
      <c r="AZ57" s="6202"/>
      <c r="BA57" s="530"/>
      <c r="BB57" s="524"/>
      <c r="BC57" s="524"/>
      <c r="BD57" s="1450"/>
      <c r="BE57" s="2270">
        <v>120</v>
      </c>
      <c r="BF57" s="6199" t="s">
        <v>2012</v>
      </c>
      <c r="BG57" s="6138"/>
      <c r="BH57" s="6200" t="str">
        <f>IF(BE52=0,"",VLOOKUP(BE52,'Tablas psiquica'!$D$7:$R$145,9,FALSE))</f>
        <v/>
      </c>
      <c r="BI57" s="6201"/>
      <c r="BJ57" s="6201"/>
      <c r="BK57" s="6202"/>
      <c r="BL57" s="865"/>
      <c r="BM57" s="2270">
        <v>120</v>
      </c>
      <c r="BN57" s="6199" t="s">
        <v>2012</v>
      </c>
      <c r="BO57" s="6138"/>
      <c r="BP57" s="6200" t="str">
        <f>IF(BM52=0,"",VLOOKUP(BM52,'Tablas psiquica'!$D$7:$R$145,9,FALSE))</f>
        <v/>
      </c>
      <c r="BQ57" s="6201"/>
      <c r="BR57" s="6201"/>
      <c r="BS57" s="6202"/>
      <c r="BT57" s="1450"/>
      <c r="BU57" s="2270">
        <v>120</v>
      </c>
      <c r="BV57" s="6199" t="s">
        <v>2012</v>
      </c>
      <c r="BW57" s="6138"/>
      <c r="BX57" s="6200" t="str">
        <f>IF(BU52=0,"",VLOOKUP(BU52,'Tablas psiquica'!$D$7:$R$145,9,FALSE))</f>
        <v/>
      </c>
      <c r="BY57" s="6201"/>
      <c r="BZ57" s="6201"/>
      <c r="CA57" s="6202"/>
      <c r="CB57" s="530"/>
      <c r="CC57" s="524"/>
      <c r="CD57" s="524"/>
      <c r="CE57" s="1450"/>
      <c r="CF57" s="2270">
        <v>120</v>
      </c>
      <c r="CG57" s="6199" t="s">
        <v>2012</v>
      </c>
      <c r="CH57" s="6138"/>
      <c r="CI57" s="6200" t="str">
        <f>IF(CF52=0,"",VLOOKUP(CF52,'Tablas psiquica'!$D$7:$R$145,9,FALSE))</f>
        <v/>
      </c>
      <c r="CJ57" s="6201"/>
      <c r="CK57" s="6201"/>
      <c r="CL57" s="6202"/>
      <c r="CM57" s="865"/>
      <c r="CN57" s="2270">
        <v>120</v>
      </c>
      <c r="CO57" s="6199" t="s">
        <v>2012</v>
      </c>
      <c r="CP57" s="6138"/>
      <c r="CQ57" s="6200" t="str">
        <f>IF(CN52=0,"",VLOOKUP(CN52,'Tablas psiquica'!$D$7:$R$145,9,FALSE))</f>
        <v/>
      </c>
      <c r="CR57" s="6201"/>
      <c r="CS57" s="6201"/>
      <c r="CT57" s="6202"/>
      <c r="CU57" s="1450"/>
      <c r="CV57" s="2270">
        <v>120</v>
      </c>
      <c r="CW57" s="6199" t="s">
        <v>2012</v>
      </c>
      <c r="CX57" s="6138"/>
      <c r="CY57" s="6200" t="str">
        <f>IF(CV52=0,"",VLOOKUP(CV52,'Tablas psiquica'!$D$7:$R$145,9,FALSE))</f>
        <v/>
      </c>
      <c r="CZ57" s="6201"/>
      <c r="DA57" s="6201"/>
      <c r="DB57" s="6202"/>
      <c r="DC57" s="530"/>
      <c r="DD57" s="524"/>
    </row>
    <row r="58" spans="1:108" ht="12" customHeight="1" x14ac:dyDescent="0.2">
      <c r="A58" s="524"/>
      <c r="B58" s="1450"/>
      <c r="C58" s="2271">
        <v>140</v>
      </c>
      <c r="D58" s="6203" t="s">
        <v>6894</v>
      </c>
      <c r="E58" s="6133"/>
      <c r="F58" s="6204" t="str">
        <f>IF(C52=0,"",VLOOKUP(C52,'Tablas psiquica'!$D$7:$R$145,10,FALSE))</f>
        <v/>
      </c>
      <c r="G58" s="6205"/>
      <c r="H58" s="6205"/>
      <c r="I58" s="5767"/>
      <c r="J58" s="865"/>
      <c r="K58" s="2271">
        <v>140</v>
      </c>
      <c r="L58" s="6203" t="s">
        <v>6894</v>
      </c>
      <c r="M58" s="6133"/>
      <c r="N58" s="6204" t="str">
        <f>IF(K52=0,"",VLOOKUP(K52,'Tablas psiquica'!$D$7:$R$145,10,FALSE))</f>
        <v/>
      </c>
      <c r="O58" s="6205"/>
      <c r="P58" s="6205"/>
      <c r="Q58" s="5767"/>
      <c r="R58" s="1450"/>
      <c r="S58" s="2271">
        <v>140</v>
      </c>
      <c r="T58" s="6203" t="s">
        <v>6894</v>
      </c>
      <c r="U58" s="6133"/>
      <c r="V58" s="6204" t="str">
        <f>IF(S52=0,"",VLOOKUP(S52,'Tablas psiquica'!$D$7:$R$145,10,FALSE))</f>
        <v/>
      </c>
      <c r="W58" s="6205"/>
      <c r="X58" s="6205"/>
      <c r="Y58" s="5767"/>
      <c r="Z58" s="530"/>
      <c r="AA58" s="524"/>
      <c r="AB58" s="524"/>
      <c r="AC58" s="1450"/>
      <c r="AD58" s="2271">
        <v>140</v>
      </c>
      <c r="AE58" s="6203" t="s">
        <v>6894</v>
      </c>
      <c r="AF58" s="6133"/>
      <c r="AG58" s="6204" t="str">
        <f>IF(AD52=0,"",VLOOKUP(AD52,'Tablas psiquica'!$D$7:$R$145,10,FALSE))</f>
        <v/>
      </c>
      <c r="AH58" s="6205"/>
      <c r="AI58" s="6205"/>
      <c r="AJ58" s="5767"/>
      <c r="AK58" s="865"/>
      <c r="AL58" s="2271">
        <v>140</v>
      </c>
      <c r="AM58" s="6203" t="s">
        <v>6894</v>
      </c>
      <c r="AN58" s="6133"/>
      <c r="AO58" s="6204" t="str">
        <f>IF(AL52=0,"",VLOOKUP(AL52,'Tablas psiquica'!$D$7:$R$145,10,FALSE))</f>
        <v/>
      </c>
      <c r="AP58" s="6205"/>
      <c r="AQ58" s="6205"/>
      <c r="AR58" s="5767"/>
      <c r="AS58" s="1450"/>
      <c r="AT58" s="2271">
        <v>140</v>
      </c>
      <c r="AU58" s="6203" t="s">
        <v>6894</v>
      </c>
      <c r="AV58" s="6133"/>
      <c r="AW58" s="6204" t="str">
        <f>IF(AT52=0,"",VLOOKUP(AT52,'Tablas psiquica'!$D$7:$R$145,10,FALSE))</f>
        <v/>
      </c>
      <c r="AX58" s="6205"/>
      <c r="AY58" s="6205"/>
      <c r="AZ58" s="5767"/>
      <c r="BA58" s="530"/>
      <c r="BB58" s="524"/>
      <c r="BC58" s="524"/>
      <c r="BD58" s="1450"/>
      <c r="BE58" s="2271">
        <v>140</v>
      </c>
      <c r="BF58" s="6203" t="s">
        <v>6894</v>
      </c>
      <c r="BG58" s="6133"/>
      <c r="BH58" s="6204" t="str">
        <f>IF(BE52=0,"",VLOOKUP(BE52,'Tablas psiquica'!$D$7:$R$145,10,FALSE))</f>
        <v/>
      </c>
      <c r="BI58" s="6205"/>
      <c r="BJ58" s="6205"/>
      <c r="BK58" s="5767"/>
      <c r="BL58" s="865"/>
      <c r="BM58" s="2271">
        <v>140</v>
      </c>
      <c r="BN58" s="6203" t="s">
        <v>6894</v>
      </c>
      <c r="BO58" s="6133"/>
      <c r="BP58" s="6204" t="str">
        <f>IF(BM52=0,"",VLOOKUP(BM52,'Tablas psiquica'!$D$7:$R$145,10,FALSE))</f>
        <v/>
      </c>
      <c r="BQ58" s="6205"/>
      <c r="BR58" s="6205"/>
      <c r="BS58" s="5767"/>
      <c r="BT58" s="1450"/>
      <c r="BU58" s="2271">
        <v>140</v>
      </c>
      <c r="BV58" s="6203" t="s">
        <v>6894</v>
      </c>
      <c r="BW58" s="6133"/>
      <c r="BX58" s="6204" t="str">
        <f>IF(BU52=0,"",VLOOKUP(BU52,'Tablas psiquica'!$D$7:$R$145,10,FALSE))</f>
        <v/>
      </c>
      <c r="BY58" s="6205"/>
      <c r="BZ58" s="6205"/>
      <c r="CA58" s="5767"/>
      <c r="CB58" s="530"/>
      <c r="CC58" s="524"/>
      <c r="CD58" s="524"/>
      <c r="CE58" s="1450"/>
      <c r="CF58" s="2271">
        <v>140</v>
      </c>
      <c r="CG58" s="6203" t="s">
        <v>6894</v>
      </c>
      <c r="CH58" s="6133"/>
      <c r="CI58" s="6204" t="str">
        <f>IF(CF52=0,"",VLOOKUP(CF52,'Tablas psiquica'!$D$7:$R$145,10,FALSE))</f>
        <v/>
      </c>
      <c r="CJ58" s="6205"/>
      <c r="CK58" s="6205"/>
      <c r="CL58" s="5767"/>
      <c r="CM58" s="865"/>
      <c r="CN58" s="2271">
        <v>140</v>
      </c>
      <c r="CO58" s="6203" t="s">
        <v>6894</v>
      </c>
      <c r="CP58" s="6133"/>
      <c r="CQ58" s="6204" t="str">
        <f>IF(CN52=0,"",VLOOKUP(CN52,'Tablas psiquica'!$D$7:$R$145,10,FALSE))</f>
        <v/>
      </c>
      <c r="CR58" s="6205"/>
      <c r="CS58" s="6205"/>
      <c r="CT58" s="5767"/>
      <c r="CU58" s="1450"/>
      <c r="CV58" s="2271">
        <v>140</v>
      </c>
      <c r="CW58" s="6203" t="s">
        <v>6894</v>
      </c>
      <c r="CX58" s="6133"/>
      <c r="CY58" s="6204" t="str">
        <f>IF(CV52=0,"",VLOOKUP(CV52,'Tablas psiquica'!$D$7:$R$145,10,FALSE))</f>
        <v/>
      </c>
      <c r="CZ58" s="6205"/>
      <c r="DA58" s="6205"/>
      <c r="DB58" s="5767"/>
      <c r="DC58" s="530"/>
      <c r="DD58" s="524"/>
    </row>
    <row r="59" spans="1:108" ht="12" customHeight="1" x14ac:dyDescent="0.2">
      <c r="A59" s="524"/>
      <c r="B59" s="1450"/>
      <c r="C59" s="2270">
        <v>180</v>
      </c>
      <c r="D59" s="6199" t="s">
        <v>2017</v>
      </c>
      <c r="E59" s="6138"/>
      <c r="F59" s="6200" t="str">
        <f>IF(C52=0,"",VLOOKUP(C52,'Tablas psiquica'!$D$7:$R$145,11,FALSE))</f>
        <v/>
      </c>
      <c r="G59" s="6201"/>
      <c r="H59" s="6201"/>
      <c r="I59" s="6202"/>
      <c r="J59" s="865"/>
      <c r="K59" s="2270">
        <v>180</v>
      </c>
      <c r="L59" s="6199" t="s">
        <v>2017</v>
      </c>
      <c r="M59" s="6138"/>
      <c r="N59" s="6200" t="str">
        <f>IF(K52=0,"",VLOOKUP(K52,'Tablas psiquica'!$D$7:$R$145,11,FALSE))</f>
        <v/>
      </c>
      <c r="O59" s="6201"/>
      <c r="P59" s="6201"/>
      <c r="Q59" s="6202"/>
      <c r="R59" s="1450"/>
      <c r="S59" s="2270">
        <v>180</v>
      </c>
      <c r="T59" s="6199" t="s">
        <v>2017</v>
      </c>
      <c r="U59" s="6138"/>
      <c r="V59" s="6200" t="str">
        <f>IF(S52=0,"",VLOOKUP(S52,'Tablas psiquica'!$D$7:$R$145,11,FALSE))</f>
        <v/>
      </c>
      <c r="W59" s="6201"/>
      <c r="X59" s="6201"/>
      <c r="Y59" s="6202"/>
      <c r="Z59" s="530"/>
      <c r="AA59" s="524"/>
      <c r="AB59" s="524"/>
      <c r="AC59" s="1450"/>
      <c r="AD59" s="2270">
        <v>180</v>
      </c>
      <c r="AE59" s="6199" t="s">
        <v>2017</v>
      </c>
      <c r="AF59" s="6138"/>
      <c r="AG59" s="6200" t="str">
        <f>IF(AD52=0,"",VLOOKUP(AD52,'Tablas psiquica'!$D$7:$R$145,11,FALSE))</f>
        <v/>
      </c>
      <c r="AH59" s="6201"/>
      <c r="AI59" s="6201"/>
      <c r="AJ59" s="6202"/>
      <c r="AK59" s="865"/>
      <c r="AL59" s="2270">
        <v>180</v>
      </c>
      <c r="AM59" s="6199" t="s">
        <v>2017</v>
      </c>
      <c r="AN59" s="6138"/>
      <c r="AO59" s="6200" t="str">
        <f>IF(AL52=0,"",VLOOKUP(AL52,'Tablas psiquica'!$D$7:$R$145,11,FALSE))</f>
        <v/>
      </c>
      <c r="AP59" s="6201"/>
      <c r="AQ59" s="6201"/>
      <c r="AR59" s="6202"/>
      <c r="AS59" s="1450"/>
      <c r="AT59" s="2270">
        <v>180</v>
      </c>
      <c r="AU59" s="6199" t="s">
        <v>2017</v>
      </c>
      <c r="AV59" s="6138"/>
      <c r="AW59" s="6200" t="str">
        <f>IF(AT52=0,"",VLOOKUP(AT52,'Tablas psiquica'!$D$7:$R$145,11,FALSE))</f>
        <v/>
      </c>
      <c r="AX59" s="6201"/>
      <c r="AY59" s="6201"/>
      <c r="AZ59" s="6202"/>
      <c r="BA59" s="530"/>
      <c r="BB59" s="524"/>
      <c r="BC59" s="524"/>
      <c r="BD59" s="1450"/>
      <c r="BE59" s="2270">
        <v>180</v>
      </c>
      <c r="BF59" s="6199" t="s">
        <v>2017</v>
      </c>
      <c r="BG59" s="6138"/>
      <c r="BH59" s="6200" t="str">
        <f>IF(BE52=0,"",VLOOKUP(BE52,'Tablas psiquica'!$D$7:$R$145,11,FALSE))</f>
        <v/>
      </c>
      <c r="BI59" s="6201"/>
      <c r="BJ59" s="6201"/>
      <c r="BK59" s="6202"/>
      <c r="BL59" s="865"/>
      <c r="BM59" s="2270">
        <v>180</v>
      </c>
      <c r="BN59" s="6199" t="s">
        <v>2017</v>
      </c>
      <c r="BO59" s="6138"/>
      <c r="BP59" s="6200" t="str">
        <f>IF(BM52=0,"",VLOOKUP(BM52,'Tablas psiquica'!$D$7:$R$145,11,FALSE))</f>
        <v/>
      </c>
      <c r="BQ59" s="6201"/>
      <c r="BR59" s="6201"/>
      <c r="BS59" s="6202"/>
      <c r="BT59" s="1450"/>
      <c r="BU59" s="2270">
        <v>180</v>
      </c>
      <c r="BV59" s="6199" t="s">
        <v>2017</v>
      </c>
      <c r="BW59" s="6138"/>
      <c r="BX59" s="6200" t="str">
        <f>IF(BU52=0,"",VLOOKUP(BU52,'Tablas psiquica'!$D$7:$R$145,11,FALSE))</f>
        <v/>
      </c>
      <c r="BY59" s="6201"/>
      <c r="BZ59" s="6201"/>
      <c r="CA59" s="6202"/>
      <c r="CB59" s="530"/>
      <c r="CC59" s="524"/>
      <c r="CD59" s="524"/>
      <c r="CE59" s="1450"/>
      <c r="CF59" s="2270">
        <v>180</v>
      </c>
      <c r="CG59" s="6199" t="s">
        <v>2017</v>
      </c>
      <c r="CH59" s="6138"/>
      <c r="CI59" s="6200" t="str">
        <f>IF(CF52=0,"",VLOOKUP(CF52,'Tablas psiquica'!$D$7:$R$145,11,FALSE))</f>
        <v/>
      </c>
      <c r="CJ59" s="6201"/>
      <c r="CK59" s="6201"/>
      <c r="CL59" s="6202"/>
      <c r="CM59" s="865"/>
      <c r="CN59" s="2270">
        <v>180</v>
      </c>
      <c r="CO59" s="6199" t="s">
        <v>2017</v>
      </c>
      <c r="CP59" s="6138"/>
      <c r="CQ59" s="6200" t="str">
        <f>IF(CN52=0,"",VLOOKUP(CN52,'Tablas psiquica'!$D$7:$R$145,11,FALSE))</f>
        <v/>
      </c>
      <c r="CR59" s="6201"/>
      <c r="CS59" s="6201"/>
      <c r="CT59" s="6202"/>
      <c r="CU59" s="1450"/>
      <c r="CV59" s="2270">
        <v>180</v>
      </c>
      <c r="CW59" s="6199" t="s">
        <v>2017</v>
      </c>
      <c r="CX59" s="6138"/>
      <c r="CY59" s="6200" t="str">
        <f>IF(CV52=0,"",VLOOKUP(CV52,'Tablas psiquica'!$D$7:$R$145,11,FALSE))</f>
        <v/>
      </c>
      <c r="CZ59" s="6201"/>
      <c r="DA59" s="6201"/>
      <c r="DB59" s="6202"/>
      <c r="DC59" s="530"/>
      <c r="DD59" s="524"/>
    </row>
    <row r="60" spans="1:108" ht="12" customHeight="1" x14ac:dyDescent="0.2">
      <c r="A60" s="524"/>
      <c r="B60" s="1450"/>
      <c r="C60" s="2271">
        <v>240</v>
      </c>
      <c r="D60" s="6203" t="s">
        <v>6895</v>
      </c>
      <c r="E60" s="6133"/>
      <c r="F60" s="6204" t="str">
        <f>IF(C52=0,"",VLOOKUP(C52,'Tablas psiquica'!$D$7:$R$145,12,FALSE))</f>
        <v/>
      </c>
      <c r="G60" s="6205"/>
      <c r="H60" s="6205"/>
      <c r="I60" s="5767"/>
      <c r="J60" s="865"/>
      <c r="K60" s="2271">
        <v>240</v>
      </c>
      <c r="L60" s="6203" t="s">
        <v>6895</v>
      </c>
      <c r="M60" s="6133"/>
      <c r="N60" s="6204" t="str">
        <f>IF(K52=0,"",VLOOKUP(K52,'Tablas psiquica'!$D$7:$R$145,12,FALSE))</f>
        <v/>
      </c>
      <c r="O60" s="6205"/>
      <c r="P60" s="6205"/>
      <c r="Q60" s="5767"/>
      <c r="R60" s="1450"/>
      <c r="S60" s="2271">
        <v>240</v>
      </c>
      <c r="T60" s="6203" t="s">
        <v>6895</v>
      </c>
      <c r="U60" s="6133"/>
      <c r="V60" s="6204" t="str">
        <f>IF(S52=0,"",VLOOKUP(S52,'Tablas psiquica'!$D$7:$R$145,12,FALSE))</f>
        <v/>
      </c>
      <c r="W60" s="6205"/>
      <c r="X60" s="6205"/>
      <c r="Y60" s="5767"/>
      <c r="Z60" s="530"/>
      <c r="AA60" s="524"/>
      <c r="AB60" s="524"/>
      <c r="AC60" s="1450"/>
      <c r="AD60" s="2271">
        <v>240</v>
      </c>
      <c r="AE60" s="6203" t="s">
        <v>6895</v>
      </c>
      <c r="AF60" s="6133"/>
      <c r="AG60" s="6204" t="str">
        <f>IF(AD52=0,"",VLOOKUP(AD52,'Tablas psiquica'!$D$7:$R$145,12,FALSE))</f>
        <v/>
      </c>
      <c r="AH60" s="6205"/>
      <c r="AI60" s="6205"/>
      <c r="AJ60" s="5767"/>
      <c r="AK60" s="865"/>
      <c r="AL60" s="2271">
        <v>240</v>
      </c>
      <c r="AM60" s="6203" t="s">
        <v>6895</v>
      </c>
      <c r="AN60" s="6133"/>
      <c r="AO60" s="6204" t="str">
        <f>IF(AL52=0,"",VLOOKUP(AL52,'Tablas psiquica'!$D$7:$R$145,12,FALSE))</f>
        <v/>
      </c>
      <c r="AP60" s="6205"/>
      <c r="AQ60" s="6205"/>
      <c r="AR60" s="5767"/>
      <c r="AS60" s="1450"/>
      <c r="AT60" s="2271">
        <v>240</v>
      </c>
      <c r="AU60" s="6203" t="s">
        <v>6895</v>
      </c>
      <c r="AV60" s="6133"/>
      <c r="AW60" s="6204" t="str">
        <f>IF(AT52=0,"",VLOOKUP(AT52,'Tablas psiquica'!$D$7:$R$145,12,FALSE))</f>
        <v/>
      </c>
      <c r="AX60" s="6205"/>
      <c r="AY60" s="6205"/>
      <c r="AZ60" s="5767"/>
      <c r="BA60" s="530"/>
      <c r="BB60" s="524"/>
      <c r="BC60" s="524"/>
      <c r="BD60" s="1450"/>
      <c r="BE60" s="2271">
        <v>240</v>
      </c>
      <c r="BF60" s="6203" t="s">
        <v>6895</v>
      </c>
      <c r="BG60" s="6133"/>
      <c r="BH60" s="6204" t="str">
        <f>IF(BE52=0,"",VLOOKUP(BE52,'Tablas psiquica'!$D$7:$R$145,12,FALSE))</f>
        <v/>
      </c>
      <c r="BI60" s="6205"/>
      <c r="BJ60" s="6205"/>
      <c r="BK60" s="5767"/>
      <c r="BL60" s="865"/>
      <c r="BM60" s="2271">
        <v>240</v>
      </c>
      <c r="BN60" s="6203" t="s">
        <v>6895</v>
      </c>
      <c r="BO60" s="6133"/>
      <c r="BP60" s="6204" t="str">
        <f>IF(BM52=0,"",VLOOKUP(BM52,'Tablas psiquica'!$D$7:$R$145,12,FALSE))</f>
        <v/>
      </c>
      <c r="BQ60" s="6205"/>
      <c r="BR60" s="6205"/>
      <c r="BS60" s="5767"/>
      <c r="BT60" s="1450"/>
      <c r="BU60" s="2271">
        <v>240</v>
      </c>
      <c r="BV60" s="6203" t="s">
        <v>6895</v>
      </c>
      <c r="BW60" s="6133"/>
      <c r="BX60" s="6204" t="str">
        <f>IF(BU52=0,"",VLOOKUP(BU52,'Tablas psiquica'!$D$7:$R$145,12,FALSE))</f>
        <v/>
      </c>
      <c r="BY60" s="6205"/>
      <c r="BZ60" s="6205"/>
      <c r="CA60" s="5767"/>
      <c r="CB60" s="530"/>
      <c r="CC60" s="524"/>
      <c r="CD60" s="524"/>
      <c r="CE60" s="1450"/>
      <c r="CF60" s="2271">
        <v>240</v>
      </c>
      <c r="CG60" s="6203" t="s">
        <v>6895</v>
      </c>
      <c r="CH60" s="6133"/>
      <c r="CI60" s="6204" t="str">
        <f>IF(CF52=0,"",VLOOKUP(CF52,'Tablas psiquica'!$D$7:$R$145,12,FALSE))</f>
        <v/>
      </c>
      <c r="CJ60" s="6205"/>
      <c r="CK60" s="6205"/>
      <c r="CL60" s="5767"/>
      <c r="CM60" s="865"/>
      <c r="CN60" s="2271">
        <v>240</v>
      </c>
      <c r="CO60" s="6203" t="s">
        <v>6895</v>
      </c>
      <c r="CP60" s="6133"/>
      <c r="CQ60" s="6204" t="str">
        <f>IF(CN52=0,"",VLOOKUP(CN52,'Tablas psiquica'!$D$7:$R$145,12,FALSE))</f>
        <v/>
      </c>
      <c r="CR60" s="6205"/>
      <c r="CS60" s="6205"/>
      <c r="CT60" s="5767"/>
      <c r="CU60" s="1450"/>
      <c r="CV60" s="2271">
        <v>240</v>
      </c>
      <c r="CW60" s="6203" t="s">
        <v>6895</v>
      </c>
      <c r="CX60" s="6133"/>
      <c r="CY60" s="6204" t="str">
        <f>IF(CV52=0,"",VLOOKUP(CV52,'Tablas psiquica'!$D$7:$R$145,12,FALSE))</f>
        <v/>
      </c>
      <c r="CZ60" s="6205"/>
      <c r="DA60" s="6205"/>
      <c r="DB60" s="5767"/>
      <c r="DC60" s="530"/>
      <c r="DD60" s="524"/>
    </row>
    <row r="61" spans="1:108" ht="12" customHeight="1" x14ac:dyDescent="0.2">
      <c r="A61" s="524"/>
      <c r="B61" s="1450"/>
      <c r="C61" s="2270">
        <v>280</v>
      </c>
      <c r="D61" s="6199" t="s">
        <v>2022</v>
      </c>
      <c r="E61" s="6138"/>
      <c r="F61" s="6200" t="str">
        <f>IF(C52=0,"",VLOOKUP(C52,'Tablas psiquica'!$D$7:$R$145,13,FALSE))</f>
        <v/>
      </c>
      <c r="G61" s="6201"/>
      <c r="H61" s="6201"/>
      <c r="I61" s="6202"/>
      <c r="J61" s="865"/>
      <c r="K61" s="2270">
        <v>280</v>
      </c>
      <c r="L61" s="6199" t="s">
        <v>2022</v>
      </c>
      <c r="M61" s="6138"/>
      <c r="N61" s="6200" t="str">
        <f>IF(K52=0,"",VLOOKUP(K52,'Tablas psiquica'!$D$7:$R$145,13,FALSE))</f>
        <v/>
      </c>
      <c r="O61" s="6201"/>
      <c r="P61" s="6201"/>
      <c r="Q61" s="6202"/>
      <c r="R61" s="1450"/>
      <c r="S61" s="2270">
        <v>280</v>
      </c>
      <c r="T61" s="6199" t="s">
        <v>2022</v>
      </c>
      <c r="U61" s="6138"/>
      <c r="V61" s="6200" t="str">
        <f>IF(S52=0,"",VLOOKUP(S52,'Tablas psiquica'!$D$7:$R$145,13,FALSE))</f>
        <v/>
      </c>
      <c r="W61" s="6201"/>
      <c r="X61" s="6201"/>
      <c r="Y61" s="6202"/>
      <c r="Z61" s="530"/>
      <c r="AA61" s="524"/>
      <c r="AB61" s="524"/>
      <c r="AC61" s="1450"/>
      <c r="AD61" s="2270">
        <v>280</v>
      </c>
      <c r="AE61" s="6199" t="s">
        <v>2022</v>
      </c>
      <c r="AF61" s="6138"/>
      <c r="AG61" s="6200" t="str">
        <f>IF(AD52=0,"",VLOOKUP(AD52,'Tablas psiquica'!$D$7:$R$145,13,FALSE))</f>
        <v/>
      </c>
      <c r="AH61" s="6201"/>
      <c r="AI61" s="6201"/>
      <c r="AJ61" s="6202"/>
      <c r="AK61" s="865"/>
      <c r="AL61" s="2270">
        <v>280</v>
      </c>
      <c r="AM61" s="6199" t="s">
        <v>2022</v>
      </c>
      <c r="AN61" s="6138"/>
      <c r="AO61" s="6200" t="str">
        <f>IF(AL52=0,"",VLOOKUP(AL52,'Tablas psiquica'!$D$7:$R$145,13,FALSE))</f>
        <v/>
      </c>
      <c r="AP61" s="6201"/>
      <c r="AQ61" s="6201"/>
      <c r="AR61" s="6202"/>
      <c r="AS61" s="1450"/>
      <c r="AT61" s="2270">
        <v>280</v>
      </c>
      <c r="AU61" s="6199" t="s">
        <v>2022</v>
      </c>
      <c r="AV61" s="6138"/>
      <c r="AW61" s="6200" t="str">
        <f>IF(AT52=0,"",VLOOKUP(AT52,'Tablas psiquica'!$D$7:$R$145,13,FALSE))</f>
        <v/>
      </c>
      <c r="AX61" s="6201"/>
      <c r="AY61" s="6201"/>
      <c r="AZ61" s="6202"/>
      <c r="BA61" s="530"/>
      <c r="BB61" s="524"/>
      <c r="BC61" s="524"/>
      <c r="BD61" s="1450"/>
      <c r="BE61" s="2270">
        <v>280</v>
      </c>
      <c r="BF61" s="6199" t="s">
        <v>2022</v>
      </c>
      <c r="BG61" s="6138"/>
      <c r="BH61" s="6200" t="str">
        <f>IF(BE52=0,"",VLOOKUP(BE52,'Tablas psiquica'!$D$7:$R$145,13,FALSE))</f>
        <v/>
      </c>
      <c r="BI61" s="6201"/>
      <c r="BJ61" s="6201"/>
      <c r="BK61" s="6202"/>
      <c r="BL61" s="865"/>
      <c r="BM61" s="2270">
        <v>280</v>
      </c>
      <c r="BN61" s="6199" t="s">
        <v>2022</v>
      </c>
      <c r="BO61" s="6138"/>
      <c r="BP61" s="6200" t="str">
        <f>IF(BM52=0,"",VLOOKUP(BM52,'Tablas psiquica'!$D$7:$R$145,13,FALSE))</f>
        <v/>
      </c>
      <c r="BQ61" s="6201"/>
      <c r="BR61" s="6201"/>
      <c r="BS61" s="6202"/>
      <c r="BT61" s="1450"/>
      <c r="BU61" s="2270">
        <v>280</v>
      </c>
      <c r="BV61" s="6199" t="s">
        <v>2022</v>
      </c>
      <c r="BW61" s="6138"/>
      <c r="BX61" s="6200" t="str">
        <f>IF(BU52=0,"",VLOOKUP(BU52,'Tablas psiquica'!$D$7:$R$145,13,FALSE))</f>
        <v/>
      </c>
      <c r="BY61" s="6201"/>
      <c r="BZ61" s="6201"/>
      <c r="CA61" s="6202"/>
      <c r="CB61" s="530"/>
      <c r="CC61" s="524"/>
      <c r="CD61" s="524"/>
      <c r="CE61" s="1450"/>
      <c r="CF61" s="2270">
        <v>280</v>
      </c>
      <c r="CG61" s="6199" t="s">
        <v>2022</v>
      </c>
      <c r="CH61" s="6138"/>
      <c r="CI61" s="6200" t="str">
        <f>IF(CF52=0,"",VLOOKUP(CF52,'Tablas psiquica'!$D$7:$R$145,13,FALSE))</f>
        <v/>
      </c>
      <c r="CJ61" s="6201"/>
      <c r="CK61" s="6201"/>
      <c r="CL61" s="6202"/>
      <c r="CM61" s="865"/>
      <c r="CN61" s="2270">
        <v>280</v>
      </c>
      <c r="CO61" s="6199" t="s">
        <v>2022</v>
      </c>
      <c r="CP61" s="6138"/>
      <c r="CQ61" s="6200" t="str">
        <f>IF(CN52=0,"",VLOOKUP(CN52,'Tablas psiquica'!$D$7:$R$145,13,FALSE))</f>
        <v/>
      </c>
      <c r="CR61" s="6201"/>
      <c r="CS61" s="6201"/>
      <c r="CT61" s="6202"/>
      <c r="CU61" s="1450"/>
      <c r="CV61" s="2270">
        <v>280</v>
      </c>
      <c r="CW61" s="6199" t="s">
        <v>2022</v>
      </c>
      <c r="CX61" s="6138"/>
      <c r="CY61" s="6200" t="str">
        <f>IF(CV52=0,"",VLOOKUP(CV52,'Tablas psiquica'!$D$7:$R$145,13,FALSE))</f>
        <v/>
      </c>
      <c r="CZ61" s="6201"/>
      <c r="DA61" s="6201"/>
      <c r="DB61" s="6202"/>
      <c r="DC61" s="530"/>
      <c r="DD61" s="524"/>
    </row>
    <row r="62" spans="1:108" ht="12" customHeight="1" x14ac:dyDescent="0.2">
      <c r="A62" s="524"/>
      <c r="B62" s="1450"/>
      <c r="C62" s="2271">
        <v>320</v>
      </c>
      <c r="D62" s="6203" t="s">
        <v>2024</v>
      </c>
      <c r="E62" s="6133"/>
      <c r="F62" s="6204" t="str">
        <f>IF(C52=0,"",VLOOKUP(C52,'Tablas psiquica'!$D$7:$R$145,14,FALSE))</f>
        <v/>
      </c>
      <c r="G62" s="6205"/>
      <c r="H62" s="6205"/>
      <c r="I62" s="5767"/>
      <c r="J62" s="865"/>
      <c r="K62" s="2271">
        <v>320</v>
      </c>
      <c r="L62" s="6203" t="s">
        <v>2024</v>
      </c>
      <c r="M62" s="6133"/>
      <c r="N62" s="6204" t="str">
        <f>IF(K52=0,"",VLOOKUP(K52,'Tablas psiquica'!$D$7:$R$145,14,FALSE))</f>
        <v/>
      </c>
      <c r="O62" s="6205"/>
      <c r="P62" s="6205"/>
      <c r="Q62" s="5767"/>
      <c r="R62" s="1450"/>
      <c r="S62" s="2271">
        <v>320</v>
      </c>
      <c r="T62" s="6203" t="s">
        <v>2024</v>
      </c>
      <c r="U62" s="6133"/>
      <c r="V62" s="6204" t="str">
        <f>IF(S52=0,"",VLOOKUP(S52,'Tablas psiquica'!$D$7:$R$145,14,FALSE))</f>
        <v/>
      </c>
      <c r="W62" s="6205"/>
      <c r="X62" s="6205"/>
      <c r="Y62" s="5767"/>
      <c r="Z62" s="530"/>
      <c r="AA62" s="524"/>
      <c r="AB62" s="524"/>
      <c r="AC62" s="1450"/>
      <c r="AD62" s="2271">
        <v>320</v>
      </c>
      <c r="AE62" s="6203" t="s">
        <v>2024</v>
      </c>
      <c r="AF62" s="6133"/>
      <c r="AG62" s="6204" t="str">
        <f>IF(AD52=0,"",VLOOKUP(AD52,'Tablas psiquica'!$D$7:$R$145,14,FALSE))</f>
        <v/>
      </c>
      <c r="AH62" s="6205"/>
      <c r="AI62" s="6205"/>
      <c r="AJ62" s="5767"/>
      <c r="AK62" s="865"/>
      <c r="AL62" s="2271">
        <v>320</v>
      </c>
      <c r="AM62" s="6203" t="s">
        <v>2024</v>
      </c>
      <c r="AN62" s="6133"/>
      <c r="AO62" s="6204" t="str">
        <f>IF(AL52=0,"",VLOOKUP(AL52,'Tablas psiquica'!$D$7:$R$145,14,FALSE))</f>
        <v/>
      </c>
      <c r="AP62" s="6205"/>
      <c r="AQ62" s="6205"/>
      <c r="AR62" s="5767"/>
      <c r="AS62" s="1450"/>
      <c r="AT62" s="2271">
        <v>320</v>
      </c>
      <c r="AU62" s="6203" t="s">
        <v>2024</v>
      </c>
      <c r="AV62" s="6133"/>
      <c r="AW62" s="6204" t="str">
        <f>IF(AT52=0,"",VLOOKUP(AT52,'Tablas psiquica'!$D$7:$R$145,14,FALSE))</f>
        <v/>
      </c>
      <c r="AX62" s="6205"/>
      <c r="AY62" s="6205"/>
      <c r="AZ62" s="5767"/>
      <c r="BA62" s="530"/>
      <c r="BB62" s="524"/>
      <c r="BC62" s="524"/>
      <c r="BD62" s="1450"/>
      <c r="BE62" s="2271">
        <v>320</v>
      </c>
      <c r="BF62" s="6203" t="s">
        <v>2024</v>
      </c>
      <c r="BG62" s="6133"/>
      <c r="BH62" s="6204" t="str">
        <f>IF(BE52=0,"",VLOOKUP(BE52,'Tablas psiquica'!$D$7:$R$145,14,FALSE))</f>
        <v/>
      </c>
      <c r="BI62" s="6205"/>
      <c r="BJ62" s="6205"/>
      <c r="BK62" s="5767"/>
      <c r="BL62" s="865"/>
      <c r="BM62" s="2271">
        <v>320</v>
      </c>
      <c r="BN62" s="6203" t="s">
        <v>2024</v>
      </c>
      <c r="BO62" s="6133"/>
      <c r="BP62" s="6204" t="str">
        <f>IF(BM52=0,"",VLOOKUP(BM52,'Tablas psiquica'!$D$7:$R$145,14,FALSE))</f>
        <v/>
      </c>
      <c r="BQ62" s="6205"/>
      <c r="BR62" s="6205"/>
      <c r="BS62" s="5767"/>
      <c r="BT62" s="1450"/>
      <c r="BU62" s="2271">
        <v>320</v>
      </c>
      <c r="BV62" s="6203" t="s">
        <v>2024</v>
      </c>
      <c r="BW62" s="6133"/>
      <c r="BX62" s="6204" t="str">
        <f>IF(BU52=0,"",VLOOKUP(BU52,'Tablas psiquica'!$D$7:$R$145,14,FALSE))</f>
        <v/>
      </c>
      <c r="BY62" s="6205"/>
      <c r="BZ62" s="6205"/>
      <c r="CA62" s="5767"/>
      <c r="CB62" s="530"/>
      <c r="CC62" s="524"/>
      <c r="CD62" s="524"/>
      <c r="CE62" s="1450"/>
      <c r="CF62" s="2271">
        <v>320</v>
      </c>
      <c r="CG62" s="6203" t="s">
        <v>2024</v>
      </c>
      <c r="CH62" s="6133"/>
      <c r="CI62" s="6204" t="str">
        <f>IF(CF52=0,"",VLOOKUP(CF52,'Tablas psiquica'!$D$7:$R$145,14,FALSE))</f>
        <v/>
      </c>
      <c r="CJ62" s="6205"/>
      <c r="CK62" s="6205"/>
      <c r="CL62" s="5767"/>
      <c r="CM62" s="865"/>
      <c r="CN62" s="2271">
        <v>320</v>
      </c>
      <c r="CO62" s="6203" t="s">
        <v>2024</v>
      </c>
      <c r="CP62" s="6133"/>
      <c r="CQ62" s="6204" t="str">
        <f>IF(CN52=0,"",VLOOKUP(CN52,'Tablas psiquica'!$D$7:$R$145,14,FALSE))</f>
        <v/>
      </c>
      <c r="CR62" s="6205"/>
      <c r="CS62" s="6205"/>
      <c r="CT62" s="5767"/>
      <c r="CU62" s="1450"/>
      <c r="CV62" s="2271">
        <v>320</v>
      </c>
      <c r="CW62" s="6203" t="s">
        <v>2024</v>
      </c>
      <c r="CX62" s="6133"/>
      <c r="CY62" s="6204" t="str">
        <f>IF(CV52=0,"",VLOOKUP(CV52,'Tablas psiquica'!$D$7:$R$145,14,FALSE))</f>
        <v/>
      </c>
      <c r="CZ62" s="6205"/>
      <c r="DA62" s="6205"/>
      <c r="DB62" s="5767"/>
      <c r="DC62" s="530"/>
      <c r="DD62" s="524"/>
    </row>
    <row r="63" spans="1:108" ht="12" customHeight="1" x14ac:dyDescent="0.2">
      <c r="A63" s="524"/>
      <c r="B63" s="1450"/>
      <c r="C63" s="565">
        <v>440</v>
      </c>
      <c r="D63" s="6206" t="s">
        <v>1958</v>
      </c>
      <c r="E63" s="6207"/>
      <c r="F63" s="6208" t="str">
        <f>IF(C52=0,"",VLOOKUP(C52,'Tablas psiquica'!$D$7:$R$145,15,FALSE))</f>
        <v/>
      </c>
      <c r="G63" s="6209"/>
      <c r="H63" s="6209"/>
      <c r="I63" s="6210"/>
      <c r="J63" s="865"/>
      <c r="K63" s="565">
        <v>440</v>
      </c>
      <c r="L63" s="6206" t="s">
        <v>1958</v>
      </c>
      <c r="M63" s="6207"/>
      <c r="N63" s="6208" t="str">
        <f>IF(K52=0,"",VLOOKUP(K52,'Tablas psiquica'!$D$7:$R$145,15,FALSE))</f>
        <v/>
      </c>
      <c r="O63" s="6209"/>
      <c r="P63" s="6209"/>
      <c r="Q63" s="6210"/>
      <c r="R63" s="1450"/>
      <c r="S63" s="565">
        <v>440</v>
      </c>
      <c r="T63" s="6206" t="s">
        <v>1958</v>
      </c>
      <c r="U63" s="6207"/>
      <c r="V63" s="6208" t="str">
        <f>IF(S52=0,"",VLOOKUP(S52,'Tablas psiquica'!$D$7:$R$145,15,FALSE))</f>
        <v/>
      </c>
      <c r="W63" s="6209"/>
      <c r="X63" s="6209"/>
      <c r="Y63" s="6210"/>
      <c r="Z63" s="530"/>
      <c r="AA63" s="524"/>
      <c r="AB63" s="524"/>
      <c r="AC63" s="1450"/>
      <c r="AD63" s="565">
        <v>440</v>
      </c>
      <c r="AE63" s="6206" t="s">
        <v>1958</v>
      </c>
      <c r="AF63" s="6207"/>
      <c r="AG63" s="6208" t="str">
        <f>IF(AD52=0,"",VLOOKUP(AD52,'Tablas psiquica'!$D$7:$R$145,15,FALSE))</f>
        <v/>
      </c>
      <c r="AH63" s="6209"/>
      <c r="AI63" s="6209"/>
      <c r="AJ63" s="6210"/>
      <c r="AK63" s="865"/>
      <c r="AL63" s="565">
        <v>440</v>
      </c>
      <c r="AM63" s="6206" t="s">
        <v>1958</v>
      </c>
      <c r="AN63" s="6207"/>
      <c r="AO63" s="6208" t="str">
        <f>IF(AL52=0,"",VLOOKUP(AL52,'Tablas psiquica'!$D$7:$R$145,15,FALSE))</f>
        <v/>
      </c>
      <c r="AP63" s="6209"/>
      <c r="AQ63" s="6209"/>
      <c r="AR63" s="6210"/>
      <c r="AS63" s="1450"/>
      <c r="AT63" s="565">
        <v>440</v>
      </c>
      <c r="AU63" s="6206" t="s">
        <v>1958</v>
      </c>
      <c r="AV63" s="6207"/>
      <c r="AW63" s="6208" t="str">
        <f>IF(AT52=0,"",VLOOKUP(AT52,'Tablas psiquica'!$D$7:$R$145,15,FALSE))</f>
        <v/>
      </c>
      <c r="AX63" s="6209"/>
      <c r="AY63" s="6209"/>
      <c r="AZ63" s="6210"/>
      <c r="BA63" s="530"/>
      <c r="BB63" s="524"/>
      <c r="BC63" s="524"/>
      <c r="BD63" s="1450"/>
      <c r="BE63" s="565">
        <v>440</v>
      </c>
      <c r="BF63" s="6206" t="s">
        <v>1958</v>
      </c>
      <c r="BG63" s="6207"/>
      <c r="BH63" s="6208" t="str">
        <f>IF(BE52=0,"",VLOOKUP(BE52,'Tablas psiquica'!$D$7:$R$145,15,FALSE))</f>
        <v/>
      </c>
      <c r="BI63" s="6209"/>
      <c r="BJ63" s="6209"/>
      <c r="BK63" s="6210"/>
      <c r="BL63" s="865"/>
      <c r="BM63" s="565">
        <v>440</v>
      </c>
      <c r="BN63" s="6206" t="s">
        <v>1958</v>
      </c>
      <c r="BO63" s="6207"/>
      <c r="BP63" s="6208" t="str">
        <f>IF(BM52=0,"",VLOOKUP(BM52,'Tablas psiquica'!$D$7:$R$145,15,FALSE))</f>
        <v/>
      </c>
      <c r="BQ63" s="6209"/>
      <c r="BR63" s="6209"/>
      <c r="BS63" s="6210"/>
      <c r="BT63" s="1450"/>
      <c r="BU63" s="565">
        <v>440</v>
      </c>
      <c r="BV63" s="6206" t="s">
        <v>1958</v>
      </c>
      <c r="BW63" s="6207"/>
      <c r="BX63" s="6208" t="str">
        <f>IF(BU52=0,"",VLOOKUP(BU52,'Tablas psiquica'!$D$7:$R$145,15,FALSE))</f>
        <v/>
      </c>
      <c r="BY63" s="6209"/>
      <c r="BZ63" s="6209"/>
      <c r="CA63" s="6210"/>
      <c r="CB63" s="530"/>
      <c r="CC63" s="524"/>
      <c r="CD63" s="524"/>
      <c r="CE63" s="1450"/>
      <c r="CF63" s="565">
        <v>440</v>
      </c>
      <c r="CG63" s="6206" t="s">
        <v>1958</v>
      </c>
      <c r="CH63" s="6207"/>
      <c r="CI63" s="6208" t="str">
        <f>IF(CF52=0,"",VLOOKUP(CF52,'Tablas psiquica'!$D$7:$R$145,15,FALSE))</f>
        <v/>
      </c>
      <c r="CJ63" s="6209"/>
      <c r="CK63" s="6209"/>
      <c r="CL63" s="6210"/>
      <c r="CM63" s="865"/>
      <c r="CN63" s="565">
        <v>440</v>
      </c>
      <c r="CO63" s="6206" t="s">
        <v>1958</v>
      </c>
      <c r="CP63" s="6207"/>
      <c r="CQ63" s="6208" t="str">
        <f>IF(CN52=0,"",VLOOKUP(CN52,'Tablas psiquica'!$D$7:$R$145,15,FALSE))</f>
        <v/>
      </c>
      <c r="CR63" s="6209"/>
      <c r="CS63" s="6209"/>
      <c r="CT63" s="6210"/>
      <c r="CU63" s="1450"/>
      <c r="CV63" s="565">
        <v>440</v>
      </c>
      <c r="CW63" s="6206" t="s">
        <v>1958</v>
      </c>
      <c r="CX63" s="6207"/>
      <c r="CY63" s="6208" t="str">
        <f>IF(CV52=0,"",VLOOKUP(CV52,'Tablas psiquica'!$D$7:$R$145,15,FALSE))</f>
        <v/>
      </c>
      <c r="CZ63" s="6209"/>
      <c r="DA63" s="6209"/>
      <c r="DB63" s="6210"/>
      <c r="DC63" s="530"/>
      <c r="DD63" s="524"/>
    </row>
    <row r="64" spans="1:108" ht="12" customHeight="1" thickBot="1" x14ac:dyDescent="0.25">
      <c r="A64" s="524"/>
      <c r="B64" s="1450"/>
      <c r="C64" s="6211" t="s">
        <v>6896</v>
      </c>
      <c r="D64" s="6212"/>
      <c r="E64" s="566" t="str">
        <f>IF(C52=0,"",VLOOKUP(C52,'Tablas psiquica'!$D$7:$R$145,4,FALSE))</f>
        <v/>
      </c>
      <c r="F64" s="6213" t="s">
        <v>6891</v>
      </c>
      <c r="G64" s="6213"/>
      <c r="H64" s="4569" t="str">
        <f>IF(C52=0,"",VLOOKUP(C52,'Tablas psiquica'!$D$7:$R$145,5,FALSE))</f>
        <v/>
      </c>
      <c r="I64" s="4570"/>
      <c r="J64" s="865"/>
      <c r="K64" s="6211" t="s">
        <v>6896</v>
      </c>
      <c r="L64" s="6212"/>
      <c r="M64" s="566" t="str">
        <f>IF(K52=0,"",VLOOKUP(K52,'Tablas psiquica'!$D$7:$R$145,4,FALSE))</f>
        <v/>
      </c>
      <c r="N64" s="6213" t="s">
        <v>6891</v>
      </c>
      <c r="O64" s="6213"/>
      <c r="P64" s="4569" t="str">
        <f>IF(K52=0,"",VLOOKUP(K52,'Tablas psiquica'!$D$7:$R$145,5,FALSE))</f>
        <v/>
      </c>
      <c r="Q64" s="4570"/>
      <c r="R64" s="1450"/>
      <c r="S64" s="6211" t="s">
        <v>6896</v>
      </c>
      <c r="T64" s="6212"/>
      <c r="U64" s="566" t="str">
        <f>IF(S52=0,"",VLOOKUP(S52,'Tablas psiquica'!$D$7:$R$145,4,FALSE))</f>
        <v/>
      </c>
      <c r="V64" s="6213" t="s">
        <v>6891</v>
      </c>
      <c r="W64" s="6213"/>
      <c r="X64" s="4569" t="str">
        <f>IF(S52=0,"",VLOOKUP(S52,'Tablas psiquica'!$D$7:$R$145,5,FALSE))</f>
        <v/>
      </c>
      <c r="Y64" s="4570"/>
      <c r="Z64" s="530"/>
      <c r="AA64" s="524"/>
      <c r="AB64" s="524"/>
      <c r="AC64" s="1450"/>
      <c r="AD64" s="6211" t="s">
        <v>6896</v>
      </c>
      <c r="AE64" s="6212"/>
      <c r="AF64" s="566" t="str">
        <f>IF(AD52=0,"",VLOOKUP(AD52,'Tablas psiquica'!$D$7:$R$145,4,FALSE))</f>
        <v/>
      </c>
      <c r="AG64" s="6213" t="s">
        <v>6891</v>
      </c>
      <c r="AH64" s="6213"/>
      <c r="AI64" s="4569" t="str">
        <f>IF(AD52=0,"",VLOOKUP(AD52,'Tablas psiquica'!$D$7:$R$145,5,FALSE))</f>
        <v/>
      </c>
      <c r="AJ64" s="4570"/>
      <c r="AK64" s="865"/>
      <c r="AL64" s="6211" t="s">
        <v>6896</v>
      </c>
      <c r="AM64" s="6212"/>
      <c r="AN64" s="566" t="str">
        <f>IF(AL52=0,"",VLOOKUP(AL52,'Tablas psiquica'!$D$7:$R$145,4,FALSE))</f>
        <v/>
      </c>
      <c r="AO64" s="6213" t="s">
        <v>6891</v>
      </c>
      <c r="AP64" s="6213"/>
      <c r="AQ64" s="4569" t="str">
        <f>IF(AL52=0,"",VLOOKUP(AL52,'Tablas psiquica'!$D$7:$R$145,5,FALSE))</f>
        <v/>
      </c>
      <c r="AR64" s="4570"/>
      <c r="AS64" s="1450"/>
      <c r="AT64" s="6211" t="s">
        <v>6896</v>
      </c>
      <c r="AU64" s="6212"/>
      <c r="AV64" s="566" t="str">
        <f>IF(AT52=0,"",VLOOKUP(AT52,'Tablas psiquica'!$D$7:$R$145,4,FALSE))</f>
        <v/>
      </c>
      <c r="AW64" s="6213" t="s">
        <v>6891</v>
      </c>
      <c r="AX64" s="6213"/>
      <c r="AY64" s="4569" t="str">
        <f>IF(AT52=0,"",VLOOKUP(AT52,'Tablas psiquica'!$D$7:$R$145,5,FALSE))</f>
        <v/>
      </c>
      <c r="AZ64" s="4570"/>
      <c r="BA64" s="530"/>
      <c r="BB64" s="524"/>
      <c r="BC64" s="524"/>
      <c r="BD64" s="1450"/>
      <c r="BE64" s="6211" t="s">
        <v>6896</v>
      </c>
      <c r="BF64" s="6212"/>
      <c r="BG64" s="566" t="str">
        <f>IF(BE52=0,"",VLOOKUP(BE52,'Tablas psiquica'!$D$7:$R$145,4,FALSE))</f>
        <v/>
      </c>
      <c r="BH64" s="6213" t="s">
        <v>6891</v>
      </c>
      <c r="BI64" s="6213"/>
      <c r="BJ64" s="4569" t="str">
        <f>IF(BE52=0,"",VLOOKUP(BE52,'Tablas psiquica'!$D$7:$R$145,5,FALSE))</f>
        <v/>
      </c>
      <c r="BK64" s="4570"/>
      <c r="BL64" s="865"/>
      <c r="BM64" s="6211" t="s">
        <v>6896</v>
      </c>
      <c r="BN64" s="6212"/>
      <c r="BO64" s="566" t="str">
        <f>IF(BM52=0,"",VLOOKUP(BM52,'Tablas psiquica'!$D$7:$R$145,4,FALSE))</f>
        <v/>
      </c>
      <c r="BP64" s="6213" t="s">
        <v>6891</v>
      </c>
      <c r="BQ64" s="6213"/>
      <c r="BR64" s="4569" t="str">
        <f>IF(BM52=0,"",VLOOKUP(BM52,'Tablas psiquica'!$D$7:$R$145,5,FALSE))</f>
        <v/>
      </c>
      <c r="BS64" s="4570"/>
      <c r="BT64" s="1450"/>
      <c r="BU64" s="6211" t="s">
        <v>6896</v>
      </c>
      <c r="BV64" s="6212"/>
      <c r="BW64" s="566" t="str">
        <f>IF(BU52=0,"",VLOOKUP(BU52,'Tablas psiquica'!$D$7:$R$145,4,FALSE))</f>
        <v/>
      </c>
      <c r="BX64" s="6213" t="s">
        <v>6891</v>
      </c>
      <c r="BY64" s="6213"/>
      <c r="BZ64" s="4569" t="str">
        <f>IF(BU52=0,"",VLOOKUP(BU52,'Tablas psiquica'!$D$7:$R$145,5,FALSE))</f>
        <v/>
      </c>
      <c r="CA64" s="4570"/>
      <c r="CB64" s="530"/>
      <c r="CC64" s="524"/>
      <c r="CD64" s="524"/>
      <c r="CE64" s="1450"/>
      <c r="CF64" s="6211" t="s">
        <v>6896</v>
      </c>
      <c r="CG64" s="6212"/>
      <c r="CH64" s="566" t="str">
        <f>IF(CF52=0,"",VLOOKUP(CF52,'Tablas psiquica'!$D$7:$R$145,4,FALSE))</f>
        <v/>
      </c>
      <c r="CI64" s="6213" t="s">
        <v>6891</v>
      </c>
      <c r="CJ64" s="6213"/>
      <c r="CK64" s="4569" t="str">
        <f>IF(CF52=0,"",VLOOKUP(CF52,'Tablas psiquica'!$D$7:$R$145,5,FALSE))</f>
        <v/>
      </c>
      <c r="CL64" s="4570"/>
      <c r="CM64" s="865"/>
      <c r="CN64" s="6211" t="s">
        <v>6896</v>
      </c>
      <c r="CO64" s="6212"/>
      <c r="CP64" s="566" t="str">
        <f>IF(CN52=0,"",VLOOKUP(CN52,'Tablas psiquica'!$D$7:$R$145,4,FALSE))</f>
        <v/>
      </c>
      <c r="CQ64" s="6213" t="s">
        <v>6891</v>
      </c>
      <c r="CR64" s="6213"/>
      <c r="CS64" s="4569" t="str">
        <f>IF(CN52=0,"",VLOOKUP(CN52,'Tablas psiquica'!$D$7:$R$145,5,FALSE))</f>
        <v/>
      </c>
      <c r="CT64" s="4570"/>
      <c r="CU64" s="1450"/>
      <c r="CV64" s="6211" t="s">
        <v>6896</v>
      </c>
      <c r="CW64" s="6212"/>
      <c r="CX64" s="566" t="str">
        <f>IF(CV52=0,"",VLOOKUP(CV52,'Tablas psiquica'!$D$7:$R$145,4,FALSE))</f>
        <v/>
      </c>
      <c r="CY64" s="6213" t="s">
        <v>6891</v>
      </c>
      <c r="CZ64" s="6213"/>
      <c r="DA64" s="4569" t="str">
        <f>IF(CV52=0,"",VLOOKUP(CV52,'Tablas psiquica'!$D$7:$R$145,5,FALSE))</f>
        <v/>
      </c>
      <c r="DB64" s="4570"/>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186">
        <f>IFERROR(INDEX('Tablas psiquica'!$U$115:$AH$129,B66,$Y$7),0)</f>
        <v>0</v>
      </c>
      <c r="D66" s="6187"/>
      <c r="E66" s="6187"/>
      <c r="F66" s="6187"/>
      <c r="G66" s="6187"/>
      <c r="H66" s="6187"/>
      <c r="I66" s="563" t="s">
        <v>1676</v>
      </c>
      <c r="J66" s="865">
        <v>14</v>
      </c>
      <c r="K66" s="6186">
        <f>IFERROR(INDEX('Tablas psiquica'!$U$115:$AH$129,J66,$Y$7),0)</f>
        <v>0</v>
      </c>
      <c r="L66" s="6187"/>
      <c r="M66" s="6187"/>
      <c r="N66" s="6187"/>
      <c r="O66" s="6187"/>
      <c r="P66" s="6187"/>
      <c r="Q66" s="563" t="s">
        <v>1676</v>
      </c>
      <c r="R66" s="1450">
        <v>15</v>
      </c>
      <c r="S66" s="6186">
        <f>IFERROR(INDEX('Tablas psiquica'!$U$115:$AH$129,R66,$Y$7),0)</f>
        <v>0</v>
      </c>
      <c r="T66" s="6187"/>
      <c r="U66" s="6187"/>
      <c r="V66" s="6187"/>
      <c r="W66" s="6187"/>
      <c r="X66" s="6187"/>
      <c r="Y66" s="563" t="s">
        <v>1676</v>
      </c>
      <c r="Z66" s="530"/>
      <c r="AA66" s="524"/>
      <c r="AB66" s="524"/>
      <c r="AC66" s="1450">
        <v>13</v>
      </c>
      <c r="AD66" s="6186">
        <f>IFERROR(INDEX('Tablas psiquica'!$U$115:$AH$129,AC66,$AZ$7),0)</f>
        <v>0</v>
      </c>
      <c r="AE66" s="6187"/>
      <c r="AF66" s="6187"/>
      <c r="AG66" s="6187"/>
      <c r="AH66" s="6187"/>
      <c r="AI66" s="6187"/>
      <c r="AJ66" s="563" t="s">
        <v>1676</v>
      </c>
      <c r="AK66" s="865">
        <v>14</v>
      </c>
      <c r="AL66" s="6186">
        <f>IFERROR(INDEX('Tablas psiquica'!$U$115:$AH$129,AK66,$AZ$7),0)</f>
        <v>0</v>
      </c>
      <c r="AM66" s="6187"/>
      <c r="AN66" s="6187"/>
      <c r="AO66" s="6187"/>
      <c r="AP66" s="6187"/>
      <c r="AQ66" s="6187"/>
      <c r="AR66" s="563" t="s">
        <v>1676</v>
      </c>
      <c r="AS66" s="1450">
        <v>15</v>
      </c>
      <c r="AT66" s="6186">
        <f>IFERROR(INDEX('Tablas psiquica'!$U$115:$AH$129,AS66,$AZ$7),0)</f>
        <v>0</v>
      </c>
      <c r="AU66" s="6187"/>
      <c r="AV66" s="6187"/>
      <c r="AW66" s="6187"/>
      <c r="AX66" s="6187"/>
      <c r="AY66" s="6187"/>
      <c r="AZ66" s="563" t="s">
        <v>1676</v>
      </c>
      <c r="BA66" s="530"/>
      <c r="BB66" s="524"/>
      <c r="BC66" s="524"/>
      <c r="BD66" s="1450">
        <v>13</v>
      </c>
      <c r="BE66" s="6186">
        <f>IFERROR(INDEX('Tablas psiquica'!$U$115:$AH$129,BD66,$CA$7),0)</f>
        <v>0</v>
      </c>
      <c r="BF66" s="6187"/>
      <c r="BG66" s="6187"/>
      <c r="BH66" s="6187"/>
      <c r="BI66" s="6187"/>
      <c r="BJ66" s="6187"/>
      <c r="BK66" s="563" t="s">
        <v>1676</v>
      </c>
      <c r="BL66" s="865">
        <v>14</v>
      </c>
      <c r="BM66" s="6186">
        <f>IFERROR(INDEX('Tablas psiquica'!$U$115:$AH$129,BL66,$CA$7),0)</f>
        <v>0</v>
      </c>
      <c r="BN66" s="6187"/>
      <c r="BO66" s="6187"/>
      <c r="BP66" s="6187"/>
      <c r="BQ66" s="6187"/>
      <c r="BR66" s="6187"/>
      <c r="BS66" s="563" t="s">
        <v>1676</v>
      </c>
      <c r="BT66" s="1450">
        <v>15</v>
      </c>
      <c r="BU66" s="6186">
        <f>IFERROR(INDEX('Tablas psiquica'!$U$115:$AH$129,BT66,$CA$7),0)</f>
        <v>0</v>
      </c>
      <c r="BV66" s="6187"/>
      <c r="BW66" s="6187"/>
      <c r="BX66" s="6187"/>
      <c r="BY66" s="6187"/>
      <c r="BZ66" s="6187"/>
      <c r="CA66" s="563" t="s">
        <v>1676</v>
      </c>
      <c r="CB66" s="530"/>
      <c r="CC66" s="524"/>
      <c r="CD66" s="524"/>
      <c r="CE66" s="1450">
        <v>13</v>
      </c>
      <c r="CF66" s="6186">
        <f>IFERROR(INDEX('Tablas psiquica'!$U$115:$AH$129,CE66,$DB$7),0)</f>
        <v>0</v>
      </c>
      <c r="CG66" s="6187"/>
      <c r="CH66" s="6187"/>
      <c r="CI66" s="6187"/>
      <c r="CJ66" s="6187"/>
      <c r="CK66" s="6187"/>
      <c r="CL66" s="563" t="s">
        <v>1676</v>
      </c>
      <c r="CM66" s="865">
        <v>14</v>
      </c>
      <c r="CN66" s="6186">
        <f>IFERROR(INDEX('Tablas psiquica'!$U$115:$AH$129,CM66,$DB$7),0)</f>
        <v>0</v>
      </c>
      <c r="CO66" s="6187"/>
      <c r="CP66" s="6187"/>
      <c r="CQ66" s="6187"/>
      <c r="CR66" s="6187"/>
      <c r="CS66" s="6187"/>
      <c r="CT66" s="563" t="s">
        <v>1676</v>
      </c>
      <c r="CU66" s="1450">
        <v>15</v>
      </c>
      <c r="CV66" s="6186">
        <f>IFERROR(INDEX('Tablas psiquica'!$U$115:$AH$129,CU66,$DB$7),0)</f>
        <v>0</v>
      </c>
      <c r="CW66" s="6187"/>
      <c r="CX66" s="6187"/>
      <c r="CY66" s="6187"/>
      <c r="CZ66" s="6187"/>
      <c r="DA66" s="6187"/>
      <c r="DB66" s="563" t="s">
        <v>1676</v>
      </c>
      <c r="DC66" s="530"/>
      <c r="DD66" s="524"/>
    </row>
    <row r="67" spans="1:108" ht="12" customHeight="1" x14ac:dyDescent="0.2">
      <c r="A67" s="524"/>
      <c r="B67" s="369"/>
      <c r="C67" s="6188" t="str">
        <f>IF(C66=0,"",VLOOKUP(C66,'Tablas psiquica'!$D$7:$R$145,2,FALSE))</f>
        <v/>
      </c>
      <c r="D67" s="6189"/>
      <c r="E67" s="6189"/>
      <c r="F67" s="6190"/>
      <c r="G67" s="6191" t="str">
        <f>IF(C66=0,"",IF(INDEX('Tablas psiquica'!$U$114:$AH$114,1,$Y$7)=0,"No Accesible",IF(ISNA(VLOOKUP(C66,Psíquicos!$V$11:$Z$64,1,0)),"Accesible CV","Aprendido")))</f>
        <v/>
      </c>
      <c r="H67" s="6192"/>
      <c r="I67" s="2313" t="str">
        <f>IF(C66=0,"",VLOOKUP(C66,'Tablas psiquica'!$D$7:$R$145,3,FALSE))</f>
        <v/>
      </c>
      <c r="K67" s="6188" t="str">
        <f>IF(K66=0,"",VLOOKUP(K66,'Tablas psiquica'!$D$7:$R$145,2,FALSE))</f>
        <v/>
      </c>
      <c r="L67" s="6189"/>
      <c r="M67" s="6189"/>
      <c r="N67" s="6190"/>
      <c r="O67" s="6191" t="str">
        <f>IF(K66=0,"",IF(INDEX('Tablas psiquica'!$U$114:$AH$114,1,$Y$7)=0,"No Accesible",IF(ISNA(VLOOKUP(K66,Psíquicos!$V$11:$Z$64,1,0)),"Accesible CV","Aprendido")))</f>
        <v/>
      </c>
      <c r="P67" s="6192"/>
      <c r="Q67" s="2313" t="str">
        <f>IF(K66=0,"",VLOOKUP(K66,'Tablas psiquica'!$D$7:$R$145,3,FALSE))</f>
        <v/>
      </c>
      <c r="R67" s="369"/>
      <c r="S67" s="6188" t="str">
        <f>IF(S66=0,"",VLOOKUP(S66,'Tablas psiquica'!$D$7:$R$145,2,FALSE))</f>
        <v/>
      </c>
      <c r="T67" s="6189"/>
      <c r="U67" s="6189"/>
      <c r="V67" s="6190"/>
      <c r="W67" s="6191" t="str">
        <f>IF(S66=0,"",IF(INDEX('Tablas psiquica'!$U$114:$AH$114,1,$Y$7)=0,"No Accesible",IF(ISNA(VLOOKUP(S66,Psíquicos!$V$11:$Z$64,1,0)),"Accesible CV","Aprendido")))</f>
        <v/>
      </c>
      <c r="X67" s="6192"/>
      <c r="Y67" s="2313" t="str">
        <f>IF(S66=0,"",VLOOKUP(S66,'Tablas psiquica'!$D$7:$R$145,3,FALSE))</f>
        <v/>
      </c>
      <c r="Z67" s="530"/>
      <c r="AA67" s="524"/>
      <c r="AB67" s="524"/>
      <c r="AC67" s="369"/>
      <c r="AD67" s="6188" t="str">
        <f>IF(AD66=0,"",VLOOKUP(AD66,'Tablas psiquica'!$D$7:$R$145,2,FALSE))</f>
        <v/>
      </c>
      <c r="AE67" s="6189"/>
      <c r="AF67" s="6189"/>
      <c r="AG67" s="6190"/>
      <c r="AH67" s="6191" t="str">
        <f>IF(AD66=0,"",IF(INDEX('Tablas psiquica'!$U$114:$AH$114,1,$AZ$7)=0,"No Accesible",IF(ISNA(VLOOKUP(AD66,Psíquicos!$V$11:$Z$64,1,0)),"Accesible CV","Aprendido")))</f>
        <v/>
      </c>
      <c r="AI67" s="6192"/>
      <c r="AJ67" s="2313" t="str">
        <f>IF(AD66=0,"",VLOOKUP(AD66,'Tablas psiquica'!$D$7:$R$145,3,FALSE))</f>
        <v/>
      </c>
      <c r="AL67" s="6188" t="str">
        <f>IF(AL66=0,"",VLOOKUP(AL66,'Tablas psiquica'!$D$7:$R$145,2,FALSE))</f>
        <v/>
      </c>
      <c r="AM67" s="6189"/>
      <c r="AN67" s="6189"/>
      <c r="AO67" s="6190"/>
      <c r="AP67" s="6191" t="str">
        <f>IF(AL66=0,"",IF(INDEX('Tablas psiquica'!$U$114:$AH$114,1,$AZ$7)=0,"No Accesible",IF(ISNA(VLOOKUP(AL66,Psíquicos!$V$11:$Z$64,1,0)),"Accesible CV","Aprendido")))</f>
        <v/>
      </c>
      <c r="AQ67" s="6192"/>
      <c r="AR67" s="2313" t="str">
        <f>IF(AL66=0,"",VLOOKUP(AL66,'Tablas psiquica'!$D$7:$R$145,3,FALSE))</f>
        <v/>
      </c>
      <c r="AS67" s="369"/>
      <c r="AT67" s="6188" t="str">
        <f>IF(AT66=0,"",VLOOKUP(AT66,'Tablas psiquica'!$D$7:$R$145,2,FALSE))</f>
        <v/>
      </c>
      <c r="AU67" s="6189"/>
      <c r="AV67" s="6189"/>
      <c r="AW67" s="6190"/>
      <c r="AX67" s="6191" t="str">
        <f>IF(AT66=0,"",IF(INDEX('Tablas psiquica'!$U$114:$AH$114,1,$AZ$7)=0,"No Accesible",IF(ISNA(VLOOKUP(AT66,Psíquicos!$V$11:$Z$64,1,0)),"Accesible CV","Aprendido")))</f>
        <v/>
      </c>
      <c r="AY67" s="6192"/>
      <c r="AZ67" s="2313" t="str">
        <f>IF(AT66=0,"",VLOOKUP(AT66,'Tablas psiquica'!$D$7:$R$145,3,FALSE))</f>
        <v/>
      </c>
      <c r="BA67" s="530"/>
      <c r="BB67" s="524"/>
      <c r="BC67" s="524"/>
      <c r="BD67" s="369"/>
      <c r="BE67" s="6188" t="str">
        <f>IF(BE66=0,"",VLOOKUP(BE66,'Tablas psiquica'!$D$7:$R$145,2,FALSE))</f>
        <v/>
      </c>
      <c r="BF67" s="6189"/>
      <c r="BG67" s="6189"/>
      <c r="BH67" s="6190"/>
      <c r="BI67" s="6191" t="str">
        <f>IF(BE66=0,"",IF(INDEX('Tablas psiquica'!$U$114:$AH$114,1,$CA$7)=0,"No Accesible",IF(ISNA(VLOOKUP(BE66,Psíquicos!$V$11:$Z$64,1,0)),"Accesible CV","Aprendido")))</f>
        <v/>
      </c>
      <c r="BJ67" s="6192"/>
      <c r="BK67" s="2313" t="str">
        <f>IF(BE66=0,"",VLOOKUP(BE66,'Tablas psiquica'!$D$7:$R$145,3,FALSE))</f>
        <v/>
      </c>
      <c r="BM67" s="6188" t="str">
        <f>IF(BM66=0,"",VLOOKUP(BM66,'Tablas psiquica'!$D$7:$R$145,2,FALSE))</f>
        <v/>
      </c>
      <c r="BN67" s="6189"/>
      <c r="BO67" s="6189"/>
      <c r="BP67" s="6190"/>
      <c r="BQ67" s="6191" t="str">
        <f>IF(BM66=0,"",IF(INDEX('Tablas psiquica'!$U$114:$AH$114,1,$CA$7)=0,"No Accesible",IF(ISNA(VLOOKUP(BM66,Psíquicos!$V$11:$Z$64,1,0)),"Accesible CV","Aprendido")))</f>
        <v/>
      </c>
      <c r="BR67" s="6192"/>
      <c r="BS67" s="2313" t="str">
        <f>IF(BM66=0,"",VLOOKUP(BM66,'Tablas psiquica'!$D$7:$R$145,3,FALSE))</f>
        <v/>
      </c>
      <c r="BT67" s="369"/>
      <c r="BU67" s="6188" t="str">
        <f>IF(BU66=0,"",VLOOKUP(BU66,'Tablas psiquica'!$D$7:$R$145,2,FALSE))</f>
        <v/>
      </c>
      <c r="BV67" s="6189"/>
      <c r="BW67" s="6189"/>
      <c r="BX67" s="6190"/>
      <c r="BY67" s="6191" t="str">
        <f>IF(BU66=0,"",IF(INDEX('Tablas psiquica'!$U$114:$AH$114,1,$CA$7)=0,"No Accesible",IF(ISNA(VLOOKUP(BU66,Psíquicos!$V$11:$Z$64,1,0)),"Accesible CV","Aprendido")))</f>
        <v/>
      </c>
      <c r="BZ67" s="6192"/>
      <c r="CA67" s="2313" t="str">
        <f>IF(BU66=0,"",VLOOKUP(BU66,'Tablas psiquica'!$D$7:$R$145,3,FALSE))</f>
        <v/>
      </c>
      <c r="CB67" s="530"/>
      <c r="CC67" s="524"/>
      <c r="CD67" s="524"/>
      <c r="CE67" s="369"/>
      <c r="CF67" s="6188" t="str">
        <f>IF(CF66=0,"",VLOOKUP(CF66,'Tablas psiquica'!$D$7:$R$145,2,FALSE))</f>
        <v/>
      </c>
      <c r="CG67" s="6189"/>
      <c r="CH67" s="6189"/>
      <c r="CI67" s="6190"/>
      <c r="CJ67" s="6191" t="str">
        <f>IF(CF66=0,"",IF(INDEX('Tablas psiquica'!$U$114:$AH$114,1,$DB$7)=0,"No Accesible",IF(ISNA(VLOOKUP(CF66,Psíquicos!$V$11:$Z$64,1,0)),"Accesible CV","Aprendido")))</f>
        <v/>
      </c>
      <c r="CK67" s="6192"/>
      <c r="CL67" s="2313" t="str">
        <f>IF(CF66=0,"",VLOOKUP(CF66,'Tablas psiquica'!$D$7:$R$145,3,FALSE))</f>
        <v/>
      </c>
      <c r="CN67" s="6188" t="str">
        <f>IF(CN66=0,"",VLOOKUP(CN66,'Tablas psiquica'!$D$7:$R$145,2,FALSE))</f>
        <v/>
      </c>
      <c r="CO67" s="6189"/>
      <c r="CP67" s="6189"/>
      <c r="CQ67" s="6190"/>
      <c r="CR67" s="6191" t="str">
        <f>IF(CN66=0,"",IF(INDEX('Tablas psiquica'!$U$114:$AH$114,1,$DB$7)=0,"No Accesible",IF(ISNA(VLOOKUP(CN66,Psíquicos!$V$11:$Z$64,1,0)),"Accesible CV","Aprendido")))</f>
        <v/>
      </c>
      <c r="CS67" s="6192"/>
      <c r="CT67" s="2313" t="str">
        <f>IF(CN66=0,"",VLOOKUP(CN66,'Tablas psiquica'!$D$7:$R$145,3,FALSE))</f>
        <v/>
      </c>
      <c r="CU67" s="369"/>
      <c r="CV67" s="6188" t="str">
        <f>IF(CV66=0,"",VLOOKUP(CV66,'Tablas psiquica'!$D$7:$R$145,2,FALSE))</f>
        <v/>
      </c>
      <c r="CW67" s="6189"/>
      <c r="CX67" s="6189"/>
      <c r="CY67" s="6190"/>
      <c r="CZ67" s="6191" t="str">
        <f>IF(CV66=0,"",IF(INDEX('Tablas psiquica'!$U$114:$AH$114,1,$DB$7)=0,"No Accesible",IF(ISNA(VLOOKUP(CV66,Psíquicos!$V$11:$Z$64,1,0)),"Accesible CV","Aprendido")))</f>
        <v/>
      </c>
      <c r="DA67" s="6192"/>
      <c r="DB67" s="2313" t="str">
        <f>IF(CV66=0,"",VLOOKUP(CV66,'Tablas psiquica'!$D$7:$R$145,3,FALSE))</f>
        <v/>
      </c>
      <c r="DC67" s="530"/>
      <c r="DD67" s="524"/>
    </row>
    <row r="68" spans="1:108" ht="12" customHeight="1" x14ac:dyDescent="0.2">
      <c r="A68" s="524"/>
      <c r="B68" s="369"/>
      <c r="C68" s="2271">
        <v>20</v>
      </c>
      <c r="D68" s="6203" t="s">
        <v>2001</v>
      </c>
      <c r="E68" s="6133"/>
      <c r="F68" s="6204" t="str">
        <f>IF(C66=0,"",VLOOKUP(C66,'Tablas psiquica'!$D$7:$R$145,6,FALSE))</f>
        <v/>
      </c>
      <c r="G68" s="6205"/>
      <c r="H68" s="6205"/>
      <c r="I68" s="5767"/>
      <c r="K68" s="2271">
        <v>20</v>
      </c>
      <c r="L68" s="6203" t="s">
        <v>2001</v>
      </c>
      <c r="M68" s="6133"/>
      <c r="N68" s="6204" t="str">
        <f>IF(K66=0,"",VLOOKUP(K66,'Tablas psiquica'!$D$7:$R$145,6,FALSE))</f>
        <v/>
      </c>
      <c r="O68" s="6205"/>
      <c r="P68" s="6205"/>
      <c r="Q68" s="5767"/>
      <c r="R68" s="369"/>
      <c r="S68" s="2271">
        <v>20</v>
      </c>
      <c r="T68" s="6203" t="s">
        <v>2001</v>
      </c>
      <c r="U68" s="6133"/>
      <c r="V68" s="6204" t="str">
        <f>IF(S66=0,"",VLOOKUP(S66,'Tablas psiquica'!$D$7:$R$145,6,FALSE))</f>
        <v/>
      </c>
      <c r="W68" s="6205"/>
      <c r="X68" s="6205"/>
      <c r="Y68" s="5767"/>
      <c r="Z68" s="530"/>
      <c r="AA68" s="524"/>
      <c r="AB68" s="524"/>
      <c r="AC68" s="369"/>
      <c r="AD68" s="2271">
        <v>20</v>
      </c>
      <c r="AE68" s="6203" t="s">
        <v>2001</v>
      </c>
      <c r="AF68" s="6133"/>
      <c r="AG68" s="6204" t="str">
        <f>IF(AD66=0,"",VLOOKUP(AD66,'Tablas psiquica'!$D$7:$R$145,6,FALSE))</f>
        <v/>
      </c>
      <c r="AH68" s="6205"/>
      <c r="AI68" s="6205"/>
      <c r="AJ68" s="5767"/>
      <c r="AL68" s="2271">
        <v>20</v>
      </c>
      <c r="AM68" s="6203" t="s">
        <v>2001</v>
      </c>
      <c r="AN68" s="6133"/>
      <c r="AO68" s="6204" t="str">
        <f>IF(AL66=0,"",VLOOKUP(AL66,'Tablas psiquica'!$D$7:$R$145,6,FALSE))</f>
        <v/>
      </c>
      <c r="AP68" s="6205"/>
      <c r="AQ68" s="6205"/>
      <c r="AR68" s="5767"/>
      <c r="AS68" s="369"/>
      <c r="AT68" s="2271">
        <v>20</v>
      </c>
      <c r="AU68" s="6203" t="s">
        <v>2001</v>
      </c>
      <c r="AV68" s="6133"/>
      <c r="AW68" s="6204" t="str">
        <f>IF(AT66=0,"",VLOOKUP(AT66,'Tablas psiquica'!$D$7:$R$145,6,FALSE))</f>
        <v/>
      </c>
      <c r="AX68" s="6205"/>
      <c r="AY68" s="6205"/>
      <c r="AZ68" s="5767"/>
      <c r="BA68" s="530"/>
      <c r="BB68" s="524"/>
      <c r="BC68" s="524"/>
      <c r="BD68" s="369"/>
      <c r="BE68" s="2271">
        <v>20</v>
      </c>
      <c r="BF68" s="6203" t="s">
        <v>2001</v>
      </c>
      <c r="BG68" s="6133"/>
      <c r="BH68" s="6204" t="str">
        <f>IF(BE66=0,"",VLOOKUP(BE66,'Tablas psiquica'!$D$7:$R$145,6,FALSE))</f>
        <v/>
      </c>
      <c r="BI68" s="6205"/>
      <c r="BJ68" s="6205"/>
      <c r="BK68" s="5767"/>
      <c r="BM68" s="2271">
        <v>20</v>
      </c>
      <c r="BN68" s="6203" t="s">
        <v>2001</v>
      </c>
      <c r="BO68" s="6133"/>
      <c r="BP68" s="6204" t="str">
        <f>IF(BM66=0,"",VLOOKUP(BM66,'Tablas psiquica'!$D$7:$R$145,6,FALSE))</f>
        <v/>
      </c>
      <c r="BQ68" s="6205"/>
      <c r="BR68" s="6205"/>
      <c r="BS68" s="5767"/>
      <c r="BT68" s="369"/>
      <c r="BU68" s="2271">
        <v>20</v>
      </c>
      <c r="BV68" s="6203" t="s">
        <v>2001</v>
      </c>
      <c r="BW68" s="6133"/>
      <c r="BX68" s="6204" t="str">
        <f>IF(BU66=0,"",VLOOKUP(BU66,'Tablas psiquica'!$D$7:$R$145,6,FALSE))</f>
        <v/>
      </c>
      <c r="BY68" s="6205"/>
      <c r="BZ68" s="6205"/>
      <c r="CA68" s="5767"/>
      <c r="CB68" s="530"/>
      <c r="CC68" s="524"/>
      <c r="CD68" s="524"/>
      <c r="CE68" s="369"/>
      <c r="CF68" s="2271">
        <v>20</v>
      </c>
      <c r="CG68" s="6203" t="s">
        <v>2001</v>
      </c>
      <c r="CH68" s="6133"/>
      <c r="CI68" s="6204" t="str">
        <f>IF(CF66=0,"",VLOOKUP(CF66,'Tablas psiquica'!$D$7:$R$145,6,FALSE))</f>
        <v/>
      </c>
      <c r="CJ68" s="6205"/>
      <c r="CK68" s="6205"/>
      <c r="CL68" s="5767"/>
      <c r="CN68" s="2271">
        <v>20</v>
      </c>
      <c r="CO68" s="6203" t="s">
        <v>2001</v>
      </c>
      <c r="CP68" s="6133"/>
      <c r="CQ68" s="6204" t="str">
        <f>IF(CN66=0,"",VLOOKUP(CN66,'Tablas psiquica'!$D$7:$R$145,6,FALSE))</f>
        <v/>
      </c>
      <c r="CR68" s="6205"/>
      <c r="CS68" s="6205"/>
      <c r="CT68" s="5767"/>
      <c r="CU68" s="369"/>
      <c r="CV68" s="2271">
        <v>20</v>
      </c>
      <c r="CW68" s="6203" t="s">
        <v>2001</v>
      </c>
      <c r="CX68" s="6133"/>
      <c r="CY68" s="6204" t="str">
        <f>IF(CV66=0,"",VLOOKUP(CV66,'Tablas psiquica'!$D$7:$R$145,6,FALSE))</f>
        <v/>
      </c>
      <c r="CZ68" s="6205"/>
      <c r="DA68" s="6205"/>
      <c r="DB68" s="5767"/>
      <c r="DC68" s="530"/>
      <c r="DD68" s="524"/>
    </row>
    <row r="69" spans="1:108" ht="12" customHeight="1" x14ac:dyDescent="0.2">
      <c r="A69" s="524"/>
      <c r="B69" s="369"/>
      <c r="C69" s="2270">
        <v>40</v>
      </c>
      <c r="D69" s="6199" t="s">
        <v>2005</v>
      </c>
      <c r="E69" s="6138"/>
      <c r="F69" s="6200" t="str">
        <f>IF(C66=0,"",VLOOKUP(C66,'Tablas psiquica'!$D$7:$R$145,7,FALSE))</f>
        <v/>
      </c>
      <c r="G69" s="6201"/>
      <c r="H69" s="6201"/>
      <c r="I69" s="6202"/>
      <c r="K69" s="2270">
        <v>40</v>
      </c>
      <c r="L69" s="6199" t="s">
        <v>2005</v>
      </c>
      <c r="M69" s="6138"/>
      <c r="N69" s="6200" t="str">
        <f>IF(K66=0,"",VLOOKUP(K66,'Tablas psiquica'!$D$7:$R$145,7,FALSE))</f>
        <v/>
      </c>
      <c r="O69" s="6201"/>
      <c r="P69" s="6201"/>
      <c r="Q69" s="6202"/>
      <c r="R69" s="369"/>
      <c r="S69" s="2270">
        <v>40</v>
      </c>
      <c r="T69" s="6199" t="s">
        <v>2005</v>
      </c>
      <c r="U69" s="6138"/>
      <c r="V69" s="6200" t="str">
        <f>IF(S66=0,"",VLOOKUP(S66,'Tablas psiquica'!$D$7:$R$145,7,FALSE))</f>
        <v/>
      </c>
      <c r="W69" s="6201"/>
      <c r="X69" s="6201"/>
      <c r="Y69" s="6202"/>
      <c r="Z69" s="530"/>
      <c r="AA69" s="524"/>
      <c r="AB69" s="524"/>
      <c r="AC69" s="369"/>
      <c r="AD69" s="2270">
        <v>40</v>
      </c>
      <c r="AE69" s="6199" t="s">
        <v>2005</v>
      </c>
      <c r="AF69" s="6138"/>
      <c r="AG69" s="6200" t="str">
        <f>IF(AD66=0,"",VLOOKUP(AD66,'Tablas psiquica'!$D$7:$R$145,7,FALSE))</f>
        <v/>
      </c>
      <c r="AH69" s="6201"/>
      <c r="AI69" s="6201"/>
      <c r="AJ69" s="6202"/>
      <c r="AL69" s="2270">
        <v>40</v>
      </c>
      <c r="AM69" s="6199" t="s">
        <v>2005</v>
      </c>
      <c r="AN69" s="6138"/>
      <c r="AO69" s="6200" t="str">
        <f>IF(AL66=0,"",VLOOKUP(AL66,'Tablas psiquica'!$D$7:$R$145,7,FALSE))</f>
        <v/>
      </c>
      <c r="AP69" s="6201"/>
      <c r="AQ69" s="6201"/>
      <c r="AR69" s="6202"/>
      <c r="AS69" s="369"/>
      <c r="AT69" s="2270">
        <v>40</v>
      </c>
      <c r="AU69" s="6199" t="s">
        <v>2005</v>
      </c>
      <c r="AV69" s="6138"/>
      <c r="AW69" s="6200" t="str">
        <f>IF(AT66=0,"",VLOOKUP(AT66,'Tablas psiquica'!$D$7:$R$145,7,FALSE))</f>
        <v/>
      </c>
      <c r="AX69" s="6201"/>
      <c r="AY69" s="6201"/>
      <c r="AZ69" s="6202"/>
      <c r="BA69" s="530"/>
      <c r="BB69" s="524"/>
      <c r="BC69" s="524"/>
      <c r="BD69" s="369"/>
      <c r="BE69" s="2270">
        <v>40</v>
      </c>
      <c r="BF69" s="6199" t="s">
        <v>2005</v>
      </c>
      <c r="BG69" s="6138"/>
      <c r="BH69" s="6200" t="str">
        <f>IF(BE66=0,"",VLOOKUP(BE66,'Tablas psiquica'!$D$7:$R$145,7,FALSE))</f>
        <v/>
      </c>
      <c r="BI69" s="6201"/>
      <c r="BJ69" s="6201"/>
      <c r="BK69" s="6202"/>
      <c r="BM69" s="2270">
        <v>40</v>
      </c>
      <c r="BN69" s="6199" t="s">
        <v>2005</v>
      </c>
      <c r="BO69" s="6138"/>
      <c r="BP69" s="6200" t="str">
        <f>IF(BM66=0,"",VLOOKUP(BM66,'Tablas psiquica'!$D$7:$R$145,7,FALSE))</f>
        <v/>
      </c>
      <c r="BQ69" s="6201"/>
      <c r="BR69" s="6201"/>
      <c r="BS69" s="6202"/>
      <c r="BT69" s="369"/>
      <c r="BU69" s="2270">
        <v>40</v>
      </c>
      <c r="BV69" s="6199" t="s">
        <v>2005</v>
      </c>
      <c r="BW69" s="6138"/>
      <c r="BX69" s="6200" t="str">
        <f>IF(BU66=0,"",VLOOKUP(BU66,'Tablas psiquica'!$D$7:$R$145,7,FALSE))</f>
        <v/>
      </c>
      <c r="BY69" s="6201"/>
      <c r="BZ69" s="6201"/>
      <c r="CA69" s="6202"/>
      <c r="CB69" s="530"/>
      <c r="CC69" s="524"/>
      <c r="CD69" s="524"/>
      <c r="CE69" s="369"/>
      <c r="CF69" s="2270">
        <v>40</v>
      </c>
      <c r="CG69" s="6199" t="s">
        <v>2005</v>
      </c>
      <c r="CH69" s="6138"/>
      <c r="CI69" s="6200" t="str">
        <f>IF(CF66=0,"",VLOOKUP(CF66,'Tablas psiquica'!$D$7:$R$145,7,FALSE))</f>
        <v/>
      </c>
      <c r="CJ69" s="6201"/>
      <c r="CK69" s="6201"/>
      <c r="CL69" s="6202"/>
      <c r="CN69" s="2270">
        <v>40</v>
      </c>
      <c r="CO69" s="6199" t="s">
        <v>2005</v>
      </c>
      <c r="CP69" s="6138"/>
      <c r="CQ69" s="6200" t="str">
        <f>IF(CN66=0,"",VLOOKUP(CN66,'Tablas psiquica'!$D$7:$R$145,7,FALSE))</f>
        <v/>
      </c>
      <c r="CR69" s="6201"/>
      <c r="CS69" s="6201"/>
      <c r="CT69" s="6202"/>
      <c r="CU69" s="369"/>
      <c r="CV69" s="2270">
        <v>40</v>
      </c>
      <c r="CW69" s="6199" t="s">
        <v>2005</v>
      </c>
      <c r="CX69" s="6138"/>
      <c r="CY69" s="6200" t="str">
        <f>IF(CV66=0,"",VLOOKUP(CV66,'Tablas psiquica'!$D$7:$R$145,7,FALSE))</f>
        <v/>
      </c>
      <c r="CZ69" s="6201"/>
      <c r="DA69" s="6201"/>
      <c r="DB69" s="6202"/>
      <c r="DC69" s="530"/>
      <c r="DD69" s="524"/>
    </row>
    <row r="70" spans="1:108" ht="12" customHeight="1" x14ac:dyDescent="0.2">
      <c r="A70" s="524"/>
      <c r="B70" s="369"/>
      <c r="C70" s="2271">
        <v>80</v>
      </c>
      <c r="D70" s="6203" t="s">
        <v>2008</v>
      </c>
      <c r="E70" s="6133"/>
      <c r="F70" s="6204" t="str">
        <f>IF(C66=0,"",VLOOKUP(C66,'Tablas psiquica'!$D$7:$R$145,8,FALSE))</f>
        <v/>
      </c>
      <c r="G70" s="6205"/>
      <c r="H70" s="6205"/>
      <c r="I70" s="5767"/>
      <c r="K70" s="2271">
        <v>80</v>
      </c>
      <c r="L70" s="6203" t="s">
        <v>2008</v>
      </c>
      <c r="M70" s="6133"/>
      <c r="N70" s="6204" t="str">
        <f>IF(K66=0,"",VLOOKUP(K66,'Tablas psiquica'!$D$7:$R$145,8,FALSE))</f>
        <v/>
      </c>
      <c r="O70" s="6205"/>
      <c r="P70" s="6205"/>
      <c r="Q70" s="5767"/>
      <c r="R70" s="369"/>
      <c r="S70" s="2271">
        <v>80</v>
      </c>
      <c r="T70" s="6203" t="s">
        <v>2008</v>
      </c>
      <c r="U70" s="6133"/>
      <c r="V70" s="6204" t="str">
        <f>IF(S66=0,"",VLOOKUP(S66,'Tablas psiquica'!$D$7:$R$145,8,FALSE))</f>
        <v/>
      </c>
      <c r="W70" s="6205"/>
      <c r="X70" s="6205"/>
      <c r="Y70" s="5767"/>
      <c r="Z70" s="530"/>
      <c r="AA70" s="524"/>
      <c r="AB70" s="524"/>
      <c r="AC70" s="369"/>
      <c r="AD70" s="2271">
        <v>80</v>
      </c>
      <c r="AE70" s="6203" t="s">
        <v>2008</v>
      </c>
      <c r="AF70" s="6133"/>
      <c r="AG70" s="6204" t="str">
        <f>IF(AD66=0,"",VLOOKUP(AD66,'Tablas psiquica'!$D$7:$R$145,8,FALSE))</f>
        <v/>
      </c>
      <c r="AH70" s="6205"/>
      <c r="AI70" s="6205"/>
      <c r="AJ70" s="5767"/>
      <c r="AL70" s="2271">
        <v>80</v>
      </c>
      <c r="AM70" s="6203" t="s">
        <v>2008</v>
      </c>
      <c r="AN70" s="6133"/>
      <c r="AO70" s="6204" t="str">
        <f>IF(AL66=0,"",VLOOKUP(AL66,'Tablas psiquica'!$D$7:$R$145,8,FALSE))</f>
        <v/>
      </c>
      <c r="AP70" s="6205"/>
      <c r="AQ70" s="6205"/>
      <c r="AR70" s="5767"/>
      <c r="AS70" s="369"/>
      <c r="AT70" s="2271">
        <v>80</v>
      </c>
      <c r="AU70" s="6203" t="s">
        <v>2008</v>
      </c>
      <c r="AV70" s="6133"/>
      <c r="AW70" s="6204" t="str">
        <f>IF(AT66=0,"",VLOOKUP(AT66,'Tablas psiquica'!$D$7:$R$145,8,FALSE))</f>
        <v/>
      </c>
      <c r="AX70" s="6205"/>
      <c r="AY70" s="6205"/>
      <c r="AZ70" s="5767"/>
      <c r="BA70" s="530"/>
      <c r="BB70" s="524"/>
      <c r="BC70" s="524"/>
      <c r="BD70" s="369"/>
      <c r="BE70" s="2271">
        <v>80</v>
      </c>
      <c r="BF70" s="6203" t="s">
        <v>2008</v>
      </c>
      <c r="BG70" s="6133"/>
      <c r="BH70" s="6204" t="str">
        <f>IF(BE66=0,"",VLOOKUP(BE66,'Tablas psiquica'!$D$7:$R$145,8,FALSE))</f>
        <v/>
      </c>
      <c r="BI70" s="6205"/>
      <c r="BJ70" s="6205"/>
      <c r="BK70" s="5767"/>
      <c r="BM70" s="2271">
        <v>80</v>
      </c>
      <c r="BN70" s="6203" t="s">
        <v>2008</v>
      </c>
      <c r="BO70" s="6133"/>
      <c r="BP70" s="6204" t="str">
        <f>IF(BM66=0,"",VLOOKUP(BM66,'Tablas psiquica'!$D$7:$R$145,8,FALSE))</f>
        <v/>
      </c>
      <c r="BQ70" s="6205"/>
      <c r="BR70" s="6205"/>
      <c r="BS70" s="5767"/>
      <c r="BT70" s="369"/>
      <c r="BU70" s="2271">
        <v>80</v>
      </c>
      <c r="BV70" s="6203" t="s">
        <v>2008</v>
      </c>
      <c r="BW70" s="6133"/>
      <c r="BX70" s="6204" t="str">
        <f>IF(BU66=0,"",VLOOKUP(BU66,'Tablas psiquica'!$D$7:$R$145,8,FALSE))</f>
        <v/>
      </c>
      <c r="BY70" s="6205"/>
      <c r="BZ70" s="6205"/>
      <c r="CA70" s="5767"/>
      <c r="CB70" s="530"/>
      <c r="CC70" s="524"/>
      <c r="CD70" s="524"/>
      <c r="CE70" s="369"/>
      <c r="CF70" s="2271">
        <v>80</v>
      </c>
      <c r="CG70" s="6203" t="s">
        <v>2008</v>
      </c>
      <c r="CH70" s="6133"/>
      <c r="CI70" s="6204" t="str">
        <f>IF(CF66=0,"",VLOOKUP(CF66,'Tablas psiquica'!$D$7:$R$145,8,FALSE))</f>
        <v/>
      </c>
      <c r="CJ70" s="6205"/>
      <c r="CK70" s="6205"/>
      <c r="CL70" s="5767"/>
      <c r="CN70" s="2271">
        <v>80</v>
      </c>
      <c r="CO70" s="6203" t="s">
        <v>2008</v>
      </c>
      <c r="CP70" s="6133"/>
      <c r="CQ70" s="6204" t="str">
        <f>IF(CN66=0,"",VLOOKUP(CN66,'Tablas psiquica'!$D$7:$R$145,8,FALSE))</f>
        <v/>
      </c>
      <c r="CR70" s="6205"/>
      <c r="CS70" s="6205"/>
      <c r="CT70" s="5767"/>
      <c r="CU70" s="369"/>
      <c r="CV70" s="2271">
        <v>80</v>
      </c>
      <c r="CW70" s="6203" t="s">
        <v>2008</v>
      </c>
      <c r="CX70" s="6133"/>
      <c r="CY70" s="6204" t="str">
        <f>IF(CV66=0,"",VLOOKUP(CV66,'Tablas psiquica'!$D$7:$R$145,8,FALSE))</f>
        <v/>
      </c>
      <c r="CZ70" s="6205"/>
      <c r="DA70" s="6205"/>
      <c r="DB70" s="5767"/>
      <c r="DC70" s="530"/>
      <c r="DD70" s="524"/>
    </row>
    <row r="71" spans="1:108" ht="12" customHeight="1" x14ac:dyDescent="0.2">
      <c r="A71" s="524"/>
      <c r="B71" s="369"/>
      <c r="C71" s="2270">
        <v>120</v>
      </c>
      <c r="D71" s="6199" t="s">
        <v>2012</v>
      </c>
      <c r="E71" s="6138"/>
      <c r="F71" s="6200" t="str">
        <f>IF(C66=0,"",VLOOKUP(C66,'Tablas psiquica'!$D$7:$R$145,9,FALSE))</f>
        <v/>
      </c>
      <c r="G71" s="6201"/>
      <c r="H71" s="6201"/>
      <c r="I71" s="6202"/>
      <c r="K71" s="2270">
        <v>120</v>
      </c>
      <c r="L71" s="6199" t="s">
        <v>2012</v>
      </c>
      <c r="M71" s="6138"/>
      <c r="N71" s="6200" t="str">
        <f>IF(K66=0,"",VLOOKUP(K66,'Tablas psiquica'!$D$7:$R$145,9,FALSE))</f>
        <v/>
      </c>
      <c r="O71" s="6201"/>
      <c r="P71" s="6201"/>
      <c r="Q71" s="6202"/>
      <c r="R71" s="369"/>
      <c r="S71" s="2270">
        <v>120</v>
      </c>
      <c r="T71" s="6199" t="s">
        <v>2012</v>
      </c>
      <c r="U71" s="6138"/>
      <c r="V71" s="6200" t="str">
        <f>IF(S66=0,"",VLOOKUP(S66,'Tablas psiquica'!$D$7:$R$145,9,FALSE))</f>
        <v/>
      </c>
      <c r="W71" s="6201"/>
      <c r="X71" s="6201"/>
      <c r="Y71" s="6202"/>
      <c r="Z71" s="530"/>
      <c r="AA71" s="524"/>
      <c r="AB71" s="524"/>
      <c r="AC71" s="369"/>
      <c r="AD71" s="2270">
        <v>120</v>
      </c>
      <c r="AE71" s="6199" t="s">
        <v>2012</v>
      </c>
      <c r="AF71" s="6138"/>
      <c r="AG71" s="6200" t="str">
        <f>IF(AD66=0,"",VLOOKUP(AD66,'Tablas psiquica'!$D$7:$R$145,9,FALSE))</f>
        <v/>
      </c>
      <c r="AH71" s="6201"/>
      <c r="AI71" s="6201"/>
      <c r="AJ71" s="6202"/>
      <c r="AL71" s="2270">
        <v>120</v>
      </c>
      <c r="AM71" s="6199" t="s">
        <v>2012</v>
      </c>
      <c r="AN71" s="6138"/>
      <c r="AO71" s="6200" t="str">
        <f>IF(AL66=0,"",VLOOKUP(AL66,'Tablas psiquica'!$D$7:$R$145,9,FALSE))</f>
        <v/>
      </c>
      <c r="AP71" s="6201"/>
      <c r="AQ71" s="6201"/>
      <c r="AR71" s="6202"/>
      <c r="AS71" s="369"/>
      <c r="AT71" s="2270">
        <v>120</v>
      </c>
      <c r="AU71" s="6199" t="s">
        <v>2012</v>
      </c>
      <c r="AV71" s="6138"/>
      <c r="AW71" s="6200" t="str">
        <f>IF(AT66=0,"",VLOOKUP(AT66,'Tablas psiquica'!$D$7:$R$145,9,FALSE))</f>
        <v/>
      </c>
      <c r="AX71" s="6201"/>
      <c r="AY71" s="6201"/>
      <c r="AZ71" s="6202"/>
      <c r="BA71" s="530"/>
      <c r="BB71" s="524"/>
      <c r="BC71" s="524"/>
      <c r="BD71" s="369"/>
      <c r="BE71" s="2270">
        <v>120</v>
      </c>
      <c r="BF71" s="6199" t="s">
        <v>2012</v>
      </c>
      <c r="BG71" s="6138"/>
      <c r="BH71" s="6200" t="str">
        <f>IF(BE66=0,"",VLOOKUP(BE66,'Tablas psiquica'!$D$7:$R$145,9,FALSE))</f>
        <v/>
      </c>
      <c r="BI71" s="6201"/>
      <c r="BJ71" s="6201"/>
      <c r="BK71" s="6202"/>
      <c r="BM71" s="2270">
        <v>120</v>
      </c>
      <c r="BN71" s="6199" t="s">
        <v>2012</v>
      </c>
      <c r="BO71" s="6138"/>
      <c r="BP71" s="6200" t="str">
        <f>IF(BM66=0,"",VLOOKUP(BM66,'Tablas psiquica'!$D$7:$R$145,9,FALSE))</f>
        <v/>
      </c>
      <c r="BQ71" s="6201"/>
      <c r="BR71" s="6201"/>
      <c r="BS71" s="6202"/>
      <c r="BT71" s="369"/>
      <c r="BU71" s="2270">
        <v>120</v>
      </c>
      <c r="BV71" s="6199" t="s">
        <v>2012</v>
      </c>
      <c r="BW71" s="6138"/>
      <c r="BX71" s="6200" t="str">
        <f>IF(BU66=0,"",VLOOKUP(BU66,'Tablas psiquica'!$D$7:$R$145,9,FALSE))</f>
        <v/>
      </c>
      <c r="BY71" s="6201"/>
      <c r="BZ71" s="6201"/>
      <c r="CA71" s="6202"/>
      <c r="CB71" s="530"/>
      <c r="CC71" s="524"/>
      <c r="CD71" s="524"/>
      <c r="CE71" s="369"/>
      <c r="CF71" s="2270">
        <v>120</v>
      </c>
      <c r="CG71" s="6199" t="s">
        <v>2012</v>
      </c>
      <c r="CH71" s="6138"/>
      <c r="CI71" s="6200" t="str">
        <f>IF(CF66=0,"",VLOOKUP(CF66,'Tablas psiquica'!$D$7:$R$145,9,FALSE))</f>
        <v/>
      </c>
      <c r="CJ71" s="6201"/>
      <c r="CK71" s="6201"/>
      <c r="CL71" s="6202"/>
      <c r="CN71" s="2270">
        <v>120</v>
      </c>
      <c r="CO71" s="6199" t="s">
        <v>2012</v>
      </c>
      <c r="CP71" s="6138"/>
      <c r="CQ71" s="6200" t="str">
        <f>IF(CN66=0,"",VLOOKUP(CN66,'Tablas psiquica'!$D$7:$R$145,9,FALSE))</f>
        <v/>
      </c>
      <c r="CR71" s="6201"/>
      <c r="CS71" s="6201"/>
      <c r="CT71" s="6202"/>
      <c r="CU71" s="369"/>
      <c r="CV71" s="2270">
        <v>120</v>
      </c>
      <c r="CW71" s="6199" t="s">
        <v>2012</v>
      </c>
      <c r="CX71" s="6138"/>
      <c r="CY71" s="6200" t="str">
        <f>IF(CV66=0,"",VLOOKUP(CV66,'Tablas psiquica'!$D$7:$R$145,9,FALSE))</f>
        <v/>
      </c>
      <c r="CZ71" s="6201"/>
      <c r="DA71" s="6201"/>
      <c r="DB71" s="6202"/>
      <c r="DC71" s="530"/>
      <c r="DD71" s="524"/>
    </row>
    <row r="72" spans="1:108" ht="12" customHeight="1" x14ac:dyDescent="0.2">
      <c r="A72" s="524"/>
      <c r="B72" s="369"/>
      <c r="C72" s="2271">
        <v>140</v>
      </c>
      <c r="D72" s="6203" t="s">
        <v>6894</v>
      </c>
      <c r="E72" s="6133"/>
      <c r="F72" s="6204" t="str">
        <f>IF(C66=0,"",VLOOKUP(C66,'Tablas psiquica'!$D$7:$R$145,10,FALSE))</f>
        <v/>
      </c>
      <c r="G72" s="6205"/>
      <c r="H72" s="6205"/>
      <c r="I72" s="5767"/>
      <c r="K72" s="2271">
        <v>140</v>
      </c>
      <c r="L72" s="6203" t="s">
        <v>6894</v>
      </c>
      <c r="M72" s="6133"/>
      <c r="N72" s="6204" t="str">
        <f>IF(K66=0,"",VLOOKUP(K66,'Tablas psiquica'!$D$7:$R$145,10,FALSE))</f>
        <v/>
      </c>
      <c r="O72" s="6205"/>
      <c r="P72" s="6205"/>
      <c r="Q72" s="5767"/>
      <c r="R72" s="369"/>
      <c r="S72" s="2271">
        <v>140</v>
      </c>
      <c r="T72" s="6203" t="s">
        <v>6894</v>
      </c>
      <c r="U72" s="6133"/>
      <c r="V72" s="6204" t="str">
        <f>IF(S66=0,"",VLOOKUP(S66,'Tablas psiquica'!$D$7:$R$145,10,FALSE))</f>
        <v/>
      </c>
      <c r="W72" s="6205"/>
      <c r="X72" s="6205"/>
      <c r="Y72" s="5767"/>
      <c r="Z72" s="530"/>
      <c r="AA72" s="524"/>
      <c r="AB72" s="524"/>
      <c r="AC72" s="369"/>
      <c r="AD72" s="2271">
        <v>140</v>
      </c>
      <c r="AE72" s="6203" t="s">
        <v>6894</v>
      </c>
      <c r="AF72" s="6133"/>
      <c r="AG72" s="6204" t="str">
        <f>IF(AD66=0,"",VLOOKUP(AD66,'Tablas psiquica'!$D$7:$R$145,10,FALSE))</f>
        <v/>
      </c>
      <c r="AH72" s="6205"/>
      <c r="AI72" s="6205"/>
      <c r="AJ72" s="5767"/>
      <c r="AL72" s="2271">
        <v>140</v>
      </c>
      <c r="AM72" s="6203" t="s">
        <v>6894</v>
      </c>
      <c r="AN72" s="6133"/>
      <c r="AO72" s="6204" t="str">
        <f>IF(AL66=0,"",VLOOKUP(AL66,'Tablas psiquica'!$D$7:$R$145,10,FALSE))</f>
        <v/>
      </c>
      <c r="AP72" s="6205"/>
      <c r="AQ72" s="6205"/>
      <c r="AR72" s="5767"/>
      <c r="AS72" s="369"/>
      <c r="AT72" s="2271">
        <v>140</v>
      </c>
      <c r="AU72" s="6203" t="s">
        <v>6894</v>
      </c>
      <c r="AV72" s="6133"/>
      <c r="AW72" s="6204" t="str">
        <f>IF(AT66=0,"",VLOOKUP(AT66,'Tablas psiquica'!$D$7:$R$145,10,FALSE))</f>
        <v/>
      </c>
      <c r="AX72" s="6205"/>
      <c r="AY72" s="6205"/>
      <c r="AZ72" s="5767"/>
      <c r="BA72" s="530"/>
      <c r="BB72" s="524"/>
      <c r="BC72" s="524"/>
      <c r="BD72" s="369"/>
      <c r="BE72" s="2271">
        <v>140</v>
      </c>
      <c r="BF72" s="6203" t="s">
        <v>6894</v>
      </c>
      <c r="BG72" s="6133"/>
      <c r="BH72" s="6204" t="str">
        <f>IF(BE66=0,"",VLOOKUP(BE66,'Tablas psiquica'!$D$7:$R$145,10,FALSE))</f>
        <v/>
      </c>
      <c r="BI72" s="6205"/>
      <c r="BJ72" s="6205"/>
      <c r="BK72" s="5767"/>
      <c r="BM72" s="2271">
        <v>140</v>
      </c>
      <c r="BN72" s="6203" t="s">
        <v>6894</v>
      </c>
      <c r="BO72" s="6133"/>
      <c r="BP72" s="6204" t="str">
        <f>IF(BM66=0,"",VLOOKUP(BM66,'Tablas psiquica'!$D$7:$R$145,10,FALSE))</f>
        <v/>
      </c>
      <c r="BQ72" s="6205"/>
      <c r="BR72" s="6205"/>
      <c r="BS72" s="5767"/>
      <c r="BT72" s="369"/>
      <c r="BU72" s="2271">
        <v>140</v>
      </c>
      <c r="BV72" s="6203" t="s">
        <v>6894</v>
      </c>
      <c r="BW72" s="6133"/>
      <c r="BX72" s="6204" t="str">
        <f>IF(BU66=0,"",VLOOKUP(BU66,'Tablas psiquica'!$D$7:$R$145,10,FALSE))</f>
        <v/>
      </c>
      <c r="BY72" s="6205"/>
      <c r="BZ72" s="6205"/>
      <c r="CA72" s="5767"/>
      <c r="CB72" s="530"/>
      <c r="CC72" s="524"/>
      <c r="CD72" s="524"/>
      <c r="CE72" s="369"/>
      <c r="CF72" s="2271">
        <v>140</v>
      </c>
      <c r="CG72" s="6203" t="s">
        <v>6894</v>
      </c>
      <c r="CH72" s="6133"/>
      <c r="CI72" s="6204" t="str">
        <f>IF(CF66=0,"",VLOOKUP(CF66,'Tablas psiquica'!$D$7:$R$145,10,FALSE))</f>
        <v/>
      </c>
      <c r="CJ72" s="6205"/>
      <c r="CK72" s="6205"/>
      <c r="CL72" s="5767"/>
      <c r="CN72" s="2271">
        <v>140</v>
      </c>
      <c r="CO72" s="6203" t="s">
        <v>6894</v>
      </c>
      <c r="CP72" s="6133"/>
      <c r="CQ72" s="6204" t="str">
        <f>IF(CN66=0,"",VLOOKUP(CN66,'Tablas psiquica'!$D$7:$R$145,10,FALSE))</f>
        <v/>
      </c>
      <c r="CR72" s="6205"/>
      <c r="CS72" s="6205"/>
      <c r="CT72" s="5767"/>
      <c r="CU72" s="369"/>
      <c r="CV72" s="2271">
        <v>140</v>
      </c>
      <c r="CW72" s="6203" t="s">
        <v>6894</v>
      </c>
      <c r="CX72" s="6133"/>
      <c r="CY72" s="6204" t="str">
        <f>IF(CV66=0,"",VLOOKUP(CV66,'Tablas psiquica'!$D$7:$R$145,10,FALSE))</f>
        <v/>
      </c>
      <c r="CZ72" s="6205"/>
      <c r="DA72" s="6205"/>
      <c r="DB72" s="5767"/>
      <c r="DC72" s="530"/>
      <c r="DD72" s="524"/>
    </row>
    <row r="73" spans="1:108" ht="12" customHeight="1" x14ac:dyDescent="0.2">
      <c r="A73" s="524"/>
      <c r="B73" s="369"/>
      <c r="C73" s="2270">
        <v>180</v>
      </c>
      <c r="D73" s="6199" t="s">
        <v>2017</v>
      </c>
      <c r="E73" s="6138"/>
      <c r="F73" s="6200" t="str">
        <f>IF(C66=0,"",VLOOKUP(C66,'Tablas psiquica'!$D$7:$R$145,11,FALSE))</f>
        <v/>
      </c>
      <c r="G73" s="6201"/>
      <c r="H73" s="6201"/>
      <c r="I73" s="6202"/>
      <c r="K73" s="2270">
        <v>180</v>
      </c>
      <c r="L73" s="6199" t="s">
        <v>2017</v>
      </c>
      <c r="M73" s="6138"/>
      <c r="N73" s="6200" t="str">
        <f>IF(K66=0,"",VLOOKUP(K66,'Tablas psiquica'!$D$7:$R$145,11,FALSE))</f>
        <v/>
      </c>
      <c r="O73" s="6201"/>
      <c r="P73" s="6201"/>
      <c r="Q73" s="6202"/>
      <c r="R73" s="369"/>
      <c r="S73" s="2270">
        <v>180</v>
      </c>
      <c r="T73" s="6199" t="s">
        <v>2017</v>
      </c>
      <c r="U73" s="6138"/>
      <c r="V73" s="6200" t="str">
        <f>IF(S66=0,"",VLOOKUP(S66,'Tablas psiquica'!$D$7:$R$145,11,FALSE))</f>
        <v/>
      </c>
      <c r="W73" s="6201"/>
      <c r="X73" s="6201"/>
      <c r="Y73" s="6202"/>
      <c r="Z73" s="530"/>
      <c r="AA73" s="524"/>
      <c r="AB73" s="524"/>
      <c r="AC73" s="369"/>
      <c r="AD73" s="2270">
        <v>180</v>
      </c>
      <c r="AE73" s="6199" t="s">
        <v>2017</v>
      </c>
      <c r="AF73" s="6138"/>
      <c r="AG73" s="6200" t="str">
        <f>IF(AD66=0,"",VLOOKUP(AD66,'Tablas psiquica'!$D$7:$R$145,11,FALSE))</f>
        <v/>
      </c>
      <c r="AH73" s="6201"/>
      <c r="AI73" s="6201"/>
      <c r="AJ73" s="6202"/>
      <c r="AL73" s="2270">
        <v>180</v>
      </c>
      <c r="AM73" s="6199" t="s">
        <v>2017</v>
      </c>
      <c r="AN73" s="6138"/>
      <c r="AO73" s="6200" t="str">
        <f>IF(AL66=0,"",VLOOKUP(AL66,'Tablas psiquica'!$D$7:$R$145,11,FALSE))</f>
        <v/>
      </c>
      <c r="AP73" s="6201"/>
      <c r="AQ73" s="6201"/>
      <c r="AR73" s="6202"/>
      <c r="AS73" s="369"/>
      <c r="AT73" s="2270">
        <v>180</v>
      </c>
      <c r="AU73" s="6199" t="s">
        <v>2017</v>
      </c>
      <c r="AV73" s="6138"/>
      <c r="AW73" s="6200" t="str">
        <f>IF(AT66=0,"",VLOOKUP(AT66,'Tablas psiquica'!$D$7:$R$145,11,FALSE))</f>
        <v/>
      </c>
      <c r="AX73" s="6201"/>
      <c r="AY73" s="6201"/>
      <c r="AZ73" s="6202"/>
      <c r="BA73" s="530"/>
      <c r="BB73" s="524"/>
      <c r="BC73" s="524"/>
      <c r="BD73" s="369"/>
      <c r="BE73" s="2270">
        <v>180</v>
      </c>
      <c r="BF73" s="6199" t="s">
        <v>2017</v>
      </c>
      <c r="BG73" s="6138"/>
      <c r="BH73" s="6200" t="str">
        <f>IF(BE66=0,"",VLOOKUP(BE66,'Tablas psiquica'!$D$7:$R$145,11,FALSE))</f>
        <v/>
      </c>
      <c r="BI73" s="6201"/>
      <c r="BJ73" s="6201"/>
      <c r="BK73" s="6202"/>
      <c r="BM73" s="2270">
        <v>180</v>
      </c>
      <c r="BN73" s="6199" t="s">
        <v>2017</v>
      </c>
      <c r="BO73" s="6138"/>
      <c r="BP73" s="6200" t="str">
        <f>IF(BM66=0,"",VLOOKUP(BM66,'Tablas psiquica'!$D$7:$R$145,11,FALSE))</f>
        <v/>
      </c>
      <c r="BQ73" s="6201"/>
      <c r="BR73" s="6201"/>
      <c r="BS73" s="6202"/>
      <c r="BT73" s="369"/>
      <c r="BU73" s="2270">
        <v>180</v>
      </c>
      <c r="BV73" s="6199" t="s">
        <v>2017</v>
      </c>
      <c r="BW73" s="6138"/>
      <c r="BX73" s="6200" t="str">
        <f>IF(BU66=0,"",VLOOKUP(BU66,'Tablas psiquica'!$D$7:$R$145,11,FALSE))</f>
        <v/>
      </c>
      <c r="BY73" s="6201"/>
      <c r="BZ73" s="6201"/>
      <c r="CA73" s="6202"/>
      <c r="CB73" s="530"/>
      <c r="CC73" s="524"/>
      <c r="CD73" s="524"/>
      <c r="CE73" s="369"/>
      <c r="CF73" s="2270">
        <v>180</v>
      </c>
      <c r="CG73" s="6199" t="s">
        <v>2017</v>
      </c>
      <c r="CH73" s="6138"/>
      <c r="CI73" s="6200" t="str">
        <f>IF(CF66=0,"",VLOOKUP(CF66,'Tablas psiquica'!$D$7:$R$145,11,FALSE))</f>
        <v/>
      </c>
      <c r="CJ73" s="6201"/>
      <c r="CK73" s="6201"/>
      <c r="CL73" s="6202"/>
      <c r="CN73" s="2270">
        <v>180</v>
      </c>
      <c r="CO73" s="6199" t="s">
        <v>2017</v>
      </c>
      <c r="CP73" s="6138"/>
      <c r="CQ73" s="6200" t="str">
        <f>IF(CN66=0,"",VLOOKUP(CN66,'Tablas psiquica'!$D$7:$R$145,11,FALSE))</f>
        <v/>
      </c>
      <c r="CR73" s="6201"/>
      <c r="CS73" s="6201"/>
      <c r="CT73" s="6202"/>
      <c r="CU73" s="369"/>
      <c r="CV73" s="2270">
        <v>180</v>
      </c>
      <c r="CW73" s="6199" t="s">
        <v>2017</v>
      </c>
      <c r="CX73" s="6138"/>
      <c r="CY73" s="6200" t="str">
        <f>IF(CV66=0,"",VLOOKUP(CV66,'Tablas psiquica'!$D$7:$R$145,11,FALSE))</f>
        <v/>
      </c>
      <c r="CZ73" s="6201"/>
      <c r="DA73" s="6201"/>
      <c r="DB73" s="6202"/>
      <c r="DC73" s="530"/>
      <c r="DD73" s="524"/>
    </row>
    <row r="74" spans="1:108" ht="12" customHeight="1" x14ac:dyDescent="0.2">
      <c r="A74" s="524"/>
      <c r="B74" s="369"/>
      <c r="C74" s="2271">
        <v>240</v>
      </c>
      <c r="D74" s="6203" t="s">
        <v>6895</v>
      </c>
      <c r="E74" s="6133"/>
      <c r="F74" s="6204" t="str">
        <f>IF(C66=0,"",VLOOKUP(C66,'Tablas psiquica'!$D$7:$R$145,12,FALSE))</f>
        <v/>
      </c>
      <c r="G74" s="6205"/>
      <c r="H74" s="6205"/>
      <c r="I74" s="5767"/>
      <c r="K74" s="2271">
        <v>240</v>
      </c>
      <c r="L74" s="6203" t="s">
        <v>6895</v>
      </c>
      <c r="M74" s="6133"/>
      <c r="N74" s="6204" t="str">
        <f>IF(K66=0,"",VLOOKUP(K66,'Tablas psiquica'!$D$7:$R$145,12,FALSE))</f>
        <v/>
      </c>
      <c r="O74" s="6205"/>
      <c r="P74" s="6205"/>
      <c r="Q74" s="5767"/>
      <c r="R74" s="369"/>
      <c r="S74" s="2271">
        <v>240</v>
      </c>
      <c r="T74" s="6203" t="s">
        <v>6895</v>
      </c>
      <c r="U74" s="6133"/>
      <c r="V74" s="6204" t="str">
        <f>IF(S66=0,"",VLOOKUP(S66,'Tablas psiquica'!$D$7:$R$145,12,FALSE))</f>
        <v/>
      </c>
      <c r="W74" s="6205"/>
      <c r="X74" s="6205"/>
      <c r="Y74" s="5767"/>
      <c r="Z74" s="530"/>
      <c r="AA74" s="524"/>
      <c r="AB74" s="524"/>
      <c r="AC74" s="369"/>
      <c r="AD74" s="2271">
        <v>240</v>
      </c>
      <c r="AE74" s="6203" t="s">
        <v>6895</v>
      </c>
      <c r="AF74" s="6133"/>
      <c r="AG74" s="6204" t="str">
        <f>IF(AD66=0,"",VLOOKUP(AD66,'Tablas psiquica'!$D$7:$R$145,12,FALSE))</f>
        <v/>
      </c>
      <c r="AH74" s="6205"/>
      <c r="AI74" s="6205"/>
      <c r="AJ74" s="5767"/>
      <c r="AL74" s="2271">
        <v>240</v>
      </c>
      <c r="AM74" s="6203" t="s">
        <v>6895</v>
      </c>
      <c r="AN74" s="6133"/>
      <c r="AO74" s="6204" t="str">
        <f>IF(AL66=0,"",VLOOKUP(AL66,'Tablas psiquica'!$D$7:$R$145,12,FALSE))</f>
        <v/>
      </c>
      <c r="AP74" s="6205"/>
      <c r="AQ74" s="6205"/>
      <c r="AR74" s="5767"/>
      <c r="AS74" s="369"/>
      <c r="AT74" s="2271">
        <v>240</v>
      </c>
      <c r="AU74" s="6203" t="s">
        <v>6895</v>
      </c>
      <c r="AV74" s="6133"/>
      <c r="AW74" s="6204" t="str">
        <f>IF(AT66=0,"",VLOOKUP(AT66,'Tablas psiquica'!$D$7:$R$145,12,FALSE))</f>
        <v/>
      </c>
      <c r="AX74" s="6205"/>
      <c r="AY74" s="6205"/>
      <c r="AZ74" s="5767"/>
      <c r="BA74" s="530"/>
      <c r="BB74" s="524"/>
      <c r="BC74" s="524"/>
      <c r="BD74" s="369"/>
      <c r="BE74" s="2271">
        <v>240</v>
      </c>
      <c r="BF74" s="6203" t="s">
        <v>6895</v>
      </c>
      <c r="BG74" s="6133"/>
      <c r="BH74" s="6204" t="str">
        <f>IF(BE66=0,"",VLOOKUP(BE66,'Tablas psiquica'!$D$7:$R$145,12,FALSE))</f>
        <v/>
      </c>
      <c r="BI74" s="6205"/>
      <c r="BJ74" s="6205"/>
      <c r="BK74" s="5767"/>
      <c r="BM74" s="2271">
        <v>240</v>
      </c>
      <c r="BN74" s="6203" t="s">
        <v>6895</v>
      </c>
      <c r="BO74" s="6133"/>
      <c r="BP74" s="6204" t="str">
        <f>IF(BM66=0,"",VLOOKUP(BM66,'Tablas psiquica'!$D$7:$R$145,12,FALSE))</f>
        <v/>
      </c>
      <c r="BQ74" s="6205"/>
      <c r="BR74" s="6205"/>
      <c r="BS74" s="5767"/>
      <c r="BT74" s="369"/>
      <c r="BU74" s="2271">
        <v>240</v>
      </c>
      <c r="BV74" s="6203" t="s">
        <v>6895</v>
      </c>
      <c r="BW74" s="6133"/>
      <c r="BX74" s="6204" t="str">
        <f>IF(BU66=0,"",VLOOKUP(BU66,'Tablas psiquica'!$D$7:$R$145,12,FALSE))</f>
        <v/>
      </c>
      <c r="BY74" s="6205"/>
      <c r="BZ74" s="6205"/>
      <c r="CA74" s="5767"/>
      <c r="CB74" s="530"/>
      <c r="CC74" s="524"/>
      <c r="CD74" s="524"/>
      <c r="CE74" s="369"/>
      <c r="CF74" s="2271">
        <v>240</v>
      </c>
      <c r="CG74" s="6203" t="s">
        <v>6895</v>
      </c>
      <c r="CH74" s="6133"/>
      <c r="CI74" s="6204" t="str">
        <f>IF(CF66=0,"",VLOOKUP(CF66,'Tablas psiquica'!$D$7:$R$145,12,FALSE))</f>
        <v/>
      </c>
      <c r="CJ74" s="6205"/>
      <c r="CK74" s="6205"/>
      <c r="CL74" s="5767"/>
      <c r="CN74" s="2271">
        <v>240</v>
      </c>
      <c r="CO74" s="6203" t="s">
        <v>6895</v>
      </c>
      <c r="CP74" s="6133"/>
      <c r="CQ74" s="6204" t="str">
        <f>IF(CN66=0,"",VLOOKUP(CN66,'Tablas psiquica'!$D$7:$R$145,12,FALSE))</f>
        <v/>
      </c>
      <c r="CR74" s="6205"/>
      <c r="CS74" s="6205"/>
      <c r="CT74" s="5767"/>
      <c r="CU74" s="369"/>
      <c r="CV74" s="2271">
        <v>240</v>
      </c>
      <c r="CW74" s="6203" t="s">
        <v>6895</v>
      </c>
      <c r="CX74" s="6133"/>
      <c r="CY74" s="6204" t="str">
        <f>IF(CV66=0,"",VLOOKUP(CV66,'Tablas psiquica'!$D$7:$R$145,12,FALSE))</f>
        <v/>
      </c>
      <c r="CZ74" s="6205"/>
      <c r="DA74" s="6205"/>
      <c r="DB74" s="5767"/>
      <c r="DC74" s="530"/>
      <c r="DD74" s="524"/>
    </row>
    <row r="75" spans="1:108" ht="12" customHeight="1" x14ac:dyDescent="0.2">
      <c r="A75" s="524"/>
      <c r="B75" s="369"/>
      <c r="C75" s="2270">
        <v>280</v>
      </c>
      <c r="D75" s="6199" t="s">
        <v>2022</v>
      </c>
      <c r="E75" s="6138"/>
      <c r="F75" s="6200" t="str">
        <f>IF(C66=0,"",VLOOKUP(C66,'Tablas psiquica'!$D$7:$R$145,13,FALSE))</f>
        <v/>
      </c>
      <c r="G75" s="6201"/>
      <c r="H75" s="6201"/>
      <c r="I75" s="6202"/>
      <c r="K75" s="2270">
        <v>280</v>
      </c>
      <c r="L75" s="6199" t="s">
        <v>2022</v>
      </c>
      <c r="M75" s="6138"/>
      <c r="N75" s="6200" t="str">
        <f>IF(K66=0,"",VLOOKUP(K66,'Tablas psiquica'!$D$7:$R$145,13,FALSE))</f>
        <v/>
      </c>
      <c r="O75" s="6201"/>
      <c r="P75" s="6201"/>
      <c r="Q75" s="6202"/>
      <c r="R75" s="369"/>
      <c r="S75" s="2270">
        <v>280</v>
      </c>
      <c r="T75" s="6199" t="s">
        <v>2022</v>
      </c>
      <c r="U75" s="6138"/>
      <c r="V75" s="6200" t="str">
        <f>IF(S66=0,"",VLOOKUP(S66,'Tablas psiquica'!$D$7:$R$145,13,FALSE))</f>
        <v/>
      </c>
      <c r="W75" s="6201"/>
      <c r="X75" s="6201"/>
      <c r="Y75" s="6202"/>
      <c r="Z75" s="530"/>
      <c r="AA75" s="524"/>
      <c r="AB75" s="524"/>
      <c r="AC75" s="369"/>
      <c r="AD75" s="2270">
        <v>280</v>
      </c>
      <c r="AE75" s="6199" t="s">
        <v>2022</v>
      </c>
      <c r="AF75" s="6138"/>
      <c r="AG75" s="6200" t="str">
        <f>IF(AD66=0,"",VLOOKUP(AD66,'Tablas psiquica'!$D$7:$R$145,13,FALSE))</f>
        <v/>
      </c>
      <c r="AH75" s="6201"/>
      <c r="AI75" s="6201"/>
      <c r="AJ75" s="6202"/>
      <c r="AL75" s="2270">
        <v>280</v>
      </c>
      <c r="AM75" s="6199" t="s">
        <v>2022</v>
      </c>
      <c r="AN75" s="6138"/>
      <c r="AO75" s="6200" t="str">
        <f>IF(AL66=0,"",VLOOKUP(AL66,'Tablas psiquica'!$D$7:$R$145,13,FALSE))</f>
        <v/>
      </c>
      <c r="AP75" s="6201"/>
      <c r="AQ75" s="6201"/>
      <c r="AR75" s="6202"/>
      <c r="AS75" s="369"/>
      <c r="AT75" s="2270">
        <v>280</v>
      </c>
      <c r="AU75" s="6199" t="s">
        <v>2022</v>
      </c>
      <c r="AV75" s="6138"/>
      <c r="AW75" s="6200" t="str">
        <f>IF(AT66=0,"",VLOOKUP(AT66,'Tablas psiquica'!$D$7:$R$145,13,FALSE))</f>
        <v/>
      </c>
      <c r="AX75" s="6201"/>
      <c r="AY75" s="6201"/>
      <c r="AZ75" s="6202"/>
      <c r="BA75" s="530"/>
      <c r="BB75" s="524"/>
      <c r="BC75" s="524"/>
      <c r="BD75" s="369"/>
      <c r="BE75" s="2270">
        <v>280</v>
      </c>
      <c r="BF75" s="6199" t="s">
        <v>2022</v>
      </c>
      <c r="BG75" s="6138"/>
      <c r="BH75" s="6200" t="str">
        <f>IF(BE66=0,"",VLOOKUP(BE66,'Tablas psiquica'!$D$7:$R$145,13,FALSE))</f>
        <v/>
      </c>
      <c r="BI75" s="6201"/>
      <c r="BJ75" s="6201"/>
      <c r="BK75" s="6202"/>
      <c r="BM75" s="2270">
        <v>280</v>
      </c>
      <c r="BN75" s="6199" t="s">
        <v>2022</v>
      </c>
      <c r="BO75" s="6138"/>
      <c r="BP75" s="6200" t="str">
        <f>IF(BM66=0,"",VLOOKUP(BM66,'Tablas psiquica'!$D$7:$R$145,13,FALSE))</f>
        <v/>
      </c>
      <c r="BQ75" s="6201"/>
      <c r="BR75" s="6201"/>
      <c r="BS75" s="6202"/>
      <c r="BT75" s="369"/>
      <c r="BU75" s="2270">
        <v>280</v>
      </c>
      <c r="BV75" s="6199" t="s">
        <v>2022</v>
      </c>
      <c r="BW75" s="6138"/>
      <c r="BX75" s="6200" t="str">
        <f>IF(BU66=0,"",VLOOKUP(BU66,'Tablas psiquica'!$D$7:$R$145,13,FALSE))</f>
        <v/>
      </c>
      <c r="BY75" s="6201"/>
      <c r="BZ75" s="6201"/>
      <c r="CA75" s="6202"/>
      <c r="CB75" s="530"/>
      <c r="CC75" s="524"/>
      <c r="CD75" s="524"/>
      <c r="CE75" s="369"/>
      <c r="CF75" s="2270">
        <v>280</v>
      </c>
      <c r="CG75" s="6199" t="s">
        <v>2022</v>
      </c>
      <c r="CH75" s="6138"/>
      <c r="CI75" s="6200" t="str">
        <f>IF(CF66=0,"",VLOOKUP(CF66,'Tablas psiquica'!$D$7:$R$145,13,FALSE))</f>
        <v/>
      </c>
      <c r="CJ75" s="6201"/>
      <c r="CK75" s="6201"/>
      <c r="CL75" s="6202"/>
      <c r="CN75" s="2270">
        <v>280</v>
      </c>
      <c r="CO75" s="6199" t="s">
        <v>2022</v>
      </c>
      <c r="CP75" s="6138"/>
      <c r="CQ75" s="6200" t="str">
        <f>IF(CN66=0,"",VLOOKUP(CN66,'Tablas psiquica'!$D$7:$R$145,13,FALSE))</f>
        <v/>
      </c>
      <c r="CR75" s="6201"/>
      <c r="CS75" s="6201"/>
      <c r="CT75" s="6202"/>
      <c r="CU75" s="369"/>
      <c r="CV75" s="2270">
        <v>280</v>
      </c>
      <c r="CW75" s="6199" t="s">
        <v>2022</v>
      </c>
      <c r="CX75" s="6138"/>
      <c r="CY75" s="6200" t="str">
        <f>IF(CV66=0,"",VLOOKUP(CV66,'Tablas psiquica'!$D$7:$R$145,13,FALSE))</f>
        <v/>
      </c>
      <c r="CZ75" s="6201"/>
      <c r="DA75" s="6201"/>
      <c r="DB75" s="6202"/>
      <c r="DC75" s="530"/>
      <c r="DD75" s="524"/>
    </row>
    <row r="76" spans="1:108" ht="12" customHeight="1" x14ac:dyDescent="0.2">
      <c r="A76" s="524"/>
      <c r="B76" s="369"/>
      <c r="C76" s="2271">
        <v>320</v>
      </c>
      <c r="D76" s="6203" t="s">
        <v>2024</v>
      </c>
      <c r="E76" s="6133"/>
      <c r="F76" s="6204" t="str">
        <f>IF(C66=0,"",VLOOKUP(C66,'Tablas psiquica'!$D$7:$R$145,14,FALSE))</f>
        <v/>
      </c>
      <c r="G76" s="6205"/>
      <c r="H76" s="6205"/>
      <c r="I76" s="5767"/>
      <c r="K76" s="2271">
        <v>320</v>
      </c>
      <c r="L76" s="6203" t="s">
        <v>2024</v>
      </c>
      <c r="M76" s="6133"/>
      <c r="N76" s="6204" t="str">
        <f>IF(K66=0,"",VLOOKUP(K66,'Tablas psiquica'!$D$7:$R$145,14,FALSE))</f>
        <v/>
      </c>
      <c r="O76" s="6205"/>
      <c r="P76" s="6205"/>
      <c r="Q76" s="5767"/>
      <c r="R76" s="369"/>
      <c r="S76" s="2271">
        <v>320</v>
      </c>
      <c r="T76" s="6203" t="s">
        <v>2024</v>
      </c>
      <c r="U76" s="6133"/>
      <c r="V76" s="6204" t="str">
        <f>IF(S66=0,"",VLOOKUP(S66,'Tablas psiquica'!$D$7:$R$145,14,FALSE))</f>
        <v/>
      </c>
      <c r="W76" s="6205"/>
      <c r="X76" s="6205"/>
      <c r="Y76" s="5767"/>
      <c r="Z76" s="530"/>
      <c r="AA76" s="524"/>
      <c r="AB76" s="524"/>
      <c r="AC76" s="369"/>
      <c r="AD76" s="2271">
        <v>320</v>
      </c>
      <c r="AE76" s="6203" t="s">
        <v>2024</v>
      </c>
      <c r="AF76" s="6133"/>
      <c r="AG76" s="6204" t="str">
        <f>IF(AD66=0,"",VLOOKUP(AD66,'Tablas psiquica'!$D$7:$R$145,14,FALSE))</f>
        <v/>
      </c>
      <c r="AH76" s="6205"/>
      <c r="AI76" s="6205"/>
      <c r="AJ76" s="5767"/>
      <c r="AL76" s="2271">
        <v>320</v>
      </c>
      <c r="AM76" s="6203" t="s">
        <v>2024</v>
      </c>
      <c r="AN76" s="6133"/>
      <c r="AO76" s="6204" t="str">
        <f>IF(AL66=0,"",VLOOKUP(AL66,'Tablas psiquica'!$D$7:$R$145,14,FALSE))</f>
        <v/>
      </c>
      <c r="AP76" s="6205"/>
      <c r="AQ76" s="6205"/>
      <c r="AR76" s="5767"/>
      <c r="AS76" s="369"/>
      <c r="AT76" s="2271">
        <v>320</v>
      </c>
      <c r="AU76" s="6203" t="s">
        <v>2024</v>
      </c>
      <c r="AV76" s="6133"/>
      <c r="AW76" s="6204" t="str">
        <f>IF(AT66=0,"",VLOOKUP(AT66,'Tablas psiquica'!$D$7:$R$145,14,FALSE))</f>
        <v/>
      </c>
      <c r="AX76" s="6205"/>
      <c r="AY76" s="6205"/>
      <c r="AZ76" s="5767"/>
      <c r="BA76" s="530"/>
      <c r="BB76" s="524"/>
      <c r="BC76" s="524"/>
      <c r="BD76" s="369"/>
      <c r="BE76" s="2271">
        <v>320</v>
      </c>
      <c r="BF76" s="6203" t="s">
        <v>2024</v>
      </c>
      <c r="BG76" s="6133"/>
      <c r="BH76" s="6204" t="str">
        <f>IF(BE66=0,"",VLOOKUP(BE66,'Tablas psiquica'!$D$7:$R$145,14,FALSE))</f>
        <v/>
      </c>
      <c r="BI76" s="6205"/>
      <c r="BJ76" s="6205"/>
      <c r="BK76" s="5767"/>
      <c r="BM76" s="2271">
        <v>320</v>
      </c>
      <c r="BN76" s="6203" t="s">
        <v>2024</v>
      </c>
      <c r="BO76" s="6133"/>
      <c r="BP76" s="6204" t="str">
        <f>IF(BM66=0,"",VLOOKUP(BM66,'Tablas psiquica'!$D$7:$R$145,14,FALSE))</f>
        <v/>
      </c>
      <c r="BQ76" s="6205"/>
      <c r="BR76" s="6205"/>
      <c r="BS76" s="5767"/>
      <c r="BT76" s="369"/>
      <c r="BU76" s="2271">
        <v>320</v>
      </c>
      <c r="BV76" s="6203" t="s">
        <v>2024</v>
      </c>
      <c r="BW76" s="6133"/>
      <c r="BX76" s="6204" t="str">
        <f>IF(BU66=0,"",VLOOKUP(BU66,'Tablas psiquica'!$D$7:$R$145,14,FALSE))</f>
        <v/>
      </c>
      <c r="BY76" s="6205"/>
      <c r="BZ76" s="6205"/>
      <c r="CA76" s="5767"/>
      <c r="CB76" s="530"/>
      <c r="CC76" s="524"/>
      <c r="CD76" s="524"/>
      <c r="CE76" s="369"/>
      <c r="CF76" s="2271">
        <v>320</v>
      </c>
      <c r="CG76" s="6203" t="s">
        <v>2024</v>
      </c>
      <c r="CH76" s="6133"/>
      <c r="CI76" s="6204" t="str">
        <f>IF(CF66=0,"",VLOOKUP(CF66,'Tablas psiquica'!$D$7:$R$145,14,FALSE))</f>
        <v/>
      </c>
      <c r="CJ76" s="6205"/>
      <c r="CK76" s="6205"/>
      <c r="CL76" s="5767"/>
      <c r="CN76" s="2271">
        <v>320</v>
      </c>
      <c r="CO76" s="6203" t="s">
        <v>2024</v>
      </c>
      <c r="CP76" s="6133"/>
      <c r="CQ76" s="6204" t="str">
        <f>IF(CN66=0,"",VLOOKUP(CN66,'Tablas psiquica'!$D$7:$R$145,14,FALSE))</f>
        <v/>
      </c>
      <c r="CR76" s="6205"/>
      <c r="CS76" s="6205"/>
      <c r="CT76" s="5767"/>
      <c r="CU76" s="369"/>
      <c r="CV76" s="2271">
        <v>320</v>
      </c>
      <c r="CW76" s="6203" t="s">
        <v>2024</v>
      </c>
      <c r="CX76" s="6133"/>
      <c r="CY76" s="6204" t="str">
        <f>IF(CV66=0,"",VLOOKUP(CV66,'Tablas psiquica'!$D$7:$R$145,14,FALSE))</f>
        <v/>
      </c>
      <c r="CZ76" s="6205"/>
      <c r="DA76" s="6205"/>
      <c r="DB76" s="5767"/>
      <c r="DC76" s="530"/>
      <c r="DD76" s="524"/>
    </row>
    <row r="77" spans="1:108" ht="12" customHeight="1" x14ac:dyDescent="0.2">
      <c r="A77" s="524"/>
      <c r="B77" s="369"/>
      <c r="C77" s="565">
        <v>440</v>
      </c>
      <c r="D77" s="6206" t="s">
        <v>1958</v>
      </c>
      <c r="E77" s="6207"/>
      <c r="F77" s="6208" t="str">
        <f>IF(C66=0,"",VLOOKUP(C66,'Tablas psiquica'!$D$7:$R$145,15,FALSE))</f>
        <v/>
      </c>
      <c r="G77" s="6209"/>
      <c r="H77" s="6209"/>
      <c r="I77" s="6210"/>
      <c r="K77" s="565">
        <v>440</v>
      </c>
      <c r="L77" s="6206" t="s">
        <v>1958</v>
      </c>
      <c r="M77" s="6207"/>
      <c r="N77" s="6208" t="str">
        <f>IF(K66=0,"",VLOOKUP(K66,'Tablas psiquica'!$D$7:$R$145,15,FALSE))</f>
        <v/>
      </c>
      <c r="O77" s="6209"/>
      <c r="P77" s="6209"/>
      <c r="Q77" s="6210"/>
      <c r="R77" s="369"/>
      <c r="S77" s="565">
        <v>440</v>
      </c>
      <c r="T77" s="6206" t="s">
        <v>1958</v>
      </c>
      <c r="U77" s="6207"/>
      <c r="V77" s="6208" t="str">
        <f>IF(S66=0,"",VLOOKUP(S66,'Tablas psiquica'!$D$7:$R$145,15,FALSE))</f>
        <v/>
      </c>
      <c r="W77" s="6209"/>
      <c r="X77" s="6209"/>
      <c r="Y77" s="6210"/>
      <c r="Z77" s="530"/>
      <c r="AA77" s="524"/>
      <c r="AB77" s="524"/>
      <c r="AC77" s="369"/>
      <c r="AD77" s="565">
        <v>440</v>
      </c>
      <c r="AE77" s="6206" t="s">
        <v>1958</v>
      </c>
      <c r="AF77" s="6207"/>
      <c r="AG77" s="6208" t="str">
        <f>IF(AD66=0,"",VLOOKUP(AD66,'Tablas psiquica'!$D$7:$R$145,15,FALSE))</f>
        <v/>
      </c>
      <c r="AH77" s="6209"/>
      <c r="AI77" s="6209"/>
      <c r="AJ77" s="6210"/>
      <c r="AL77" s="565">
        <v>440</v>
      </c>
      <c r="AM77" s="6206" t="s">
        <v>1958</v>
      </c>
      <c r="AN77" s="6207"/>
      <c r="AO77" s="6208" t="str">
        <f>IF(AL66=0,"",VLOOKUP(AL66,'Tablas psiquica'!$D$7:$R$145,15,FALSE))</f>
        <v/>
      </c>
      <c r="AP77" s="6209"/>
      <c r="AQ77" s="6209"/>
      <c r="AR77" s="6210"/>
      <c r="AS77" s="369"/>
      <c r="AT77" s="565">
        <v>440</v>
      </c>
      <c r="AU77" s="6206" t="s">
        <v>1958</v>
      </c>
      <c r="AV77" s="6207"/>
      <c r="AW77" s="6208" t="str">
        <f>IF(AT66=0,"",VLOOKUP(AT66,'Tablas psiquica'!$D$7:$R$145,15,FALSE))</f>
        <v/>
      </c>
      <c r="AX77" s="6209"/>
      <c r="AY77" s="6209"/>
      <c r="AZ77" s="6210"/>
      <c r="BA77" s="530"/>
      <c r="BB77" s="524"/>
      <c r="BC77" s="524"/>
      <c r="BD77" s="369"/>
      <c r="BE77" s="565">
        <v>440</v>
      </c>
      <c r="BF77" s="6206" t="s">
        <v>1958</v>
      </c>
      <c r="BG77" s="6207"/>
      <c r="BH77" s="6208" t="str">
        <f>IF(BE66=0,"",VLOOKUP(BE66,'Tablas psiquica'!$D$7:$R$145,15,FALSE))</f>
        <v/>
      </c>
      <c r="BI77" s="6209"/>
      <c r="BJ77" s="6209"/>
      <c r="BK77" s="6210"/>
      <c r="BM77" s="565">
        <v>440</v>
      </c>
      <c r="BN77" s="6206" t="s">
        <v>1958</v>
      </c>
      <c r="BO77" s="6207"/>
      <c r="BP77" s="6208" t="str">
        <f>IF(BM66=0,"",VLOOKUP(BM66,'Tablas psiquica'!$D$7:$R$145,15,FALSE))</f>
        <v/>
      </c>
      <c r="BQ77" s="6209"/>
      <c r="BR77" s="6209"/>
      <c r="BS77" s="6210"/>
      <c r="BT77" s="369"/>
      <c r="BU77" s="565">
        <v>440</v>
      </c>
      <c r="BV77" s="6206" t="s">
        <v>1958</v>
      </c>
      <c r="BW77" s="6207"/>
      <c r="BX77" s="6208" t="str">
        <f>IF(BU66=0,"",VLOOKUP(BU66,'Tablas psiquica'!$D$7:$R$145,15,FALSE))</f>
        <v/>
      </c>
      <c r="BY77" s="6209"/>
      <c r="BZ77" s="6209"/>
      <c r="CA77" s="6210"/>
      <c r="CB77" s="530"/>
      <c r="CC77" s="524"/>
      <c r="CD77" s="524"/>
      <c r="CE77" s="369"/>
      <c r="CF77" s="565">
        <v>440</v>
      </c>
      <c r="CG77" s="6206" t="s">
        <v>1958</v>
      </c>
      <c r="CH77" s="6207"/>
      <c r="CI77" s="6208" t="str">
        <f>IF(CF66=0,"",VLOOKUP(CF66,'Tablas psiquica'!$D$7:$R$145,15,FALSE))</f>
        <v/>
      </c>
      <c r="CJ77" s="6209"/>
      <c r="CK77" s="6209"/>
      <c r="CL77" s="6210"/>
      <c r="CN77" s="565">
        <v>440</v>
      </c>
      <c r="CO77" s="6206" t="s">
        <v>1958</v>
      </c>
      <c r="CP77" s="6207"/>
      <c r="CQ77" s="6208" t="str">
        <f>IF(CN66=0,"",VLOOKUP(CN66,'Tablas psiquica'!$D$7:$R$145,15,FALSE))</f>
        <v/>
      </c>
      <c r="CR77" s="6209"/>
      <c r="CS77" s="6209"/>
      <c r="CT77" s="6210"/>
      <c r="CU77" s="369"/>
      <c r="CV77" s="565">
        <v>440</v>
      </c>
      <c r="CW77" s="6206" t="s">
        <v>1958</v>
      </c>
      <c r="CX77" s="6207"/>
      <c r="CY77" s="6208" t="str">
        <f>IF(CV66=0,"",VLOOKUP(CV66,'Tablas psiquica'!$D$7:$R$145,15,FALSE))</f>
        <v/>
      </c>
      <c r="CZ77" s="6209"/>
      <c r="DA77" s="6209"/>
      <c r="DB77" s="6210"/>
      <c r="DC77" s="530"/>
      <c r="DD77" s="524"/>
    </row>
    <row r="78" spans="1:108" ht="12" customHeight="1" thickBot="1" x14ac:dyDescent="0.25">
      <c r="A78" s="524"/>
      <c r="B78" s="369"/>
      <c r="C78" s="6211" t="s">
        <v>6896</v>
      </c>
      <c r="D78" s="6212"/>
      <c r="E78" s="566" t="str">
        <f>IF(C66=0,"",VLOOKUP(C66,'Tablas psiquica'!$D$7:$R$145,4,FALSE))</f>
        <v/>
      </c>
      <c r="F78" s="6213" t="s">
        <v>6891</v>
      </c>
      <c r="G78" s="6213"/>
      <c r="H78" s="4569" t="str">
        <f>IF(C66=0,"",VLOOKUP(C66,'Tablas psiquica'!$D$7:$R$145,5,FALSE))</f>
        <v/>
      </c>
      <c r="I78" s="4570"/>
      <c r="K78" s="6211" t="s">
        <v>6896</v>
      </c>
      <c r="L78" s="6212"/>
      <c r="M78" s="566" t="str">
        <f>IF(K66=0,"",VLOOKUP(K66,'Tablas psiquica'!$D$7:$R$145,4,FALSE))</f>
        <v/>
      </c>
      <c r="N78" s="6213" t="s">
        <v>6891</v>
      </c>
      <c r="O78" s="6213"/>
      <c r="P78" s="4569" t="str">
        <f>IF(K66=0,"",VLOOKUP(K66,'Tablas psiquica'!$D$7:$R$145,5,FALSE))</f>
        <v/>
      </c>
      <c r="Q78" s="4570"/>
      <c r="R78" s="369"/>
      <c r="S78" s="6211" t="s">
        <v>6896</v>
      </c>
      <c r="T78" s="6212"/>
      <c r="U78" s="566" t="str">
        <f>IF(S66=0,"",VLOOKUP(S66,'Tablas psiquica'!$D$7:$R$145,4,FALSE))</f>
        <v/>
      </c>
      <c r="V78" s="6213" t="s">
        <v>6891</v>
      </c>
      <c r="W78" s="6213"/>
      <c r="X78" s="4569" t="str">
        <f>IF(S66=0,"",VLOOKUP(S66,'Tablas psiquica'!$D$7:$R$145,5,FALSE))</f>
        <v/>
      </c>
      <c r="Y78" s="4570"/>
      <c r="Z78" s="530"/>
      <c r="AA78" s="524"/>
      <c r="AB78" s="524"/>
      <c r="AC78" s="369"/>
      <c r="AD78" s="6211" t="s">
        <v>6896</v>
      </c>
      <c r="AE78" s="6212"/>
      <c r="AF78" s="566" t="str">
        <f>IF(AD66=0,"",VLOOKUP(AD66,'Tablas psiquica'!$D$7:$R$145,4,FALSE))</f>
        <v/>
      </c>
      <c r="AG78" s="6213" t="s">
        <v>6891</v>
      </c>
      <c r="AH78" s="6213"/>
      <c r="AI78" s="4569" t="str">
        <f>IF(AD66=0,"",VLOOKUP(AD66,'Tablas psiquica'!$D$7:$R$145,5,FALSE))</f>
        <v/>
      </c>
      <c r="AJ78" s="4570"/>
      <c r="AL78" s="6211" t="s">
        <v>6896</v>
      </c>
      <c r="AM78" s="6212"/>
      <c r="AN78" s="566" t="str">
        <f>IF(AL66=0,"",VLOOKUP(AL66,'Tablas psiquica'!$D$7:$R$145,4,FALSE))</f>
        <v/>
      </c>
      <c r="AO78" s="6213" t="s">
        <v>6891</v>
      </c>
      <c r="AP78" s="6213"/>
      <c r="AQ78" s="4569" t="str">
        <f>IF(AL66=0,"",VLOOKUP(AL66,'Tablas psiquica'!$D$7:$R$145,5,FALSE))</f>
        <v/>
      </c>
      <c r="AR78" s="4570"/>
      <c r="AS78" s="369"/>
      <c r="AT78" s="6211" t="s">
        <v>6896</v>
      </c>
      <c r="AU78" s="6212"/>
      <c r="AV78" s="566" t="str">
        <f>IF(AT66=0,"",VLOOKUP(AT66,'Tablas psiquica'!$D$7:$R$145,4,FALSE))</f>
        <v/>
      </c>
      <c r="AW78" s="6213" t="s">
        <v>6891</v>
      </c>
      <c r="AX78" s="6213"/>
      <c r="AY78" s="4569" t="str">
        <f>IF(AT66=0,"",VLOOKUP(AT66,'Tablas psiquica'!$D$7:$R$145,5,FALSE))</f>
        <v/>
      </c>
      <c r="AZ78" s="4570"/>
      <c r="BA78" s="530"/>
      <c r="BB78" s="524"/>
      <c r="BC78" s="524"/>
      <c r="BD78" s="369"/>
      <c r="BE78" s="6211" t="s">
        <v>6896</v>
      </c>
      <c r="BF78" s="6212"/>
      <c r="BG78" s="566" t="str">
        <f>IF(BE66=0,"",VLOOKUP(BE66,'Tablas psiquica'!$D$7:$R$145,4,FALSE))</f>
        <v/>
      </c>
      <c r="BH78" s="6213" t="s">
        <v>6891</v>
      </c>
      <c r="BI78" s="6213"/>
      <c r="BJ78" s="4569" t="str">
        <f>IF(BE66=0,"",VLOOKUP(BE66,'Tablas psiquica'!$D$7:$R$145,5,FALSE))</f>
        <v/>
      </c>
      <c r="BK78" s="4570"/>
      <c r="BM78" s="6211" t="s">
        <v>6896</v>
      </c>
      <c r="BN78" s="6212"/>
      <c r="BO78" s="566" t="str">
        <f>IF(BM66=0,"",VLOOKUP(BM66,'Tablas psiquica'!$D$7:$R$145,4,FALSE))</f>
        <v/>
      </c>
      <c r="BP78" s="6213" t="s">
        <v>6891</v>
      </c>
      <c r="BQ78" s="6213"/>
      <c r="BR78" s="4569" t="str">
        <f>IF(BM66=0,"",VLOOKUP(BM66,'Tablas psiquica'!$D$7:$R$145,5,FALSE))</f>
        <v/>
      </c>
      <c r="BS78" s="4570"/>
      <c r="BT78" s="369"/>
      <c r="BU78" s="6211" t="s">
        <v>6896</v>
      </c>
      <c r="BV78" s="6212"/>
      <c r="BW78" s="566" t="str">
        <f>IF(BU66=0,"",VLOOKUP(BU66,'Tablas psiquica'!$D$7:$R$145,4,FALSE))</f>
        <v/>
      </c>
      <c r="BX78" s="6213" t="s">
        <v>6891</v>
      </c>
      <c r="BY78" s="6213"/>
      <c r="BZ78" s="4569" t="str">
        <f>IF(BU66=0,"",VLOOKUP(BU66,'Tablas psiquica'!$D$7:$R$145,5,FALSE))</f>
        <v/>
      </c>
      <c r="CA78" s="4570"/>
      <c r="CB78" s="530"/>
      <c r="CC78" s="524"/>
      <c r="CD78" s="524"/>
      <c r="CE78" s="369"/>
      <c r="CF78" s="6211" t="s">
        <v>6896</v>
      </c>
      <c r="CG78" s="6212"/>
      <c r="CH78" s="566" t="str">
        <f>IF(CF66=0,"",VLOOKUP(CF66,'Tablas psiquica'!$D$7:$R$145,4,FALSE))</f>
        <v/>
      </c>
      <c r="CI78" s="6213" t="s">
        <v>6891</v>
      </c>
      <c r="CJ78" s="6213"/>
      <c r="CK78" s="4569" t="str">
        <f>IF(CF66=0,"",VLOOKUP(CF66,'Tablas psiquica'!$D$7:$R$145,5,FALSE))</f>
        <v/>
      </c>
      <c r="CL78" s="4570"/>
      <c r="CN78" s="6211" t="s">
        <v>6896</v>
      </c>
      <c r="CO78" s="6212"/>
      <c r="CP78" s="566" t="str">
        <f>IF(CN66=0,"",VLOOKUP(CN66,'Tablas psiquica'!$D$7:$R$145,4,FALSE))</f>
        <v/>
      </c>
      <c r="CQ78" s="6213" t="s">
        <v>6891</v>
      </c>
      <c r="CR78" s="6213"/>
      <c r="CS78" s="4569" t="str">
        <f>IF(CN66=0,"",VLOOKUP(CN66,'Tablas psiquica'!$D$7:$R$145,5,FALSE))</f>
        <v/>
      </c>
      <c r="CT78" s="4570"/>
      <c r="CU78" s="369"/>
      <c r="CV78" s="6211" t="s">
        <v>6896</v>
      </c>
      <c r="CW78" s="6212"/>
      <c r="CX78" s="566" t="str">
        <f>IF(CV66=0,"",VLOOKUP(CV66,'Tablas psiquica'!$D$7:$R$145,4,FALSE))</f>
        <v/>
      </c>
      <c r="CY78" s="6213" t="s">
        <v>6891</v>
      </c>
      <c r="CZ78" s="6213"/>
      <c r="DA78" s="4569" t="str">
        <f>IF(CV66=0,"",VLOOKUP(CV66,'Tablas psiquica'!$D$7:$R$145,5,FALSE))</f>
        <v/>
      </c>
      <c r="DB78" s="4570"/>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81" priority="599" operator="equal">
      <formula>0</formula>
    </cfRule>
  </conditionalFormatting>
  <conditionalFormatting sqref="G11:H11">
    <cfRule type="containsText" dxfId="180" priority="582" operator="containsText" text="No Accesible">
      <formula>NOT(ISERROR(SEARCH("No Accesible",G11)))</formula>
    </cfRule>
    <cfRule type="containsText" dxfId="179" priority="584" operator="containsText" text="Aprendido">
      <formula>NOT(ISERROR(SEARCH("Aprendido",G11)))</formula>
    </cfRule>
  </conditionalFormatting>
  <conditionalFormatting sqref="K10:P10">
    <cfRule type="cellIs" dxfId="178" priority="303" operator="equal">
      <formula>0</formula>
    </cfRule>
  </conditionalFormatting>
  <conditionalFormatting sqref="O11:P11">
    <cfRule type="containsText" dxfId="177" priority="301" operator="containsText" text="No Accesible">
      <formula>NOT(ISERROR(SEARCH("No Accesible",O11)))</formula>
    </cfRule>
    <cfRule type="containsText" dxfId="176" priority="302" operator="containsText" text="Aprendido">
      <formula>NOT(ISERROR(SEARCH("Aprendido",O11)))</formula>
    </cfRule>
  </conditionalFormatting>
  <conditionalFormatting sqref="S10:X10">
    <cfRule type="cellIs" dxfId="175" priority="300" operator="equal">
      <formula>0</formula>
    </cfRule>
  </conditionalFormatting>
  <conditionalFormatting sqref="W11:X11">
    <cfRule type="containsText" dxfId="174" priority="298" operator="containsText" text="No Accesible">
      <formula>NOT(ISERROR(SEARCH("No Accesible",W11)))</formula>
    </cfRule>
    <cfRule type="containsText" dxfId="173" priority="299" operator="containsText" text="Aprendido">
      <formula>NOT(ISERROR(SEARCH("Aprendido",W11)))</formula>
    </cfRule>
  </conditionalFormatting>
  <conditionalFormatting sqref="C24:H24">
    <cfRule type="cellIs" dxfId="172" priority="297" operator="equal">
      <formula>0</formula>
    </cfRule>
  </conditionalFormatting>
  <conditionalFormatting sqref="G25:H25">
    <cfRule type="containsText" dxfId="171" priority="295" operator="containsText" text="No Accesible">
      <formula>NOT(ISERROR(SEARCH("No Accesible",G25)))</formula>
    </cfRule>
    <cfRule type="containsText" dxfId="170" priority="296" operator="containsText" text="Aprendido">
      <formula>NOT(ISERROR(SEARCH("Aprendido",G25)))</formula>
    </cfRule>
  </conditionalFormatting>
  <conditionalFormatting sqref="K24:P24">
    <cfRule type="cellIs" dxfId="169" priority="294" operator="equal">
      <formula>0</formula>
    </cfRule>
  </conditionalFormatting>
  <conditionalFormatting sqref="O25:P25">
    <cfRule type="containsText" dxfId="168" priority="292" operator="containsText" text="No Accesible">
      <formula>NOT(ISERROR(SEARCH("No Accesible",O25)))</formula>
    </cfRule>
    <cfRule type="containsText" dxfId="167" priority="293" operator="containsText" text="Aprendido">
      <formula>NOT(ISERROR(SEARCH("Aprendido",O25)))</formula>
    </cfRule>
  </conditionalFormatting>
  <conditionalFormatting sqref="S24:X24">
    <cfRule type="cellIs" dxfId="166" priority="291" operator="equal">
      <formula>0</formula>
    </cfRule>
  </conditionalFormatting>
  <conditionalFormatting sqref="W25:X25">
    <cfRule type="containsText" dxfId="165" priority="289" operator="containsText" text="No Accesible">
      <formula>NOT(ISERROR(SEARCH("No Accesible",W25)))</formula>
    </cfRule>
    <cfRule type="containsText" dxfId="164" priority="290" operator="containsText" text="Aprendido">
      <formula>NOT(ISERROR(SEARCH("Aprendido",W25)))</formula>
    </cfRule>
  </conditionalFormatting>
  <conditionalFormatting sqref="C38:H38">
    <cfRule type="cellIs" dxfId="163" priority="288" operator="equal">
      <formula>0</formula>
    </cfRule>
  </conditionalFormatting>
  <conditionalFormatting sqref="G39:H39">
    <cfRule type="containsText" dxfId="162" priority="286" operator="containsText" text="No Accesible">
      <formula>NOT(ISERROR(SEARCH("No Accesible",G39)))</formula>
    </cfRule>
    <cfRule type="containsText" dxfId="161" priority="287" operator="containsText" text="Aprendido">
      <formula>NOT(ISERROR(SEARCH("Aprendido",G39)))</formula>
    </cfRule>
  </conditionalFormatting>
  <conditionalFormatting sqref="K38:P38">
    <cfRule type="cellIs" dxfId="160" priority="285" operator="equal">
      <formula>0</formula>
    </cfRule>
  </conditionalFormatting>
  <conditionalFormatting sqref="O39:P39">
    <cfRule type="containsText" dxfId="159" priority="283" operator="containsText" text="No Accesible">
      <formula>NOT(ISERROR(SEARCH("No Accesible",O39)))</formula>
    </cfRule>
    <cfRule type="containsText" dxfId="158" priority="284" operator="containsText" text="Aprendido">
      <formula>NOT(ISERROR(SEARCH("Aprendido",O39)))</formula>
    </cfRule>
  </conditionalFormatting>
  <conditionalFormatting sqref="S38:X38">
    <cfRule type="cellIs" dxfId="157" priority="282" operator="equal">
      <formula>0</formula>
    </cfRule>
  </conditionalFormatting>
  <conditionalFormatting sqref="W39:X39">
    <cfRule type="containsText" dxfId="156" priority="280" operator="containsText" text="No Accesible">
      <formula>NOT(ISERROR(SEARCH("No Accesible",W39)))</formula>
    </cfRule>
    <cfRule type="containsText" dxfId="155" priority="281" operator="containsText" text="Aprendido">
      <formula>NOT(ISERROR(SEARCH("Aprendido",W39)))</formula>
    </cfRule>
  </conditionalFormatting>
  <conditionalFormatting sqref="C52:H52">
    <cfRule type="cellIs" dxfId="154" priority="279" operator="equal">
      <formula>0</formula>
    </cfRule>
  </conditionalFormatting>
  <conditionalFormatting sqref="G53:H53">
    <cfRule type="containsText" dxfId="153" priority="277" operator="containsText" text="No Accesible">
      <formula>NOT(ISERROR(SEARCH("No Accesible",G53)))</formula>
    </cfRule>
    <cfRule type="containsText" dxfId="152" priority="278" operator="containsText" text="Aprendido">
      <formula>NOT(ISERROR(SEARCH("Aprendido",G53)))</formula>
    </cfRule>
  </conditionalFormatting>
  <conditionalFormatting sqref="K52:P52">
    <cfRule type="cellIs" dxfId="151" priority="276" operator="equal">
      <formula>0</formula>
    </cfRule>
  </conditionalFormatting>
  <conditionalFormatting sqref="O53:P53">
    <cfRule type="containsText" dxfId="150" priority="274" operator="containsText" text="No Accesible">
      <formula>NOT(ISERROR(SEARCH("No Accesible",O53)))</formula>
    </cfRule>
    <cfRule type="containsText" dxfId="149" priority="275" operator="containsText" text="Aprendido">
      <formula>NOT(ISERROR(SEARCH("Aprendido",O53)))</formula>
    </cfRule>
  </conditionalFormatting>
  <conditionalFormatting sqref="S52:X52">
    <cfRule type="cellIs" dxfId="148" priority="273" operator="equal">
      <formula>0</formula>
    </cfRule>
  </conditionalFormatting>
  <conditionalFormatting sqref="W53:X53">
    <cfRule type="containsText" dxfId="147" priority="271" operator="containsText" text="No Accesible">
      <formula>NOT(ISERROR(SEARCH("No Accesible",W53)))</formula>
    </cfRule>
    <cfRule type="containsText" dxfId="146" priority="272" operator="containsText" text="Aprendido">
      <formula>NOT(ISERROR(SEARCH("Aprendido",W53)))</formula>
    </cfRule>
  </conditionalFormatting>
  <conditionalFormatting sqref="C66:H66">
    <cfRule type="cellIs" dxfId="145" priority="270" operator="equal">
      <formula>0</formula>
    </cfRule>
  </conditionalFormatting>
  <conditionalFormatting sqref="G67:H67">
    <cfRule type="containsText" dxfId="144" priority="268" operator="containsText" text="No Accesible">
      <formula>NOT(ISERROR(SEARCH("No Accesible",G67)))</formula>
    </cfRule>
    <cfRule type="containsText" dxfId="143" priority="269" operator="containsText" text="Aprendido">
      <formula>NOT(ISERROR(SEARCH("Aprendido",G67)))</formula>
    </cfRule>
  </conditionalFormatting>
  <conditionalFormatting sqref="K66:P66">
    <cfRule type="cellIs" dxfId="142" priority="267" operator="equal">
      <formula>0</formula>
    </cfRule>
  </conditionalFormatting>
  <conditionalFormatting sqref="O67:P67">
    <cfRule type="containsText" dxfId="141" priority="265" operator="containsText" text="No Accesible">
      <formula>NOT(ISERROR(SEARCH("No Accesible",O67)))</formula>
    </cfRule>
    <cfRule type="containsText" dxfId="140" priority="266" operator="containsText" text="Aprendido">
      <formula>NOT(ISERROR(SEARCH("Aprendido",O67)))</formula>
    </cfRule>
  </conditionalFormatting>
  <conditionalFormatting sqref="S66:X66">
    <cfRule type="cellIs" dxfId="139" priority="264" operator="equal">
      <formula>0</formula>
    </cfRule>
  </conditionalFormatting>
  <conditionalFormatting sqref="W67:X67">
    <cfRule type="containsText" dxfId="138" priority="262" operator="containsText" text="No Accesible">
      <formula>NOT(ISERROR(SEARCH("No Accesible",W67)))</formula>
    </cfRule>
    <cfRule type="containsText" dxfId="137" priority="263" operator="containsText" text="Aprendido">
      <formula>NOT(ISERROR(SEARCH("Aprendido",W67)))</formula>
    </cfRule>
  </conditionalFormatting>
  <conditionalFormatting sqref="AD10:AI10">
    <cfRule type="cellIs" dxfId="136" priority="261" operator="equal">
      <formula>0</formula>
    </cfRule>
  </conditionalFormatting>
  <conditionalFormatting sqref="AH11:AI11">
    <cfRule type="containsText" dxfId="135" priority="259" operator="containsText" text="No Accesible">
      <formula>NOT(ISERROR(SEARCH("No Accesible",AH11)))</formula>
    </cfRule>
    <cfRule type="containsText" dxfId="134" priority="260" operator="containsText" text="Aprendido">
      <formula>NOT(ISERROR(SEARCH("Aprendido",AH11)))</formula>
    </cfRule>
  </conditionalFormatting>
  <conditionalFormatting sqref="AL10:AQ10">
    <cfRule type="cellIs" dxfId="133" priority="216" operator="equal">
      <formula>0</formula>
    </cfRule>
  </conditionalFormatting>
  <conditionalFormatting sqref="AP11:AQ11">
    <cfRule type="containsText" dxfId="132" priority="214" operator="containsText" text="No Accesible">
      <formula>NOT(ISERROR(SEARCH("No Accesible",AP11)))</formula>
    </cfRule>
    <cfRule type="containsText" dxfId="131" priority="215" operator="containsText" text="Aprendido">
      <formula>NOT(ISERROR(SEARCH("Aprendido",AP11)))</formula>
    </cfRule>
  </conditionalFormatting>
  <conditionalFormatting sqref="AT10:AY10">
    <cfRule type="cellIs" dxfId="130" priority="213" operator="equal">
      <formula>0</formula>
    </cfRule>
  </conditionalFormatting>
  <conditionalFormatting sqref="AX11:AY11">
    <cfRule type="containsText" dxfId="129" priority="211" operator="containsText" text="No Accesible">
      <formula>NOT(ISERROR(SEARCH("No Accesible",AX11)))</formula>
    </cfRule>
    <cfRule type="containsText" dxfId="128" priority="212" operator="containsText" text="Aprendido">
      <formula>NOT(ISERROR(SEARCH("Aprendido",AX11)))</formula>
    </cfRule>
  </conditionalFormatting>
  <conditionalFormatting sqref="AD24:AI24">
    <cfRule type="cellIs" dxfId="127" priority="210" operator="equal">
      <formula>0</formula>
    </cfRule>
  </conditionalFormatting>
  <conditionalFormatting sqref="AH25:AI25">
    <cfRule type="containsText" dxfId="126" priority="208" operator="containsText" text="No Accesible">
      <formula>NOT(ISERROR(SEARCH("No Accesible",AH25)))</formula>
    </cfRule>
    <cfRule type="containsText" dxfId="125" priority="209" operator="containsText" text="Aprendido">
      <formula>NOT(ISERROR(SEARCH("Aprendido",AH25)))</formula>
    </cfRule>
  </conditionalFormatting>
  <conditionalFormatting sqref="AL24:AQ24">
    <cfRule type="cellIs" dxfId="124" priority="207" operator="equal">
      <formula>0</formula>
    </cfRule>
  </conditionalFormatting>
  <conditionalFormatting sqref="AP25:AQ25">
    <cfRule type="containsText" dxfId="123" priority="205" operator="containsText" text="No Accesible">
      <formula>NOT(ISERROR(SEARCH("No Accesible",AP25)))</formula>
    </cfRule>
    <cfRule type="containsText" dxfId="122" priority="206" operator="containsText" text="Aprendido">
      <formula>NOT(ISERROR(SEARCH("Aprendido",AP25)))</formula>
    </cfRule>
  </conditionalFormatting>
  <conditionalFormatting sqref="AT24:AY24">
    <cfRule type="cellIs" dxfId="121" priority="204" operator="equal">
      <formula>0</formula>
    </cfRule>
  </conditionalFormatting>
  <conditionalFormatting sqref="AX25:AY25">
    <cfRule type="containsText" dxfId="120" priority="202" operator="containsText" text="No Accesible">
      <formula>NOT(ISERROR(SEARCH("No Accesible",AX25)))</formula>
    </cfRule>
    <cfRule type="containsText" dxfId="119" priority="203" operator="containsText" text="Aprendido">
      <formula>NOT(ISERROR(SEARCH("Aprendido",AX25)))</formula>
    </cfRule>
  </conditionalFormatting>
  <conditionalFormatting sqref="AD38:AI38">
    <cfRule type="cellIs" dxfId="118" priority="201" operator="equal">
      <formula>0</formula>
    </cfRule>
  </conditionalFormatting>
  <conditionalFormatting sqref="AH39:AI39">
    <cfRule type="containsText" dxfId="117" priority="199" operator="containsText" text="No Accesible">
      <formula>NOT(ISERROR(SEARCH("No Accesible",AH39)))</formula>
    </cfRule>
    <cfRule type="containsText" dxfId="116" priority="200" operator="containsText" text="Aprendido">
      <formula>NOT(ISERROR(SEARCH("Aprendido",AH39)))</formula>
    </cfRule>
  </conditionalFormatting>
  <conditionalFormatting sqref="AL38:AQ38">
    <cfRule type="cellIs" dxfId="115" priority="198" operator="equal">
      <formula>0</formula>
    </cfRule>
  </conditionalFormatting>
  <conditionalFormatting sqref="AP39:AQ39">
    <cfRule type="containsText" dxfId="114" priority="196" operator="containsText" text="No Accesible">
      <formula>NOT(ISERROR(SEARCH("No Accesible",AP39)))</formula>
    </cfRule>
    <cfRule type="containsText" dxfId="113" priority="197" operator="containsText" text="Aprendido">
      <formula>NOT(ISERROR(SEARCH("Aprendido",AP39)))</formula>
    </cfRule>
  </conditionalFormatting>
  <conditionalFormatting sqref="AT38:AY38">
    <cfRule type="cellIs" dxfId="112" priority="195" operator="equal">
      <formula>0</formula>
    </cfRule>
  </conditionalFormatting>
  <conditionalFormatting sqref="AX39:AY39">
    <cfRule type="containsText" dxfId="111" priority="193" operator="containsText" text="No Accesible">
      <formula>NOT(ISERROR(SEARCH("No Accesible",AX39)))</formula>
    </cfRule>
    <cfRule type="containsText" dxfId="110" priority="194" operator="containsText" text="Aprendido">
      <formula>NOT(ISERROR(SEARCH("Aprendido",AX39)))</formula>
    </cfRule>
  </conditionalFormatting>
  <conditionalFormatting sqref="AD52:AI52">
    <cfRule type="cellIs" dxfId="109" priority="192" operator="equal">
      <formula>0</formula>
    </cfRule>
  </conditionalFormatting>
  <conditionalFormatting sqref="AH53:AI53">
    <cfRule type="containsText" dxfId="108" priority="190" operator="containsText" text="No Accesible">
      <formula>NOT(ISERROR(SEARCH("No Accesible",AH53)))</formula>
    </cfRule>
    <cfRule type="containsText" dxfId="107" priority="191" operator="containsText" text="Aprendido">
      <formula>NOT(ISERROR(SEARCH("Aprendido",AH53)))</formula>
    </cfRule>
  </conditionalFormatting>
  <conditionalFormatting sqref="AL52:AQ52">
    <cfRule type="cellIs" dxfId="106" priority="189" operator="equal">
      <formula>0</formula>
    </cfRule>
  </conditionalFormatting>
  <conditionalFormatting sqref="AP53:AQ53">
    <cfRule type="containsText" dxfId="105" priority="187" operator="containsText" text="No Accesible">
      <formula>NOT(ISERROR(SEARCH("No Accesible",AP53)))</formula>
    </cfRule>
    <cfRule type="containsText" dxfId="104" priority="188" operator="containsText" text="Aprendido">
      <formula>NOT(ISERROR(SEARCH("Aprendido",AP53)))</formula>
    </cfRule>
  </conditionalFormatting>
  <conditionalFormatting sqref="AT52:AY52">
    <cfRule type="cellIs" dxfId="103" priority="186" operator="equal">
      <formula>0</formula>
    </cfRule>
  </conditionalFormatting>
  <conditionalFormatting sqref="AX53:AY53">
    <cfRule type="containsText" dxfId="102" priority="184" operator="containsText" text="No Accesible">
      <formula>NOT(ISERROR(SEARCH("No Accesible",AX53)))</formula>
    </cfRule>
    <cfRule type="containsText" dxfId="101" priority="185" operator="containsText" text="Aprendido">
      <formula>NOT(ISERROR(SEARCH("Aprendido",AX53)))</formula>
    </cfRule>
  </conditionalFormatting>
  <conditionalFormatting sqref="AD66:AI66">
    <cfRule type="cellIs" dxfId="100" priority="183" operator="equal">
      <formula>0</formula>
    </cfRule>
  </conditionalFormatting>
  <conditionalFormatting sqref="AH67:AI67">
    <cfRule type="containsText" dxfId="99" priority="181" operator="containsText" text="No Accesible">
      <formula>NOT(ISERROR(SEARCH("No Accesible",AH67)))</formula>
    </cfRule>
    <cfRule type="containsText" dxfId="98" priority="182" operator="containsText" text="Aprendido">
      <formula>NOT(ISERROR(SEARCH("Aprendido",AH67)))</formula>
    </cfRule>
  </conditionalFormatting>
  <conditionalFormatting sqref="AL66:AQ66">
    <cfRule type="cellIs" dxfId="97" priority="180" operator="equal">
      <formula>0</formula>
    </cfRule>
  </conditionalFormatting>
  <conditionalFormatting sqref="AP67:AQ67">
    <cfRule type="containsText" dxfId="96" priority="178" operator="containsText" text="No Accesible">
      <formula>NOT(ISERROR(SEARCH("No Accesible",AP67)))</formula>
    </cfRule>
    <cfRule type="containsText" dxfId="95" priority="179" operator="containsText" text="Aprendido">
      <formula>NOT(ISERROR(SEARCH("Aprendido",AP67)))</formula>
    </cfRule>
  </conditionalFormatting>
  <conditionalFormatting sqref="AT66:AY66">
    <cfRule type="cellIs" dxfId="94" priority="177" operator="equal">
      <formula>0</formula>
    </cfRule>
  </conditionalFormatting>
  <conditionalFormatting sqref="AX67:AY67">
    <cfRule type="containsText" dxfId="93" priority="175" operator="containsText" text="No Accesible">
      <formula>NOT(ISERROR(SEARCH("No Accesible",AX67)))</formula>
    </cfRule>
    <cfRule type="containsText" dxfId="92" priority="176" operator="containsText" text="Aprendido">
      <formula>NOT(ISERROR(SEARCH("Aprendido",AX67)))</formula>
    </cfRule>
  </conditionalFormatting>
  <conditionalFormatting sqref="BE10:BJ10">
    <cfRule type="cellIs" dxfId="91" priority="174" operator="equal">
      <formula>0</formula>
    </cfRule>
  </conditionalFormatting>
  <conditionalFormatting sqref="BI11:BJ11">
    <cfRule type="containsText" dxfId="90" priority="172" operator="containsText" text="No Accesible">
      <formula>NOT(ISERROR(SEARCH("No Accesible",BI11)))</formula>
    </cfRule>
    <cfRule type="containsText" dxfId="89" priority="173" operator="containsText" text="Aprendido">
      <formula>NOT(ISERROR(SEARCH("Aprendido",BI11)))</formula>
    </cfRule>
  </conditionalFormatting>
  <conditionalFormatting sqref="BM10:BR10">
    <cfRule type="cellIs" dxfId="88" priority="129" operator="equal">
      <formula>0</formula>
    </cfRule>
  </conditionalFormatting>
  <conditionalFormatting sqref="BQ11:BR11">
    <cfRule type="containsText" dxfId="87" priority="127" operator="containsText" text="No Accesible">
      <formula>NOT(ISERROR(SEARCH("No Accesible",BQ11)))</formula>
    </cfRule>
    <cfRule type="containsText" dxfId="86" priority="128" operator="containsText" text="Aprendido">
      <formula>NOT(ISERROR(SEARCH("Aprendido",BQ11)))</formula>
    </cfRule>
  </conditionalFormatting>
  <conditionalFormatting sqref="BU10:BZ10">
    <cfRule type="cellIs" dxfId="85" priority="126" operator="equal">
      <formula>0</formula>
    </cfRule>
  </conditionalFormatting>
  <conditionalFormatting sqref="BY11:BZ11">
    <cfRule type="containsText" dxfId="84" priority="124" operator="containsText" text="No Accesible">
      <formula>NOT(ISERROR(SEARCH("No Accesible",BY11)))</formula>
    </cfRule>
    <cfRule type="containsText" dxfId="83" priority="125" operator="containsText" text="Aprendido">
      <formula>NOT(ISERROR(SEARCH("Aprendido",BY11)))</formula>
    </cfRule>
  </conditionalFormatting>
  <conditionalFormatting sqref="BE24:BJ24">
    <cfRule type="cellIs" dxfId="82" priority="123" operator="equal">
      <formula>0</formula>
    </cfRule>
  </conditionalFormatting>
  <conditionalFormatting sqref="BI25:BJ25">
    <cfRule type="containsText" dxfId="81" priority="121" operator="containsText" text="No Accesible">
      <formula>NOT(ISERROR(SEARCH("No Accesible",BI25)))</formula>
    </cfRule>
    <cfRule type="containsText" dxfId="80" priority="122" operator="containsText" text="Aprendido">
      <formula>NOT(ISERROR(SEARCH("Aprendido",BI25)))</formula>
    </cfRule>
  </conditionalFormatting>
  <conditionalFormatting sqref="BM24:BR24">
    <cfRule type="cellIs" dxfId="79" priority="120" operator="equal">
      <formula>0</formula>
    </cfRule>
  </conditionalFormatting>
  <conditionalFormatting sqref="BQ25:BR25">
    <cfRule type="containsText" dxfId="78" priority="118" operator="containsText" text="No Accesible">
      <formula>NOT(ISERROR(SEARCH("No Accesible",BQ25)))</formula>
    </cfRule>
    <cfRule type="containsText" dxfId="77" priority="119" operator="containsText" text="Aprendido">
      <formula>NOT(ISERROR(SEARCH("Aprendido",BQ25)))</formula>
    </cfRule>
  </conditionalFormatting>
  <conditionalFormatting sqref="BU24:BZ24">
    <cfRule type="cellIs" dxfId="76" priority="117" operator="equal">
      <formula>0</formula>
    </cfRule>
  </conditionalFormatting>
  <conditionalFormatting sqref="BY25:BZ25">
    <cfRule type="containsText" dxfId="75" priority="115" operator="containsText" text="No Accesible">
      <formula>NOT(ISERROR(SEARCH("No Accesible",BY25)))</formula>
    </cfRule>
    <cfRule type="containsText" dxfId="74" priority="116" operator="containsText" text="Aprendido">
      <formula>NOT(ISERROR(SEARCH("Aprendido",BY25)))</formula>
    </cfRule>
  </conditionalFormatting>
  <conditionalFormatting sqref="BE38:BJ38">
    <cfRule type="cellIs" dxfId="73" priority="114" operator="equal">
      <formula>0</formula>
    </cfRule>
  </conditionalFormatting>
  <conditionalFormatting sqref="BI39:BJ39">
    <cfRule type="containsText" dxfId="72" priority="112" operator="containsText" text="No Accesible">
      <formula>NOT(ISERROR(SEARCH("No Accesible",BI39)))</formula>
    </cfRule>
    <cfRule type="containsText" dxfId="71" priority="113" operator="containsText" text="Aprendido">
      <formula>NOT(ISERROR(SEARCH("Aprendido",BI39)))</formula>
    </cfRule>
  </conditionalFormatting>
  <conditionalFormatting sqref="BM38:BR38">
    <cfRule type="cellIs" dxfId="70" priority="111" operator="equal">
      <formula>0</formula>
    </cfRule>
  </conditionalFormatting>
  <conditionalFormatting sqref="BQ39:BR39">
    <cfRule type="containsText" dxfId="69" priority="109" operator="containsText" text="No Accesible">
      <formula>NOT(ISERROR(SEARCH("No Accesible",BQ39)))</formula>
    </cfRule>
    <cfRule type="containsText" dxfId="68" priority="110" operator="containsText" text="Aprendido">
      <formula>NOT(ISERROR(SEARCH("Aprendido",BQ39)))</formula>
    </cfRule>
  </conditionalFormatting>
  <conditionalFormatting sqref="BU38:BZ38">
    <cfRule type="cellIs" dxfId="67" priority="108" operator="equal">
      <formula>0</formula>
    </cfRule>
  </conditionalFormatting>
  <conditionalFormatting sqref="BY39:BZ39">
    <cfRule type="containsText" dxfId="66" priority="106" operator="containsText" text="No Accesible">
      <formula>NOT(ISERROR(SEARCH("No Accesible",BY39)))</formula>
    </cfRule>
    <cfRule type="containsText" dxfId="65" priority="107" operator="containsText" text="Aprendido">
      <formula>NOT(ISERROR(SEARCH("Aprendido",BY39)))</formula>
    </cfRule>
  </conditionalFormatting>
  <conditionalFormatting sqref="BE52:BJ52">
    <cfRule type="cellIs" dxfId="64" priority="105" operator="equal">
      <formula>0</formula>
    </cfRule>
  </conditionalFormatting>
  <conditionalFormatting sqref="BI53:BJ53">
    <cfRule type="containsText" dxfId="63" priority="103" operator="containsText" text="No Accesible">
      <formula>NOT(ISERROR(SEARCH("No Accesible",BI53)))</formula>
    </cfRule>
    <cfRule type="containsText" dxfId="62" priority="104" operator="containsText" text="Aprendido">
      <formula>NOT(ISERROR(SEARCH("Aprendido",BI53)))</formula>
    </cfRule>
  </conditionalFormatting>
  <conditionalFormatting sqref="BM52:BR52">
    <cfRule type="cellIs" dxfId="61" priority="102" operator="equal">
      <formula>0</formula>
    </cfRule>
  </conditionalFormatting>
  <conditionalFormatting sqref="BQ53:BR53">
    <cfRule type="containsText" dxfId="60" priority="100" operator="containsText" text="No Accesible">
      <formula>NOT(ISERROR(SEARCH("No Accesible",BQ53)))</formula>
    </cfRule>
    <cfRule type="containsText" dxfId="59" priority="101" operator="containsText" text="Aprendido">
      <formula>NOT(ISERROR(SEARCH("Aprendido",BQ53)))</formula>
    </cfRule>
  </conditionalFormatting>
  <conditionalFormatting sqref="BU52:BZ52">
    <cfRule type="cellIs" dxfId="58" priority="99" operator="equal">
      <formula>0</formula>
    </cfRule>
  </conditionalFormatting>
  <conditionalFormatting sqref="BY53:BZ53">
    <cfRule type="containsText" dxfId="57" priority="97" operator="containsText" text="No Accesible">
      <formula>NOT(ISERROR(SEARCH("No Accesible",BY53)))</formula>
    </cfRule>
    <cfRule type="containsText" dxfId="56" priority="98" operator="containsText" text="Aprendido">
      <formula>NOT(ISERROR(SEARCH("Aprendido",BY53)))</formula>
    </cfRule>
  </conditionalFormatting>
  <conditionalFormatting sqref="BE66:BJ66">
    <cfRule type="cellIs" dxfId="55" priority="96" operator="equal">
      <formula>0</formula>
    </cfRule>
  </conditionalFormatting>
  <conditionalFormatting sqref="BI67:BJ67">
    <cfRule type="containsText" dxfId="54" priority="94" operator="containsText" text="No Accesible">
      <formula>NOT(ISERROR(SEARCH("No Accesible",BI67)))</formula>
    </cfRule>
    <cfRule type="containsText" dxfId="53" priority="95" operator="containsText" text="Aprendido">
      <formula>NOT(ISERROR(SEARCH("Aprendido",BI67)))</formula>
    </cfRule>
  </conditionalFormatting>
  <conditionalFormatting sqref="BM66:BR66">
    <cfRule type="cellIs" dxfId="52" priority="93" operator="equal">
      <formula>0</formula>
    </cfRule>
  </conditionalFormatting>
  <conditionalFormatting sqref="BQ67:BR67">
    <cfRule type="containsText" dxfId="51" priority="91" operator="containsText" text="No Accesible">
      <formula>NOT(ISERROR(SEARCH("No Accesible",BQ67)))</formula>
    </cfRule>
    <cfRule type="containsText" dxfId="50" priority="92" operator="containsText" text="Aprendido">
      <formula>NOT(ISERROR(SEARCH("Aprendido",BQ67)))</formula>
    </cfRule>
  </conditionalFormatting>
  <conditionalFormatting sqref="BU66:BZ66">
    <cfRule type="cellIs" dxfId="49" priority="90" operator="equal">
      <formula>0</formula>
    </cfRule>
  </conditionalFormatting>
  <conditionalFormatting sqref="BY67:BZ67">
    <cfRule type="containsText" dxfId="48" priority="88" operator="containsText" text="No Accesible">
      <formula>NOT(ISERROR(SEARCH("No Accesible",BY67)))</formula>
    </cfRule>
    <cfRule type="containsText" dxfId="47" priority="89" operator="containsText" text="Aprendido">
      <formula>NOT(ISERROR(SEARCH("Aprendido",BY67)))</formula>
    </cfRule>
  </conditionalFormatting>
  <conditionalFormatting sqref="CF10:CK10">
    <cfRule type="cellIs" dxfId="46" priority="87" operator="equal">
      <formula>0</formula>
    </cfRule>
  </conditionalFormatting>
  <conditionalFormatting sqref="CJ11:CK11">
    <cfRule type="containsText" dxfId="45" priority="85" operator="containsText" text="No Accesible">
      <formula>NOT(ISERROR(SEARCH("No Accesible",CJ11)))</formula>
    </cfRule>
    <cfRule type="containsText" dxfId="44" priority="86" operator="containsText" text="Aprendido">
      <formula>NOT(ISERROR(SEARCH("Aprendido",CJ11)))</formula>
    </cfRule>
  </conditionalFormatting>
  <conditionalFormatting sqref="CN10:CS10">
    <cfRule type="cellIs" dxfId="43" priority="42" operator="equal">
      <formula>0</formula>
    </cfRule>
  </conditionalFormatting>
  <conditionalFormatting sqref="CR11:CS11">
    <cfRule type="containsText" dxfId="42" priority="40" operator="containsText" text="No Accesible">
      <formula>NOT(ISERROR(SEARCH("No Accesible",CR11)))</formula>
    </cfRule>
    <cfRule type="containsText" dxfId="41" priority="41" operator="containsText" text="Aprendido">
      <formula>NOT(ISERROR(SEARCH("Aprendido",CR11)))</formula>
    </cfRule>
  </conditionalFormatting>
  <conditionalFormatting sqref="CV10:DA10">
    <cfRule type="cellIs" dxfId="40" priority="39" operator="equal">
      <formula>0</formula>
    </cfRule>
  </conditionalFormatting>
  <conditionalFormatting sqref="CZ11:DA11">
    <cfRule type="containsText" dxfId="39" priority="37" operator="containsText" text="No Accesible">
      <formula>NOT(ISERROR(SEARCH("No Accesible",CZ11)))</formula>
    </cfRule>
    <cfRule type="containsText" dxfId="38" priority="38" operator="containsText" text="Aprendido">
      <formula>NOT(ISERROR(SEARCH("Aprendido",CZ11)))</formula>
    </cfRule>
  </conditionalFormatting>
  <conditionalFormatting sqref="CF24:CK24">
    <cfRule type="cellIs" dxfId="37" priority="36" operator="equal">
      <formula>0</formula>
    </cfRule>
  </conditionalFormatting>
  <conditionalFormatting sqref="CJ25:CK25">
    <cfRule type="containsText" dxfId="36" priority="34" operator="containsText" text="No Accesible">
      <formula>NOT(ISERROR(SEARCH("No Accesible",CJ25)))</formula>
    </cfRule>
    <cfRule type="containsText" dxfId="35" priority="35" operator="containsText" text="Aprendido">
      <formula>NOT(ISERROR(SEARCH("Aprendido",CJ25)))</formula>
    </cfRule>
  </conditionalFormatting>
  <conditionalFormatting sqref="CN24:CS24">
    <cfRule type="cellIs" dxfId="34" priority="33" operator="equal">
      <formula>0</formula>
    </cfRule>
  </conditionalFormatting>
  <conditionalFormatting sqref="CR25:CS25">
    <cfRule type="containsText" dxfId="33" priority="31" operator="containsText" text="No Accesible">
      <formula>NOT(ISERROR(SEARCH("No Accesible",CR25)))</formula>
    </cfRule>
    <cfRule type="containsText" dxfId="32" priority="32" operator="containsText" text="Aprendido">
      <formula>NOT(ISERROR(SEARCH("Aprendido",CR25)))</formula>
    </cfRule>
  </conditionalFormatting>
  <conditionalFormatting sqref="CV24:DA24">
    <cfRule type="cellIs" dxfId="31" priority="30" operator="equal">
      <formula>0</formula>
    </cfRule>
  </conditionalFormatting>
  <conditionalFormatting sqref="CZ25:DA25">
    <cfRule type="containsText" dxfId="30" priority="28" operator="containsText" text="No Accesible">
      <formula>NOT(ISERROR(SEARCH("No Accesible",CZ25)))</formula>
    </cfRule>
    <cfRule type="containsText" dxfId="29" priority="29" operator="containsText" text="Aprendido">
      <formula>NOT(ISERROR(SEARCH("Aprendido",CZ25)))</formula>
    </cfRule>
  </conditionalFormatting>
  <conditionalFormatting sqref="CF38:CK38">
    <cfRule type="cellIs" dxfId="28" priority="27" operator="equal">
      <formula>0</formula>
    </cfRule>
  </conditionalFormatting>
  <conditionalFormatting sqref="CJ39:CK39">
    <cfRule type="containsText" dxfId="27" priority="25" operator="containsText" text="No Accesible">
      <formula>NOT(ISERROR(SEARCH("No Accesible",CJ39)))</formula>
    </cfRule>
    <cfRule type="containsText" dxfId="26" priority="26" operator="containsText" text="Aprendido">
      <formula>NOT(ISERROR(SEARCH("Aprendido",CJ39)))</formula>
    </cfRule>
  </conditionalFormatting>
  <conditionalFormatting sqref="CN38:CS38">
    <cfRule type="cellIs" dxfId="25" priority="24" operator="equal">
      <formula>0</formula>
    </cfRule>
  </conditionalFormatting>
  <conditionalFormatting sqref="CR39:CS39">
    <cfRule type="containsText" dxfId="24" priority="22" operator="containsText" text="No Accesible">
      <formula>NOT(ISERROR(SEARCH("No Accesible",CR39)))</formula>
    </cfRule>
    <cfRule type="containsText" dxfId="23" priority="23" operator="containsText" text="Aprendido">
      <formula>NOT(ISERROR(SEARCH("Aprendido",CR39)))</formula>
    </cfRule>
  </conditionalFormatting>
  <conditionalFormatting sqref="CV38:DA38">
    <cfRule type="cellIs" dxfId="22" priority="21" operator="equal">
      <formula>0</formula>
    </cfRule>
  </conditionalFormatting>
  <conditionalFormatting sqref="CZ39:DA39">
    <cfRule type="containsText" dxfId="21" priority="19" operator="containsText" text="No Accesible">
      <formula>NOT(ISERROR(SEARCH("No Accesible",CZ39)))</formula>
    </cfRule>
    <cfRule type="containsText" dxfId="20" priority="20" operator="containsText" text="Aprendido">
      <formula>NOT(ISERROR(SEARCH("Aprendido",CZ39)))</formula>
    </cfRule>
  </conditionalFormatting>
  <conditionalFormatting sqref="CF52:CK52">
    <cfRule type="cellIs" dxfId="19" priority="18" operator="equal">
      <formula>0</formula>
    </cfRule>
  </conditionalFormatting>
  <conditionalFormatting sqref="CJ53:CK53">
    <cfRule type="containsText" dxfId="18" priority="16" operator="containsText" text="No Accesible">
      <formula>NOT(ISERROR(SEARCH("No Accesible",CJ53)))</formula>
    </cfRule>
    <cfRule type="containsText" dxfId="17" priority="17" operator="containsText" text="Aprendido">
      <formula>NOT(ISERROR(SEARCH("Aprendido",CJ53)))</formula>
    </cfRule>
  </conditionalFormatting>
  <conditionalFormatting sqref="CN52:CS52">
    <cfRule type="cellIs" dxfId="16" priority="15" operator="equal">
      <formula>0</formula>
    </cfRule>
  </conditionalFormatting>
  <conditionalFormatting sqref="CR53:CS53">
    <cfRule type="containsText" dxfId="15" priority="13" operator="containsText" text="No Accesible">
      <formula>NOT(ISERROR(SEARCH("No Accesible",CR53)))</formula>
    </cfRule>
    <cfRule type="containsText" dxfId="14" priority="14" operator="containsText" text="Aprendido">
      <formula>NOT(ISERROR(SEARCH("Aprendido",CR53)))</formula>
    </cfRule>
  </conditionalFormatting>
  <conditionalFormatting sqref="CV52:DA52">
    <cfRule type="cellIs" dxfId="13" priority="12" operator="equal">
      <formula>0</formula>
    </cfRule>
  </conditionalFormatting>
  <conditionalFormatting sqref="CZ53:DA53">
    <cfRule type="containsText" dxfId="12" priority="10" operator="containsText" text="No Accesible">
      <formula>NOT(ISERROR(SEARCH("No Accesible",CZ53)))</formula>
    </cfRule>
    <cfRule type="containsText" dxfId="11" priority="11" operator="containsText" text="Aprendido">
      <formula>NOT(ISERROR(SEARCH("Aprendido",CZ53)))</formula>
    </cfRule>
  </conditionalFormatting>
  <conditionalFormatting sqref="CF66:CK66">
    <cfRule type="cellIs" dxfId="10" priority="9" operator="equal">
      <formula>0</formula>
    </cfRule>
  </conditionalFormatting>
  <conditionalFormatting sqref="CJ67:CK67">
    <cfRule type="containsText" dxfId="9" priority="7" operator="containsText" text="No Accesible">
      <formula>NOT(ISERROR(SEARCH("No Accesible",CJ67)))</formula>
    </cfRule>
    <cfRule type="containsText" dxfId="8" priority="8" operator="containsText" text="Aprendido">
      <formula>NOT(ISERROR(SEARCH("Aprendido",CJ67)))</formula>
    </cfRule>
  </conditionalFormatting>
  <conditionalFormatting sqref="CN66:CS66">
    <cfRule type="cellIs" dxfId="7" priority="6" operator="equal">
      <formula>0</formula>
    </cfRule>
  </conditionalFormatting>
  <conditionalFormatting sqref="CR67:CS67">
    <cfRule type="containsText" dxfId="6" priority="4" operator="containsText" text="No Accesible">
      <formula>NOT(ISERROR(SEARCH("No Accesible",CR67)))</formula>
    </cfRule>
    <cfRule type="containsText" dxfId="5" priority="5" operator="containsText" text="Aprendido">
      <formula>NOT(ISERROR(SEARCH("Aprendido",CR67)))</formula>
    </cfRule>
  </conditionalFormatting>
  <conditionalFormatting sqref="CV66:DA66">
    <cfRule type="cellIs" dxfId="4" priority="3" operator="equal">
      <formula>0</formula>
    </cfRule>
  </conditionalFormatting>
  <conditionalFormatting sqref="CZ67:DA67">
    <cfRule type="containsText" dxfId="3" priority="1" operator="containsText" text="No Accesible">
      <formula>NOT(ISERROR(SEARCH("No Accesible",CZ67)))</formula>
    </cfRule>
    <cfRule type="containsText" dxfId="2"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2019-02-09T11:47:04Z</cp:lastPrinted>
  <dcterms:created xsi:type="dcterms:W3CDTF">2015-03-24T15:47:25Z</dcterms:created>
  <dcterms:modified xsi:type="dcterms:W3CDTF">2019-02-15T20:37:01Z</dcterms:modified>
</cp:coreProperties>
</file>