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166AC42-9E41-4D5B-91B3-3C940E128E4A}" xr6:coauthVersionLast="36" xr6:coauthVersionMax="36" xr10:uidLastSave="{00000000-0000-0000-0000-000000000000}"/>
  <bookViews>
    <workbookView xWindow="0" yWindow="0" windowWidth="12000" windowHeight="4425" tabRatio="905" firstSheet="3"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38" i="4" l="1"/>
  <c r="H44" i="4"/>
  <c r="S44" i="4"/>
  <c r="H38"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Y22" i="2"/>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G1909" i="11"/>
  <c r="E234" i="11"/>
  <c r="J51"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s="1"/>
  <c r="S27" i="4" l="1"/>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<sst xmlns="http://schemas.openxmlformats.org/spreadsheetml/2006/main" count="29605" uniqueCount="10139">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</sst>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4" borderId="0" xfId="0" applyFont="1" applyFill="1" applyAlignment="1" applyProtection="1">
      <alignment horizontal="center"/>
    </xf>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0" fillId="17" borderId="381" xfId="0" applyFill="1" applyBorder="1" applyProtection="1"/>
    <xf numFmtId="0" fontId="0" fillId="17" borderId="12" xfId="0" applyFill="1" applyBorder="1" applyProtection="1"/>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8"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center" vertical="center"/>
    </xf>
    <xf numFmtId="0" fontId="78" fillId="4" borderId="0" xfId="0" applyFont="1" applyFill="1" applyBorder="1" applyAlignment="1" applyProtection="1">
      <alignment horizontal="left"/>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164" fillId="4" borderId="0" xfId="0" applyFont="1" applyFill="1" applyProtection="1"/>
    <xf numFmtId="0" fontId="0" fillId="4" borderId="107" xfId="0" applyFill="1" applyBorder="1" applyAlignment="1" applyProtection="1">
      <alignment horizontal="right" vertical="center" textRotation="90" wrapText="1"/>
    </xf>
    <xf numFmtId="0" fontId="70" fillId="42" borderId="99" xfId="0" applyFont="1" applyFill="1" applyBorder="1" applyAlignment="1" applyProtection="1">
      <alignment horizontal="center"/>
    </xf>
    <xf numFmtId="0" fontId="70" fillId="42" borderId="100"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8" borderId="11"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26"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84" xfId="0" applyFont="1" applyFill="1" applyBorder="1" applyAlignment="1" applyProtection="1">
      <alignment horizontal="left" vertical="center" wrapText="1"/>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0" fillId="8" borderId="344" xfId="0" applyFont="1" applyFill="1" applyBorder="1" applyAlignment="1" applyProtection="1">
      <alignment horizontal="right" vertical="center" wrapText="1"/>
    </xf>
    <xf numFmtId="0" fontId="10" fillId="8" borderId="265" xfId="0" applyFont="1" applyFill="1" applyBorder="1" applyAlignment="1" applyProtection="1">
      <alignment horizontal="right"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8" borderId="265" xfId="0" applyFont="1" applyFill="1" applyBorder="1" applyAlignment="1" applyProtection="1">
      <alignment horizontal="center" vertical="center" wrapText="1"/>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104" xfId="0" applyFont="1" applyFill="1" applyBorder="1" applyAlignment="1" applyProtection="1">
      <alignment horizontal="left" vertical="center"/>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27" fillId="8" borderId="88" xfId="0" applyFont="1" applyFill="1" applyBorder="1" applyAlignment="1" applyProtection="1">
      <alignment horizontal="center" vertical="top" wrapText="1"/>
      <protection locked="0"/>
    </xf>
    <xf numFmtId="0" fontId="14" fillId="8" borderId="15" xfId="0" applyFont="1" applyFill="1" applyBorder="1" applyAlignment="1" applyProtection="1">
      <alignment horizontal="center" vertical="center"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10" fillId="8" borderId="243"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49" xfId="0" applyFont="1" applyFill="1" applyBorder="1" applyAlignment="1" applyProtection="1">
      <alignment horizontal="left" vertical="top" wrapText="1"/>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59"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15" xfId="0" applyFont="1" applyFill="1" applyBorder="1" applyAlignment="1" applyProtection="1">
      <alignment horizontal="center" vertical="center" wrapText="1"/>
    </xf>
    <xf numFmtId="0" fontId="10" fillId="8" borderId="0" xfId="0" applyFont="1" applyFill="1" applyBorder="1" applyAlignment="1" applyProtection="1">
      <alignmen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2" fillId="8" borderId="52" xfId="0" applyFont="1" applyFill="1" applyBorder="1" applyAlignment="1" applyProtection="1">
      <alignment horizontal="center" vertical="center" wrapText="1"/>
      <protection locked="0"/>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27" fillId="8" borderId="17"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196"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0" fillId="42" borderId="104" xfId="0" applyFont="1" applyFill="1" applyBorder="1" applyAlignment="1" applyProtection="1">
      <alignment horizontal="center" vertical="center"/>
    </xf>
    <xf numFmtId="0" fontId="10" fillId="42" borderId="0" xfId="0" applyFont="1" applyFill="1" applyBorder="1" applyAlignment="1" applyProtection="1">
      <alignment horizontal="center" vertical="center"/>
    </xf>
    <xf numFmtId="0" fontId="10" fillId="42" borderId="75" xfId="0" applyFont="1" applyFill="1" applyBorder="1" applyAlignment="1" applyProtection="1">
      <alignment horizontal="center" vertical="center"/>
    </xf>
    <xf numFmtId="0" fontId="10" fillId="42" borderId="102" xfId="0" applyFont="1" applyFill="1" applyBorder="1" applyAlignment="1" applyProtection="1">
      <alignment horizontal="center" vertical="center"/>
    </xf>
    <xf numFmtId="0" fontId="10" fillId="42" borderId="87" xfId="0" applyFont="1" applyFill="1" applyBorder="1" applyAlignment="1" applyProtection="1">
      <alignment horizontal="center" vertical="center"/>
    </xf>
    <xf numFmtId="0" fontId="10" fillId="42" borderId="103" xfId="0" applyFont="1" applyFill="1" applyBorder="1" applyAlignment="1" applyProtection="1">
      <alignment horizontal="center" vertical="center"/>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6" fillId="8" borderId="97"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3" fillId="42" borderId="0" xfId="0" applyFont="1" applyFill="1" applyBorder="1" applyAlignment="1" applyProtection="1">
      <alignment horizontal="center"/>
    </xf>
    <xf numFmtId="0" fontId="73" fillId="42" borderId="87" xfId="0" applyFont="1" applyFill="1" applyBorder="1" applyAlignment="1" applyProtection="1">
      <alignment horizont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0"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72"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8"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xf>
    <xf numFmtId="0" fontId="157" fillId="24" borderId="265" xfId="0" applyFont="1" applyFill="1" applyBorder="1" applyAlignment="1" applyProtection="1">
      <alignment horizontal="center" vertical="center" wrapText="1"/>
    </xf>
    <xf numFmtId="0" fontId="157" fillId="24" borderId="268" xfId="0" applyFont="1" applyFill="1" applyBorder="1" applyAlignment="1" applyProtection="1">
      <alignment horizontal="center" vertical="center" wrapText="1"/>
    </xf>
    <xf numFmtId="0" fontId="157" fillId="24" borderId="155" xfId="0" applyFont="1" applyFill="1" applyBorder="1" applyAlignment="1" applyProtection="1">
      <alignment horizontal="center" vertical="center" wrapText="1"/>
    </xf>
    <xf numFmtId="0" fontId="157" fillId="24" borderId="87" xfId="0" applyFont="1" applyFill="1" applyBorder="1" applyAlignment="1" applyProtection="1">
      <alignment horizontal="center" vertical="center" wrapText="1"/>
    </xf>
    <xf numFmtId="0" fontId="157" fillId="24" borderId="103"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4"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13" fillId="13" borderId="104" xfId="13" applyFont="1" applyFill="1" applyBorder="1" applyAlignment="1" applyProtection="1">
      <alignment horizontal="center"/>
    </xf>
    <xf numFmtId="0" fontId="78" fillId="13" borderId="75" xfId="13" applyFont="1" applyFill="1" applyBorder="1" applyAlignment="1" applyProtection="1">
      <alignment horizontal="right"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10" fillId="13" borderId="0" xfId="13"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8"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4" fillId="41" borderId="0"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4"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4" fillId="41" borderId="155" xfId="0" applyFont="1" applyFill="1" applyBorder="1" applyAlignment="1" applyProtection="1">
      <alignment horizontal="center" vertical="center" wrapText="1"/>
      <protection locked="0"/>
    </xf>
    <xf numFmtId="0" fontId="154" fillId="41" borderId="148" xfId="0" applyFont="1" applyFill="1" applyBorder="1" applyAlignment="1" applyProtection="1">
      <alignment horizontal="center" vertical="center" wrapText="1"/>
      <protection locked="0"/>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6" fillId="16" borderId="0" xfId="0" applyFont="1" applyFill="1" applyAlignment="1" applyProtection="1">
      <alignment horizontal="left" vertical="center"/>
    </xf>
    <xf numFmtId="0" fontId="0" fillId="0" borderId="0" xfId="0"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135"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4" borderId="0" xfId="0"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49" fontId="73" fillId="57" borderId="117"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3"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3"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0" fillId="31" borderId="110"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99"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1" fillId="9" borderId="100"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3" fillId="9" borderId="10" xfId="0" applyFont="1" applyFill="1" applyBorder="1" applyAlignment="1" applyProtection="1">
      <alignment horizontal="center" vertical="center" wrapText="1"/>
    </xf>
    <xf numFmtId="0" fontId="0" fillId="0" borderId="0" xfId="0" applyAlignment="1" applyProtection="1">
      <alignment horizontal="left"/>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3" fillId="0" borderId="0" xfId="0" applyFont="1" applyFill="1" applyBorder="1" applyAlignment="1" applyProtection="1">
      <alignment horizont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155"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1" fillId="13" borderId="89" xfId="0" applyFont="1" applyFill="1" applyBorder="1" applyAlignment="1" applyProtection="1">
      <alignment horizontal="center"/>
    </xf>
    <xf numFmtId="0" fontId="61"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1"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1" fillId="17" borderId="0" xfId="0" applyFont="1" applyFill="1" applyBorder="1" applyAlignment="1">
      <alignment horizontal="center"/>
    </xf>
    <xf numFmtId="0" fontId="0" fillId="17" borderId="0" xfId="0" applyFill="1" applyBorder="1" applyAlignment="1">
      <alignment horizontal="center"/>
    </xf>
    <xf numFmtId="0" fontId="61" fillId="13" borderId="148"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1" fillId="13" borderId="0"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87" xfId="0"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9" fillId="22" borderId="111" xfId="0"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8"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153" fillId="24" borderId="111" xfId="0" applyFont="1" applyFill="1" applyBorder="1" applyAlignment="1" applyProtection="1">
      <alignment horizontal="center" vertical="center" wrapText="1"/>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267"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49" fontId="83" fillId="24" borderId="87" xfId="13" applyNumberFormat="1" applyFont="1" applyFill="1" applyBorder="1" applyAlignment="1" applyProtection="1">
      <alignment horizontal="center"/>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1" sqref="C61:R68"/>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165"/>
      <c r="D3" s="3165"/>
      <c r="E3" s="3165"/>
      <c r="F3" s="3165"/>
      <c r="G3" s="3165"/>
      <c r="H3" s="3165"/>
      <c r="I3" s="48"/>
      <c r="J3" s="48"/>
      <c r="K3" s="48"/>
      <c r="L3" s="48"/>
      <c r="M3" s="48"/>
      <c r="N3" s="48"/>
      <c r="O3" s="48"/>
      <c r="P3" s="48"/>
      <c r="Q3" s="48"/>
      <c r="R3" s="49"/>
      <c r="S3" s="1794"/>
      <c r="T3" s="47"/>
    </row>
    <row r="4" spans="1:27" ht="12" customHeight="1" thickBot="1" x14ac:dyDescent="0.25">
      <c r="A4" s="45"/>
      <c r="B4" s="2143"/>
      <c r="C4" s="3165"/>
      <c r="D4" s="3165"/>
      <c r="E4" s="3165"/>
      <c r="F4" s="3165"/>
      <c r="G4" s="3165"/>
      <c r="H4" s="3165"/>
      <c r="I4" s="52"/>
      <c r="J4" s="52"/>
      <c r="K4" s="3166" t="str">
        <f>IF(General!$G$22=0,"",General!$G$22)</f>
        <v/>
      </c>
      <c r="L4" s="3166"/>
      <c r="M4" s="3166"/>
      <c r="N4" s="3166"/>
      <c r="O4" s="3166"/>
      <c r="P4" s="3166"/>
      <c r="Q4" s="3166"/>
      <c r="R4" s="13"/>
      <c r="S4" s="1795"/>
      <c r="T4" s="53"/>
    </row>
    <row r="5" spans="1:27" ht="12" customHeight="1" thickBot="1" x14ac:dyDescent="0.25">
      <c r="A5" s="45"/>
      <c r="B5" s="2143"/>
      <c r="C5" s="3165"/>
      <c r="D5" s="3165"/>
      <c r="E5" s="3165"/>
      <c r="F5" s="3165"/>
      <c r="G5" s="3165"/>
      <c r="H5" s="3165"/>
      <c r="I5" s="52"/>
      <c r="J5" s="52"/>
      <c r="K5" s="3166"/>
      <c r="L5" s="3166"/>
      <c r="M5" s="3166"/>
      <c r="N5" s="3166"/>
      <c r="O5" s="3166"/>
      <c r="P5" s="3166"/>
      <c r="Q5" s="3166"/>
      <c r="R5" s="55"/>
      <c r="S5" s="1794"/>
      <c r="T5" s="53"/>
    </row>
    <row r="6" spans="1:27" ht="12" customHeight="1" thickBot="1" x14ac:dyDescent="0.25">
      <c r="A6" s="45"/>
      <c r="B6" s="2143"/>
      <c r="C6" s="3165"/>
      <c r="D6" s="3165"/>
      <c r="E6" s="3165"/>
      <c r="F6" s="3165"/>
      <c r="G6" s="3165"/>
      <c r="H6" s="3165"/>
      <c r="I6" s="52"/>
      <c r="J6" s="52"/>
      <c r="K6" s="3166"/>
      <c r="L6" s="3166"/>
      <c r="M6" s="3166"/>
      <c r="N6" s="3166"/>
      <c r="O6" s="3166"/>
      <c r="P6" s="3166"/>
      <c r="Q6" s="3166"/>
      <c r="R6" s="55"/>
      <c r="S6" s="1794"/>
      <c r="T6" s="53"/>
    </row>
    <row r="7" spans="1:27" ht="12" customHeight="1" thickBot="1" x14ac:dyDescent="0.25">
      <c r="A7" s="45"/>
      <c r="B7" s="2143"/>
      <c r="C7" s="3165"/>
      <c r="D7" s="3165"/>
      <c r="E7" s="3165"/>
      <c r="F7" s="3165"/>
      <c r="G7" s="3165"/>
      <c r="H7" s="3165"/>
      <c r="I7" s="52"/>
      <c r="J7" s="52"/>
      <c r="K7" s="3166"/>
      <c r="L7" s="3166"/>
      <c r="M7" s="3166"/>
      <c r="N7" s="3166"/>
      <c r="O7" s="3166"/>
      <c r="P7" s="3166"/>
      <c r="Q7" s="3166"/>
      <c r="R7" s="55"/>
      <c r="S7" s="1794"/>
      <c r="T7" s="53"/>
    </row>
    <row r="8" spans="1:27" ht="12" customHeight="1" thickBot="1" x14ac:dyDescent="0.25">
      <c r="A8" s="45"/>
      <c r="B8" s="2143"/>
      <c r="C8" s="3165"/>
      <c r="D8" s="3165"/>
      <c r="E8" s="3165"/>
      <c r="F8" s="3165"/>
      <c r="G8" s="3165"/>
      <c r="H8" s="3165"/>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30" t="s">
        <v>8665</v>
      </c>
      <c r="W10" s="3131"/>
      <c r="X10" s="3132"/>
    </row>
    <row r="11" spans="1:27" ht="12" customHeight="1" thickBot="1" x14ac:dyDescent="0.25">
      <c r="A11" s="45"/>
      <c r="B11" s="2144"/>
      <c r="C11" s="1725" t="s">
        <v>1627</v>
      </c>
      <c r="D11" s="355" t="str">
        <f>(PDs!S5+PDs!S7+PDs!S9+PDs!S11+PDs!S13)&amp;IF(Principal!AA27=0,""," + "&amp;Principal!AA27)</f>
        <v>0</v>
      </c>
      <c r="E11" s="356"/>
      <c r="F11" s="217"/>
      <c r="G11" s="217"/>
      <c r="H11" s="217"/>
      <c r="I11" s="217"/>
      <c r="J11" s="2136" t="s">
        <v>1672</v>
      </c>
      <c r="K11" s="3169" t="str">
        <f>Principal!K7</f>
        <v xml:space="preserve"> 10</v>
      </c>
      <c r="L11" s="3169"/>
      <c r="M11" s="3169"/>
      <c r="N11" s="3169"/>
      <c r="O11" s="3169"/>
      <c r="P11" s="3169"/>
      <c r="Q11" s="3169"/>
      <c r="R11" s="2137"/>
      <c r="S11" s="1794"/>
      <c r="T11" s="53"/>
      <c r="V11" s="3133"/>
      <c r="W11" s="3134"/>
      <c r="X11" s="3135"/>
    </row>
    <row r="12" spans="1:27" ht="12" customHeight="1" x14ac:dyDescent="0.2">
      <c r="A12" s="45"/>
      <c r="B12" s="2144"/>
      <c r="C12" s="3150" t="s">
        <v>2181</v>
      </c>
      <c r="D12" s="3151"/>
      <c r="E12" s="3151"/>
      <c r="F12" s="3149">
        <f>Principal!N11</f>
        <v>20</v>
      </c>
      <c r="G12" s="3149"/>
      <c r="H12" s="217"/>
      <c r="I12" s="217"/>
      <c r="J12" s="217"/>
      <c r="K12" s="3167" t="s">
        <v>1626</v>
      </c>
      <c r="L12" s="3167"/>
      <c r="M12" s="3168" t="str">
        <f>Principal!L5</f>
        <v/>
      </c>
      <c r="N12" s="3168"/>
      <c r="O12" s="3168"/>
      <c r="P12" s="217"/>
      <c r="Q12" s="217"/>
      <c r="R12" s="1726"/>
      <c r="S12" s="1794"/>
      <c r="T12" s="53"/>
      <c r="V12" s="3117"/>
      <c r="W12" s="3118"/>
      <c r="X12" s="3119"/>
      <c r="Z12" s="3117"/>
      <c r="AA12" s="3119"/>
    </row>
    <row r="13" spans="1:27" ht="12" customHeight="1" x14ac:dyDescent="0.2">
      <c r="A13" s="45"/>
      <c r="B13" s="2144"/>
      <c r="C13" s="2132" t="s">
        <v>2182</v>
      </c>
      <c r="D13" s="2135">
        <f>FUE</f>
        <v>0</v>
      </c>
      <c r="E13" s="2133" t="s">
        <v>2183</v>
      </c>
      <c r="F13" s="2135">
        <f>DES</f>
        <v>0</v>
      </c>
      <c r="G13" s="2133" t="s">
        <v>2184</v>
      </c>
      <c r="H13" s="2135">
        <f>AGI</f>
        <v>0</v>
      </c>
      <c r="I13" s="2133" t="s">
        <v>2185</v>
      </c>
      <c r="J13" s="2135">
        <f>CON</f>
        <v>0</v>
      </c>
      <c r="K13" s="2133" t="s">
        <v>2186</v>
      </c>
      <c r="L13" s="2135">
        <f>POD</f>
        <v>0</v>
      </c>
      <c r="M13" s="2133" t="s">
        <v>2187</v>
      </c>
      <c r="N13" s="2135">
        <f>INT</f>
        <v>0</v>
      </c>
      <c r="O13" s="2133" t="s">
        <v>2188</v>
      </c>
      <c r="P13" s="2135">
        <f>VOL</f>
        <v>0</v>
      </c>
      <c r="Q13" s="2133" t="s">
        <v>2189</v>
      </c>
      <c r="R13" s="2137">
        <f>PER</f>
        <v>0</v>
      </c>
      <c r="S13" s="1794"/>
      <c r="T13" s="53"/>
      <c r="V13" s="3120"/>
      <c r="W13" s="3121"/>
      <c r="X13" s="3122"/>
      <c r="Z13" s="3120"/>
      <c r="AA13" s="3122"/>
    </row>
    <row r="14" spans="1:27" ht="12" customHeight="1" thickBot="1" x14ac:dyDescent="0.25">
      <c r="A14" s="45"/>
      <c r="B14" s="2144"/>
      <c r="C14" s="1727" t="s">
        <v>2190</v>
      </c>
      <c r="D14" s="2135">
        <f>Principal!J56</f>
        <v>20</v>
      </c>
      <c r="E14" s="357" t="s">
        <v>2191</v>
      </c>
      <c r="F14" s="2135">
        <f>Principal!J59</f>
        <v>20</v>
      </c>
      <c r="G14" s="357" t="s">
        <v>2192</v>
      </c>
      <c r="H14" s="2135">
        <f>Principal!J60</f>
        <v>20</v>
      </c>
      <c r="I14" s="357" t="s">
        <v>2193</v>
      </c>
      <c r="J14" s="2135">
        <f>Principal!J58</f>
        <v>20</v>
      </c>
      <c r="K14" s="357" t="s">
        <v>2194</v>
      </c>
      <c r="L14" s="2135">
        <f>Principal!J57</f>
        <v>20</v>
      </c>
      <c r="M14" s="56"/>
      <c r="N14" s="357" t="s">
        <v>2168</v>
      </c>
      <c r="O14" s="56"/>
      <c r="P14" s="2135">
        <f>Presencia_final</f>
        <v>20</v>
      </c>
      <c r="Q14" s="56"/>
      <c r="R14" s="1590"/>
      <c r="S14" s="1794"/>
      <c r="T14" s="53"/>
      <c r="V14" s="3120"/>
      <c r="W14" s="3121"/>
      <c r="X14" s="3122"/>
      <c r="Z14" s="3123"/>
      <c r="AA14" s="3125"/>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120"/>
      <c r="W15" s="3121"/>
      <c r="X15" s="3122"/>
    </row>
    <row r="16" spans="1:27" ht="17.100000000000001" customHeight="1" x14ac:dyDescent="0.2">
      <c r="A16" s="45"/>
      <c r="B16" s="2144"/>
      <c r="C16" s="2134" t="s">
        <v>2195</v>
      </c>
      <c r="D16" s="315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55"/>
      <c r="F16" s="3155"/>
      <c r="G16" s="3155"/>
      <c r="H16" s="3155"/>
      <c r="I16" s="3155"/>
      <c r="J16" s="3155"/>
      <c r="K16" s="3155"/>
      <c r="L16" s="3155"/>
      <c r="M16" s="3155"/>
      <c r="N16" s="3155"/>
      <c r="O16" s="3155"/>
      <c r="P16" s="3155"/>
      <c r="Q16" s="3155"/>
      <c r="R16" s="3156"/>
      <c r="S16" s="1794"/>
      <c r="T16" s="53"/>
      <c r="V16" s="3120"/>
      <c r="W16" s="3121"/>
      <c r="X16" s="3122"/>
    </row>
    <row r="17" spans="1:24" ht="17.100000000000001" customHeight="1" x14ac:dyDescent="0.2">
      <c r="A17" s="45"/>
      <c r="B17" s="2144"/>
      <c r="C17" s="3150" t="s">
        <v>2196</v>
      </c>
      <c r="D17" s="3151"/>
      <c r="E17" s="3151"/>
      <c r="F17" s="3151"/>
      <c r="G17" s="315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55"/>
      <c r="I17" s="3155"/>
      <c r="J17" s="3155"/>
      <c r="K17" s="3155"/>
      <c r="L17" s="3155"/>
      <c r="M17" s="3155"/>
      <c r="N17" s="3155"/>
      <c r="O17" s="3155"/>
      <c r="P17" s="3155"/>
      <c r="Q17" s="3155"/>
      <c r="R17" s="3156"/>
      <c r="S17" s="1794"/>
      <c r="T17" s="53"/>
      <c r="V17" s="3120"/>
      <c r="W17" s="3121"/>
      <c r="X17" s="3122"/>
    </row>
    <row r="18" spans="1:24" ht="17.100000000000001" customHeight="1" x14ac:dyDescent="0.2">
      <c r="A18" s="45"/>
      <c r="B18" s="2143"/>
      <c r="C18" s="3150" t="s">
        <v>2197</v>
      </c>
      <c r="D18" s="3151"/>
      <c r="E18" s="3151"/>
      <c r="F18" s="3151"/>
      <c r="G18" s="315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55"/>
      <c r="I18" s="3155"/>
      <c r="J18" s="3155"/>
      <c r="K18" s="3155"/>
      <c r="L18" s="3155"/>
      <c r="M18" s="3155"/>
      <c r="N18" s="3155"/>
      <c r="O18" s="3155"/>
      <c r="P18" s="3155"/>
      <c r="Q18" s="3155"/>
      <c r="R18" s="3156"/>
      <c r="S18" s="1794"/>
      <c r="T18" s="53"/>
      <c r="V18" s="3120"/>
      <c r="W18" s="3121"/>
      <c r="X18" s="3122"/>
    </row>
    <row r="19" spans="1:24" ht="17.100000000000001" customHeight="1" x14ac:dyDescent="0.2">
      <c r="A19" s="45"/>
      <c r="B19" s="2143"/>
      <c r="C19" s="1729" t="s">
        <v>2198</v>
      </c>
      <c r="D19" s="315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55"/>
      <c r="F19" s="3155"/>
      <c r="G19" s="3155"/>
      <c r="H19" s="3155"/>
      <c r="I19" s="3155"/>
      <c r="J19" s="3155"/>
      <c r="K19" s="3155"/>
      <c r="L19" s="3155"/>
      <c r="M19" s="3155"/>
      <c r="N19" s="3155"/>
      <c r="O19" s="3155"/>
      <c r="P19" s="3155"/>
      <c r="Q19" s="3155"/>
      <c r="R19" s="3156"/>
      <c r="S19" s="1794"/>
      <c r="T19" s="53"/>
      <c r="V19" s="3120"/>
      <c r="W19" s="3121"/>
      <c r="X19" s="3122"/>
    </row>
    <row r="20" spans="1:24" ht="12" customHeight="1" x14ac:dyDescent="0.2">
      <c r="A20" s="45"/>
      <c r="B20" s="2143"/>
      <c r="C20" s="1727" t="s">
        <v>2199</v>
      </c>
      <c r="D20" s="3149" t="str">
        <f>IF(Combate!E12=0,"",Combate!E12)&amp;IF(OR(Combate!E12=0,Combate!E13=0),""," + ")&amp;IF(Combate!E13=0,"",Combate!E13)&amp;IF(OR(AND(Combate!E12=0,Combate!E13=0),Combate!E14=0),""," + ")&amp;IF(Combate!E14=0,"",Combate!E14)</f>
        <v/>
      </c>
      <c r="E20" s="3149"/>
      <c r="F20" s="3149"/>
      <c r="G20" s="3149"/>
      <c r="H20" s="3149"/>
      <c r="I20" s="3149"/>
      <c r="J20" s="3149"/>
      <c r="K20" s="56"/>
      <c r="L20" s="56"/>
      <c r="M20" s="56"/>
      <c r="N20" s="56"/>
      <c r="O20" s="56"/>
      <c r="P20" s="56"/>
      <c r="Q20" s="56"/>
      <c r="R20" s="1590"/>
      <c r="S20" s="1794"/>
      <c r="T20" s="53"/>
      <c r="V20" s="3120"/>
      <c r="W20" s="3121"/>
      <c r="X20" s="3122"/>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120"/>
      <c r="W21" s="3121"/>
      <c r="X21" s="3122"/>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123"/>
      <c r="W22" s="3124"/>
      <c r="X22" s="3125"/>
    </row>
    <row r="23" spans="1:24" ht="12" customHeight="1" x14ac:dyDescent="0.2">
      <c r="A23" s="45"/>
      <c r="B23" s="1703"/>
      <c r="C23" s="3141" t="s">
        <v>2207</v>
      </c>
      <c r="D23" s="3142"/>
      <c r="E23" s="3142"/>
      <c r="F23" s="2147" t="str">
        <f>"("&amp;Ki!E24&amp;")"</f>
        <v>(0)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16"/>
      <c r="C24" s="3150" t="s">
        <v>2208</v>
      </c>
      <c r="D24" s="3151"/>
      <c r="E24" s="3151"/>
      <c r="F24" s="3151"/>
      <c r="G24" s="360" t="s">
        <v>2182</v>
      </c>
      <c r="H24" s="2135">
        <f>Ki!D18</f>
        <v>0</v>
      </c>
      <c r="I24" s="360" t="s">
        <v>2183</v>
      </c>
      <c r="J24" s="2135">
        <f>Ki!D16</f>
        <v>0</v>
      </c>
      <c r="K24" s="360" t="s">
        <v>2184</v>
      </c>
      <c r="L24" s="2135">
        <f>Ki!D12</f>
        <v>0</v>
      </c>
      <c r="M24" s="360" t="s">
        <v>2185</v>
      </c>
      <c r="N24" s="2135">
        <f>Ki!D14</f>
        <v>0</v>
      </c>
      <c r="O24" s="360" t="s">
        <v>2186</v>
      </c>
      <c r="P24" s="2135">
        <f>Ki!D20</f>
        <v>0</v>
      </c>
      <c r="Q24" s="360" t="s">
        <v>2188</v>
      </c>
      <c r="R24" s="2137">
        <f>Ki!D22</f>
        <v>0</v>
      </c>
      <c r="S24" s="1794"/>
      <c r="T24" s="53"/>
    </row>
    <row r="25" spans="1:24" ht="12" customHeight="1" x14ac:dyDescent="0.2">
      <c r="A25" s="45"/>
      <c r="B25" s="3116"/>
      <c r="C25" s="3150" t="s">
        <v>2209</v>
      </c>
      <c r="D25" s="3151"/>
      <c r="E25" s="3151"/>
      <c r="F25" s="3152"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2"/>
      <c r="H25" s="3152"/>
      <c r="I25" s="3152"/>
      <c r="J25" s="3152"/>
      <c r="K25" s="3152"/>
      <c r="L25" s="3152"/>
      <c r="M25" s="3152"/>
      <c r="N25" s="3152"/>
      <c r="O25" s="3152"/>
      <c r="P25" s="3152"/>
      <c r="Q25" s="3152"/>
      <c r="R25" s="3127"/>
      <c r="S25" s="1794"/>
      <c r="T25" s="53"/>
    </row>
    <row r="26" spans="1:24" ht="12" customHeight="1" x14ac:dyDescent="0.2">
      <c r="A26" s="45"/>
      <c r="B26" s="3116"/>
      <c r="C26" s="1728"/>
      <c r="D26" s="56"/>
      <c r="E26" s="56"/>
      <c r="F26" s="3152"/>
      <c r="G26" s="3152"/>
      <c r="H26" s="3152"/>
      <c r="I26" s="3152"/>
      <c r="J26" s="3152"/>
      <c r="K26" s="3152"/>
      <c r="L26" s="3152"/>
      <c r="M26" s="3152"/>
      <c r="N26" s="3152"/>
      <c r="O26" s="3152"/>
      <c r="P26" s="3152"/>
      <c r="Q26" s="3152"/>
      <c r="R26" s="3127"/>
      <c r="S26" s="1794"/>
      <c r="T26" s="47"/>
    </row>
    <row r="27" spans="1:24" ht="11.25" customHeight="1" x14ac:dyDescent="0.2">
      <c r="A27" s="45"/>
      <c r="B27" s="3116"/>
      <c r="C27" s="1728"/>
      <c r="D27" s="56"/>
      <c r="E27" s="56"/>
      <c r="F27" s="3152"/>
      <c r="G27" s="3152"/>
      <c r="H27" s="3152"/>
      <c r="I27" s="3152"/>
      <c r="J27" s="3152"/>
      <c r="K27" s="3152"/>
      <c r="L27" s="3152"/>
      <c r="M27" s="3152"/>
      <c r="N27" s="3152"/>
      <c r="O27" s="3152"/>
      <c r="P27" s="3152"/>
      <c r="Q27" s="3152"/>
      <c r="R27" s="3127"/>
      <c r="S27" s="1794"/>
      <c r="T27" s="47"/>
    </row>
    <row r="28" spans="1:24" ht="12" customHeight="1" x14ac:dyDescent="0.2">
      <c r="A28" s="45"/>
      <c r="B28" s="3116"/>
      <c r="C28" s="3163" t="s">
        <v>2210</v>
      </c>
      <c r="D28" s="3164"/>
      <c r="E28" s="315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2"/>
      <c r="G28" s="3152"/>
      <c r="H28" s="3152"/>
      <c r="I28" s="3152"/>
      <c r="J28" s="3152"/>
      <c r="K28" s="3152"/>
      <c r="L28" s="3152"/>
      <c r="M28" s="3152"/>
      <c r="N28" s="3152"/>
      <c r="O28" s="3152"/>
      <c r="P28" s="3152"/>
      <c r="Q28" s="3152"/>
      <c r="R28" s="3127"/>
      <c r="S28" s="1794"/>
      <c r="T28" s="47"/>
    </row>
    <row r="29" spans="1:24" ht="12" customHeight="1" x14ac:dyDescent="0.2">
      <c r="A29" s="45"/>
      <c r="B29" s="3116"/>
      <c r="C29" s="1731"/>
      <c r="D29" s="217"/>
      <c r="E29" s="3152"/>
      <c r="F29" s="3152"/>
      <c r="G29" s="3152"/>
      <c r="H29" s="3152"/>
      <c r="I29" s="3152"/>
      <c r="J29" s="3152"/>
      <c r="K29" s="3152"/>
      <c r="L29" s="3152"/>
      <c r="M29" s="3152"/>
      <c r="N29" s="3152"/>
      <c r="O29" s="3152"/>
      <c r="P29" s="3152"/>
      <c r="Q29" s="3152"/>
      <c r="R29" s="3127"/>
      <c r="S29" s="1794"/>
      <c r="T29" s="47"/>
    </row>
    <row r="30" spans="1:24" ht="12" customHeight="1" x14ac:dyDescent="0.2">
      <c r="A30" s="45"/>
      <c r="B30" s="3116"/>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16"/>
      <c r="C31" s="2151" t="s">
        <v>2211</v>
      </c>
      <c r="D31" s="3160">
        <f>Místicos!L13</f>
        <v>0</v>
      </c>
      <c r="E31" s="3160"/>
      <c r="F31" s="2152"/>
      <c r="G31" s="2152"/>
      <c r="H31" s="2152"/>
      <c r="I31" s="2152"/>
      <c r="J31" s="2152"/>
      <c r="K31" s="2152"/>
      <c r="L31" s="3161" t="s">
        <v>2212</v>
      </c>
      <c r="M31" s="3161"/>
      <c r="N31" s="2149">
        <f>Místicos!M25</f>
        <v>0</v>
      </c>
      <c r="O31" s="3161" t="s">
        <v>2213</v>
      </c>
      <c r="P31" s="3161"/>
      <c r="Q31" s="2149">
        <f>Místicos!M27</f>
        <v>0</v>
      </c>
      <c r="R31" s="2153"/>
      <c r="S31" s="1794"/>
      <c r="T31" s="47"/>
    </row>
    <row r="32" spans="1:24" ht="12" customHeight="1" x14ac:dyDescent="0.2">
      <c r="A32" s="45"/>
      <c r="B32" s="2145"/>
      <c r="C32" s="1727" t="s">
        <v>2214</v>
      </c>
      <c r="D32" s="3149">
        <f>Místicos!K18</f>
        <v>0</v>
      </c>
      <c r="E32" s="3149"/>
      <c r="F32" s="56"/>
      <c r="G32" s="56"/>
      <c r="H32" s="56"/>
      <c r="I32" s="56"/>
      <c r="J32" s="56"/>
      <c r="K32" s="56"/>
      <c r="L32" s="3146" t="s">
        <v>2215</v>
      </c>
      <c r="M32" s="3146"/>
      <c r="N32" s="2135">
        <f>Místicos!M26</f>
        <v>0</v>
      </c>
      <c r="O32" s="3162" t="s">
        <v>2216</v>
      </c>
      <c r="P32" s="3162"/>
      <c r="Q32" s="2135">
        <f>Místicos!M28</f>
        <v>0</v>
      </c>
      <c r="R32" s="1590"/>
      <c r="S32" s="1794"/>
      <c r="T32" s="47"/>
    </row>
    <row r="33" spans="1:22" ht="12" customHeight="1" x14ac:dyDescent="0.2">
      <c r="A33" s="45"/>
      <c r="B33" s="2145"/>
      <c r="C33" s="3150" t="s">
        <v>2217</v>
      </c>
      <c r="D33" s="3151"/>
      <c r="E33" s="3151"/>
      <c r="F33" s="3151"/>
      <c r="G33" s="3158">
        <f>IF(Místicos!P13=Místicos!Q13,Místicos!P13,Místicos!P13&amp;" Ofensiva"&amp;", "&amp;Místicos!Q13&amp;" Defensiva")</f>
        <v>0</v>
      </c>
      <c r="H33" s="3158"/>
      <c r="I33" s="3158"/>
      <c r="J33" s="3158"/>
      <c r="K33" s="3158"/>
      <c r="L33" s="3158"/>
      <c r="M33" s="3158"/>
      <c r="N33" s="3158"/>
      <c r="O33" s="3158"/>
      <c r="P33" s="3158"/>
      <c r="Q33" s="3158"/>
      <c r="R33" s="3159"/>
      <c r="S33" s="1794"/>
      <c r="T33" s="47"/>
    </row>
    <row r="34" spans="1:22" ht="12" customHeight="1" x14ac:dyDescent="0.2">
      <c r="A34" s="45"/>
      <c r="B34" s="2145"/>
      <c r="C34" s="3150" t="s">
        <v>2218</v>
      </c>
      <c r="D34" s="3151"/>
      <c r="E34" s="3151"/>
      <c r="F34" s="3126"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6"/>
      <c r="H34" s="3126"/>
      <c r="I34" s="3126"/>
      <c r="J34" s="3126"/>
      <c r="K34" s="3126"/>
      <c r="L34" s="3126"/>
      <c r="M34" s="3126"/>
      <c r="N34" s="3126"/>
      <c r="O34" s="3126"/>
      <c r="P34" s="3126"/>
      <c r="Q34" s="3126"/>
      <c r="R34" s="3127"/>
      <c r="S34" s="1794"/>
      <c r="T34" s="47"/>
    </row>
    <row r="35" spans="1:22" ht="12" customHeight="1" x14ac:dyDescent="0.2">
      <c r="A35" s="45"/>
      <c r="B35" s="2145"/>
      <c r="C35" s="1728"/>
      <c r="D35" s="56"/>
      <c r="E35" s="56"/>
      <c r="F35" s="3126"/>
      <c r="G35" s="3126"/>
      <c r="H35" s="3126"/>
      <c r="I35" s="3126"/>
      <c r="J35" s="3126"/>
      <c r="K35" s="3126"/>
      <c r="L35" s="3126"/>
      <c r="M35" s="3126"/>
      <c r="N35" s="3126"/>
      <c r="O35" s="3126"/>
      <c r="P35" s="3126"/>
      <c r="Q35" s="3126"/>
      <c r="R35" s="3127"/>
      <c r="S35" s="1794"/>
      <c r="T35" s="47"/>
    </row>
    <row r="36" spans="1:22" ht="12" customHeight="1" x14ac:dyDescent="0.2">
      <c r="A36" s="45"/>
      <c r="B36" s="1703"/>
      <c r="C36" s="1728"/>
      <c r="D36" s="56"/>
      <c r="E36" s="56"/>
      <c r="F36" s="3126"/>
      <c r="G36" s="3126"/>
      <c r="H36" s="3126"/>
      <c r="I36" s="3126"/>
      <c r="J36" s="3126"/>
      <c r="K36" s="3126"/>
      <c r="L36" s="3126"/>
      <c r="M36" s="3126"/>
      <c r="N36" s="3126"/>
      <c r="O36" s="3126"/>
      <c r="P36" s="3126"/>
      <c r="Q36" s="3126"/>
      <c r="R36" s="3127"/>
      <c r="S36" s="1794"/>
      <c r="T36" s="47"/>
    </row>
    <row r="37" spans="1:22" ht="12" customHeight="1" x14ac:dyDescent="0.2">
      <c r="A37" s="45"/>
      <c r="B37" s="1703"/>
      <c r="C37" s="1728"/>
      <c r="D37" s="56"/>
      <c r="E37" s="56"/>
      <c r="F37" s="3128"/>
      <c r="G37" s="3128"/>
      <c r="H37" s="3128"/>
      <c r="I37" s="3128"/>
      <c r="J37" s="3128"/>
      <c r="K37" s="3128"/>
      <c r="L37" s="3128"/>
      <c r="M37" s="3128"/>
      <c r="N37" s="3128"/>
      <c r="O37" s="3128"/>
      <c r="P37" s="3128"/>
      <c r="Q37" s="3128"/>
      <c r="R37" s="3129"/>
      <c r="S37" s="1794"/>
      <c r="T37" s="47"/>
    </row>
    <row r="38" spans="1:22" ht="12" customHeight="1" x14ac:dyDescent="0.2">
      <c r="A38" s="45"/>
      <c r="B38" s="2145"/>
      <c r="C38" s="3141" t="s">
        <v>2219</v>
      </c>
      <c r="D38" s="3142"/>
      <c r="E38" s="2149">
        <f>Psíquicos!I16</f>
        <v>0</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150" t="s">
        <v>2220</v>
      </c>
      <c r="D39" s="3151"/>
      <c r="E39" s="2135">
        <f>Psíquicos!M13</f>
        <v>0</v>
      </c>
      <c r="F39" s="56"/>
      <c r="G39" s="56"/>
      <c r="H39" s="56"/>
      <c r="I39" s="56"/>
      <c r="J39" s="56"/>
      <c r="K39" s="56"/>
      <c r="L39" s="3146" t="s">
        <v>2221</v>
      </c>
      <c r="M39" s="3146"/>
      <c r="N39" s="3146"/>
      <c r="O39" s="3146"/>
      <c r="P39" s="56"/>
      <c r="Q39" s="56"/>
      <c r="R39" s="1590"/>
      <c r="S39" s="1794"/>
      <c r="T39" s="47"/>
    </row>
    <row r="40" spans="1:22" ht="12" customHeight="1" x14ac:dyDescent="0.2">
      <c r="A40" s="45"/>
      <c r="B40" s="2145"/>
      <c r="C40" s="3150" t="s">
        <v>2222</v>
      </c>
      <c r="D40" s="3151"/>
      <c r="E40" s="3151"/>
      <c r="F40" s="3151"/>
      <c r="G40" s="2135">
        <f>Psíquicos!H11</f>
        <v>0</v>
      </c>
      <c r="H40" s="3157"/>
      <c r="I40" s="3157"/>
      <c r="J40" s="3157"/>
      <c r="K40" s="3157"/>
      <c r="L40" s="3152" t="str">
        <f>IF(Psíquicos!C39="","",Psíquicos!C39)&amp;IF(Psíquicos!C41="","",", "&amp;Psíquicos!C41)&amp;IF(Psíquicos!C43="","",", "&amp;Psíquicos!C43)&amp;IF(Psíquicos!C45="","",", "&amp;Psíquicos!C45)&amp;IF(Psíquicos!C47="","",", "&amp;Psíquicos!C47)&amp;IF(Psíquicos!C49="","",", "&amp;Psíquicos!C49)</f>
        <v/>
      </c>
      <c r="M40" s="3152"/>
      <c r="N40" s="3152"/>
      <c r="O40" s="3152"/>
      <c r="P40" s="3152"/>
      <c r="Q40" s="3152"/>
      <c r="R40" s="3127"/>
      <c r="S40" s="1794"/>
      <c r="T40" s="47"/>
    </row>
    <row r="41" spans="1:22" ht="12" customHeight="1" x14ac:dyDescent="0.2">
      <c r="A41" s="45"/>
      <c r="B41" s="2145"/>
      <c r="C41" s="3150" t="s">
        <v>2223</v>
      </c>
      <c r="D41" s="3151"/>
      <c r="E41" s="3151"/>
      <c r="F41" s="3151"/>
      <c r="G41" s="3149">
        <f>IF(Psíquicos!P12=Psíquicos!Q12,Psíquicos!P12,Psíquicos!P12&amp;" Ofensiva"&amp;", "&amp;Psíquicos!Q12&amp;" Defensiva")</f>
        <v>0</v>
      </c>
      <c r="H41" s="3149"/>
      <c r="I41" s="3149"/>
      <c r="J41" s="3149"/>
      <c r="K41" s="3149"/>
      <c r="L41" s="3152"/>
      <c r="M41" s="3152"/>
      <c r="N41" s="3152"/>
      <c r="O41" s="3152"/>
      <c r="P41" s="3152"/>
      <c r="Q41" s="3152"/>
      <c r="R41" s="3127"/>
      <c r="S41" s="1794"/>
      <c r="T41" s="47"/>
    </row>
    <row r="42" spans="1:22" ht="12" customHeight="1" x14ac:dyDescent="0.2">
      <c r="A42" s="45"/>
      <c r="B42" s="2143"/>
      <c r="C42" s="3150" t="s">
        <v>2224</v>
      </c>
      <c r="D42" s="3151"/>
      <c r="E42" s="3151"/>
      <c r="F42" s="3151"/>
      <c r="G42" s="3155" t="str">
        <f>IF(Psíquicos!C25=0,"",Psíquicos!C25)&amp;IF(Psíquicos!C27=0,"",", "&amp;Psíquicos!C27)&amp;IF(Psíquicos!C29=0,"",", "&amp;Psíquicos!C29)&amp;IF(Psíquicos!C31=0,"",", "&amp;Psíquicos!C31)&amp;IF(Psíquicos!C33=0,"",", "&amp;Psíquicos!C33)&amp;IF(Psíquicos!C35=0,"",", "&amp;Psíquicos!C35)</f>
        <v/>
      </c>
      <c r="H42" s="3155"/>
      <c r="I42" s="3155"/>
      <c r="J42" s="3155"/>
      <c r="K42" s="3155"/>
      <c r="L42" s="3155"/>
      <c r="M42" s="3155"/>
      <c r="N42" s="3155"/>
      <c r="O42" s="3155"/>
      <c r="P42" s="3155"/>
      <c r="Q42" s="3155"/>
      <c r="R42" s="3156"/>
      <c r="S42" s="1794"/>
      <c r="T42" s="47"/>
    </row>
    <row r="43" spans="1:22" ht="12" customHeight="1" x14ac:dyDescent="0.2">
      <c r="A43" s="45"/>
      <c r="B43" s="2143"/>
      <c r="C43" s="3150" t="s">
        <v>2225</v>
      </c>
      <c r="D43" s="3151"/>
      <c r="E43" s="3151"/>
      <c r="F43" s="3151"/>
      <c r="G43" s="315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2"/>
      <c r="I43" s="3152"/>
      <c r="J43" s="3152"/>
      <c r="K43" s="3152"/>
      <c r="L43" s="3152"/>
      <c r="M43" s="3152"/>
      <c r="N43" s="3152"/>
      <c r="O43" s="3152"/>
      <c r="P43" s="3152"/>
      <c r="Q43" s="3152"/>
      <c r="R43" s="3127"/>
      <c r="S43" s="1794"/>
      <c r="T43" s="47"/>
    </row>
    <row r="44" spans="1:22" ht="12" customHeight="1" x14ac:dyDescent="0.2">
      <c r="A44" s="45"/>
      <c r="B44" s="2143"/>
      <c r="C44" s="1728"/>
      <c r="D44" s="56"/>
      <c r="E44" s="56"/>
      <c r="F44" s="56"/>
      <c r="G44" s="3152"/>
      <c r="H44" s="3152"/>
      <c r="I44" s="3152"/>
      <c r="J44" s="3152"/>
      <c r="K44" s="3152"/>
      <c r="L44" s="3152"/>
      <c r="M44" s="3152"/>
      <c r="N44" s="3152"/>
      <c r="O44" s="3152"/>
      <c r="P44" s="3152"/>
      <c r="Q44" s="3152"/>
      <c r="R44" s="3127"/>
      <c r="S44" s="1794"/>
      <c r="T44" s="47"/>
    </row>
    <row r="45" spans="1:22" ht="12" customHeight="1" x14ac:dyDescent="0.2">
      <c r="A45" s="45"/>
      <c r="B45" s="2143"/>
      <c r="C45" s="1728"/>
      <c r="D45" s="56"/>
      <c r="E45" s="56"/>
      <c r="F45" s="56"/>
      <c r="G45" s="3152"/>
      <c r="H45" s="3152"/>
      <c r="I45" s="3152"/>
      <c r="J45" s="3152"/>
      <c r="K45" s="3152"/>
      <c r="L45" s="3152"/>
      <c r="M45" s="3152"/>
      <c r="N45" s="3152"/>
      <c r="O45" s="3152"/>
      <c r="P45" s="3152"/>
      <c r="Q45" s="3152"/>
      <c r="R45" s="3127"/>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41" t="s">
        <v>2226</v>
      </c>
      <c r="D47" s="3142"/>
      <c r="E47" s="3142"/>
      <c r="F47" s="3142"/>
      <c r="G47" s="3153" t="str">
        <f>IF(V45="","",LEFT(V45,LEN(V45)-2))</f>
        <v/>
      </c>
      <c r="H47" s="3153"/>
      <c r="I47" s="3153"/>
      <c r="J47" s="3153"/>
      <c r="K47" s="3153"/>
      <c r="L47" s="3153"/>
      <c r="M47" s="3153"/>
      <c r="N47" s="3153"/>
      <c r="O47" s="3153"/>
      <c r="P47" s="3153"/>
      <c r="Q47" s="3153"/>
      <c r="R47" s="3154"/>
      <c r="S47" s="1794"/>
      <c r="T47" s="47"/>
    </row>
    <row r="48" spans="1:22" ht="23.85" customHeight="1" x14ac:dyDescent="0.2">
      <c r="A48" s="45"/>
      <c r="B48" s="2143"/>
      <c r="C48" s="1728"/>
      <c r="D48" s="56"/>
      <c r="E48" s="56"/>
      <c r="F48" s="56"/>
      <c r="G48" s="3152"/>
      <c r="H48" s="3152"/>
      <c r="I48" s="3152"/>
      <c r="J48" s="3152"/>
      <c r="K48" s="3152"/>
      <c r="L48" s="3152"/>
      <c r="M48" s="3152"/>
      <c r="N48" s="3152"/>
      <c r="O48" s="3152"/>
      <c r="P48" s="3152"/>
      <c r="Q48" s="3152"/>
      <c r="R48" s="3127"/>
      <c r="S48" s="1794"/>
      <c r="T48" s="47"/>
    </row>
    <row r="49" spans="1:20" ht="12" customHeight="1" x14ac:dyDescent="0.2">
      <c r="A49" s="45"/>
      <c r="B49" s="2143"/>
      <c r="C49" s="3150" t="s">
        <v>2227</v>
      </c>
      <c r="D49" s="3151"/>
      <c r="E49" s="3151"/>
      <c r="F49" s="3151"/>
      <c r="G49" s="3152" t="str">
        <f>Tablas!$F$1983</f>
        <v/>
      </c>
      <c r="H49" s="3152"/>
      <c r="I49" s="3152"/>
      <c r="J49" s="3152"/>
      <c r="K49" s="3152"/>
      <c r="L49" s="3152"/>
      <c r="M49" s="3152"/>
      <c r="N49" s="3152"/>
      <c r="O49" s="3152"/>
      <c r="P49" s="3152"/>
      <c r="Q49" s="3152"/>
      <c r="R49" s="3127"/>
      <c r="S49" s="1794"/>
      <c r="T49" s="47"/>
    </row>
    <row r="50" spans="1:20" ht="12" customHeight="1" x14ac:dyDescent="0.2">
      <c r="A50" s="45"/>
      <c r="B50" s="2143"/>
      <c r="C50" s="1728"/>
      <c r="D50" s="56"/>
      <c r="E50" s="56"/>
      <c r="F50" s="56"/>
      <c r="G50" s="3152"/>
      <c r="H50" s="3152"/>
      <c r="I50" s="3152"/>
      <c r="J50" s="3152"/>
      <c r="K50" s="3152"/>
      <c r="L50" s="3152"/>
      <c r="M50" s="3152"/>
      <c r="N50" s="3152"/>
      <c r="O50" s="3152"/>
      <c r="P50" s="3152"/>
      <c r="Q50" s="3152"/>
      <c r="R50" s="3127"/>
      <c r="S50" s="1794"/>
      <c r="T50" s="47"/>
    </row>
    <row r="51" spans="1:20" ht="12" customHeight="1" x14ac:dyDescent="0.2">
      <c r="A51" s="45"/>
      <c r="B51" s="2143"/>
      <c r="C51" s="3150" t="s">
        <v>2228</v>
      </c>
      <c r="D51" s="3151"/>
      <c r="E51" s="3151"/>
      <c r="F51" s="3151"/>
      <c r="G51" s="315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2"/>
      <c r="I51" s="3152"/>
      <c r="J51" s="3152"/>
      <c r="K51" s="3152"/>
      <c r="L51" s="3152"/>
      <c r="M51" s="3152"/>
      <c r="N51" s="3152"/>
      <c r="O51" s="3152"/>
      <c r="P51" s="3152"/>
      <c r="Q51" s="3152"/>
      <c r="R51" s="3127"/>
      <c r="S51" s="1794"/>
      <c r="T51" s="47"/>
    </row>
    <row r="52" spans="1:20" ht="12" customHeight="1" x14ac:dyDescent="0.2">
      <c r="A52" s="45"/>
      <c r="B52" s="2143"/>
      <c r="C52" s="1728"/>
      <c r="D52" s="56"/>
      <c r="E52" s="56"/>
      <c r="F52" s="56"/>
      <c r="G52" s="3152"/>
      <c r="H52" s="3152"/>
      <c r="I52" s="3152"/>
      <c r="J52" s="3152"/>
      <c r="K52" s="3152"/>
      <c r="L52" s="3152"/>
      <c r="M52" s="3152"/>
      <c r="N52" s="3152"/>
      <c r="O52" s="3152"/>
      <c r="P52" s="3152"/>
      <c r="Q52" s="3152"/>
      <c r="R52" s="3127"/>
      <c r="S52" s="1794"/>
      <c r="T52" s="47"/>
    </row>
    <row r="53" spans="1:20" ht="12" customHeight="1" x14ac:dyDescent="0.2">
      <c r="A53" s="45"/>
      <c r="B53" s="2143"/>
      <c r="C53" s="3150" t="s">
        <v>2229</v>
      </c>
      <c r="D53" s="3151"/>
      <c r="E53" s="3126" t="str">
        <f>Tablas!H2020</f>
        <v/>
      </c>
      <c r="F53" s="3126"/>
      <c r="G53" s="3126"/>
      <c r="H53" s="3126"/>
      <c r="I53" s="3126"/>
      <c r="J53" s="3126"/>
      <c r="K53" s="3126"/>
      <c r="L53" s="3126"/>
      <c r="M53" s="3126"/>
      <c r="N53" s="3126"/>
      <c r="O53" s="3126"/>
      <c r="P53" s="3126"/>
      <c r="Q53" s="3126"/>
      <c r="R53" s="3127"/>
      <c r="S53" s="1794"/>
      <c r="T53" s="47"/>
    </row>
    <row r="54" spans="1:20" ht="12" customHeight="1" x14ac:dyDescent="0.2">
      <c r="A54" s="45"/>
      <c r="B54" s="2143"/>
      <c r="C54" s="1728"/>
      <c r="D54" s="56"/>
      <c r="E54" s="3126"/>
      <c r="F54" s="3126"/>
      <c r="G54" s="3126"/>
      <c r="H54" s="3126"/>
      <c r="I54" s="3126"/>
      <c r="J54" s="3126"/>
      <c r="K54" s="3126"/>
      <c r="L54" s="3126"/>
      <c r="M54" s="3126"/>
      <c r="N54" s="3126"/>
      <c r="O54" s="3126"/>
      <c r="P54" s="3126"/>
      <c r="Q54" s="3126"/>
      <c r="R54" s="3127"/>
      <c r="S54" s="1794"/>
      <c r="T54" s="47"/>
    </row>
    <row r="55" spans="1:20" ht="12" customHeight="1" x14ac:dyDescent="0.2">
      <c r="A55" s="45"/>
      <c r="B55" s="2143"/>
      <c r="C55" s="1728"/>
      <c r="D55" s="56"/>
      <c r="E55" s="3126"/>
      <c r="F55" s="3126"/>
      <c r="G55" s="3126"/>
      <c r="H55" s="3126"/>
      <c r="I55" s="3126"/>
      <c r="J55" s="3126"/>
      <c r="K55" s="3126"/>
      <c r="L55" s="3126"/>
      <c r="M55" s="3126"/>
      <c r="N55" s="3126"/>
      <c r="O55" s="3126"/>
      <c r="P55" s="3126"/>
      <c r="Q55" s="3126"/>
      <c r="R55" s="3127"/>
      <c r="S55" s="1794"/>
      <c r="T55" s="47"/>
    </row>
    <row r="56" spans="1:20" ht="12" customHeight="1" x14ac:dyDescent="0.2">
      <c r="A56" s="45"/>
      <c r="B56" s="2143"/>
      <c r="C56" s="1728"/>
      <c r="D56" s="56"/>
      <c r="E56" s="3126"/>
      <c r="F56" s="3126"/>
      <c r="G56" s="3126"/>
      <c r="H56" s="3126"/>
      <c r="I56" s="3126"/>
      <c r="J56" s="3126"/>
      <c r="K56" s="3126"/>
      <c r="L56" s="3126"/>
      <c r="M56" s="3126"/>
      <c r="N56" s="3126"/>
      <c r="O56" s="3126"/>
      <c r="P56" s="3126"/>
      <c r="Q56" s="3126"/>
      <c r="R56" s="3127"/>
      <c r="S56" s="1794"/>
      <c r="T56" s="47"/>
    </row>
    <row r="57" spans="1:20" ht="12" customHeight="1" x14ac:dyDescent="0.2">
      <c r="A57" s="45"/>
      <c r="B57" s="2143"/>
      <c r="C57" s="3143" t="s">
        <v>1670</v>
      </c>
      <c r="D57" s="3144"/>
      <c r="E57" s="3145" t="str">
        <f>Tamaño&amp;", "&amp;Principal!M6</f>
        <v>1, Medio</v>
      </c>
      <c r="F57" s="3145"/>
      <c r="G57" s="3145"/>
      <c r="H57" s="3145"/>
      <c r="I57" s="3145"/>
      <c r="J57" s="56"/>
      <c r="K57" s="3146" t="s">
        <v>2230</v>
      </c>
      <c r="L57" s="3146"/>
      <c r="M57" s="3146"/>
      <c r="N57" s="2135">
        <f>Regeneración</f>
        <v>0</v>
      </c>
      <c r="O57" s="56"/>
      <c r="P57" s="56"/>
      <c r="Q57" s="56"/>
      <c r="R57" s="1590"/>
      <c r="S57" s="1794"/>
      <c r="T57" s="47"/>
    </row>
    <row r="58" spans="1:20" ht="12" customHeight="1" x14ac:dyDescent="0.2">
      <c r="A58" s="45"/>
      <c r="B58" s="2143"/>
      <c r="C58" s="3147" t="s">
        <v>2231</v>
      </c>
      <c r="D58" s="3148"/>
      <c r="E58" s="3148"/>
      <c r="F58" s="362">
        <f>TipodeMovimiento</f>
        <v>1</v>
      </c>
      <c r="G58" s="56"/>
      <c r="H58" s="56"/>
      <c r="I58" s="56"/>
      <c r="J58" s="56"/>
      <c r="K58" s="3146" t="s">
        <v>2232</v>
      </c>
      <c r="L58" s="3146"/>
      <c r="M58" s="3149" t="str">
        <f>IF(Cansancio=0,"Incansable",Cansancio)</f>
        <v>Incansable</v>
      </c>
      <c r="N58" s="3149"/>
      <c r="O58" s="56"/>
      <c r="P58" s="56"/>
      <c r="Q58" s="56"/>
      <c r="R58" s="1590"/>
      <c r="S58" s="1794"/>
      <c r="T58" s="47"/>
    </row>
    <row r="59" spans="1:20" ht="12" customHeight="1" x14ac:dyDescent="0.2">
      <c r="A59" s="45"/>
      <c r="B59" s="2143"/>
      <c r="C59" s="1728"/>
      <c r="D59" s="56"/>
      <c r="E59" s="56"/>
      <c r="F59" s="56"/>
      <c r="G59" s="56"/>
      <c r="H59" s="56"/>
      <c r="I59" s="56"/>
      <c r="J59" s="56"/>
      <c r="K59" s="3140" t="s">
        <v>1734</v>
      </c>
      <c r="L59" s="3140"/>
      <c r="M59" s="3140"/>
      <c r="N59" s="359">
        <f>Principal!J29</f>
        <v>1</v>
      </c>
      <c r="O59" s="2135"/>
      <c r="P59" s="56"/>
      <c r="Q59" s="56"/>
      <c r="R59" s="1590"/>
      <c r="S59" s="1794"/>
      <c r="T59" s="47"/>
    </row>
    <row r="60" spans="1:20" ht="12" customHeight="1" x14ac:dyDescent="0.2">
      <c r="A60" s="45"/>
      <c r="B60" s="2143"/>
      <c r="C60" s="3141" t="s">
        <v>2233</v>
      </c>
      <c r="D60" s="3142"/>
      <c r="E60" s="3142"/>
      <c r="F60" s="3142"/>
      <c r="G60" s="3142"/>
      <c r="H60" s="2152"/>
      <c r="I60" s="2152"/>
      <c r="J60" s="2152"/>
      <c r="K60" s="2152"/>
      <c r="L60" s="2152"/>
      <c r="M60" s="2152"/>
      <c r="N60" s="2152"/>
      <c r="O60" s="2152"/>
      <c r="P60" s="2152"/>
      <c r="Q60" s="2152"/>
      <c r="R60" s="2153"/>
      <c r="S60" s="1794"/>
      <c r="T60" s="47"/>
    </row>
    <row r="61" spans="1:20" ht="12" customHeight="1" x14ac:dyDescent="0.2">
      <c r="A61" s="45"/>
      <c r="B61" s="2143"/>
      <c r="C61" s="3136"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6"/>
      <c r="E61" s="3126"/>
      <c r="F61" s="3126"/>
      <c r="G61" s="3126"/>
      <c r="H61" s="3126"/>
      <c r="I61" s="3126"/>
      <c r="J61" s="3126"/>
      <c r="K61" s="3126"/>
      <c r="L61" s="3126"/>
      <c r="M61" s="3126"/>
      <c r="N61" s="3126"/>
      <c r="O61" s="3126"/>
      <c r="P61" s="3126"/>
      <c r="Q61" s="3126"/>
      <c r="R61" s="3127"/>
      <c r="S61" s="1794"/>
      <c r="T61" s="47"/>
    </row>
    <row r="62" spans="1:20" ht="12" customHeight="1" x14ac:dyDescent="0.2">
      <c r="A62" s="45"/>
      <c r="B62" s="2143"/>
      <c r="C62" s="3136"/>
      <c r="D62" s="3126"/>
      <c r="E62" s="3126"/>
      <c r="F62" s="3126"/>
      <c r="G62" s="3126"/>
      <c r="H62" s="3126"/>
      <c r="I62" s="3126"/>
      <c r="J62" s="3126"/>
      <c r="K62" s="3126"/>
      <c r="L62" s="3126"/>
      <c r="M62" s="3126"/>
      <c r="N62" s="3126"/>
      <c r="O62" s="3126"/>
      <c r="P62" s="3126"/>
      <c r="Q62" s="3126"/>
      <c r="R62" s="3127"/>
      <c r="S62" s="1794"/>
      <c r="T62" s="47"/>
    </row>
    <row r="63" spans="1:20" ht="12" customHeight="1" x14ac:dyDescent="0.2">
      <c r="A63" s="45"/>
      <c r="B63" s="2143"/>
      <c r="C63" s="3136"/>
      <c r="D63" s="3126"/>
      <c r="E63" s="3126"/>
      <c r="F63" s="3126"/>
      <c r="G63" s="3126"/>
      <c r="H63" s="3126"/>
      <c r="I63" s="3126"/>
      <c r="J63" s="3126"/>
      <c r="K63" s="3126"/>
      <c r="L63" s="3126"/>
      <c r="M63" s="3126"/>
      <c r="N63" s="3126"/>
      <c r="O63" s="3126"/>
      <c r="P63" s="3126"/>
      <c r="Q63" s="3126"/>
      <c r="R63" s="3127"/>
      <c r="S63" s="1794"/>
      <c r="T63" s="47"/>
    </row>
    <row r="64" spans="1:20" ht="12" customHeight="1" x14ac:dyDescent="0.2">
      <c r="A64" s="45"/>
      <c r="B64" s="2143"/>
      <c r="C64" s="3136"/>
      <c r="D64" s="3126"/>
      <c r="E64" s="3126"/>
      <c r="F64" s="3126"/>
      <c r="G64" s="3126"/>
      <c r="H64" s="3126"/>
      <c r="I64" s="3126"/>
      <c r="J64" s="3126"/>
      <c r="K64" s="3126"/>
      <c r="L64" s="3126"/>
      <c r="M64" s="3126"/>
      <c r="N64" s="3126"/>
      <c r="O64" s="3126"/>
      <c r="P64" s="3126"/>
      <c r="Q64" s="3126"/>
      <c r="R64" s="3127"/>
      <c r="S64" s="1794"/>
      <c r="T64" s="47"/>
    </row>
    <row r="65" spans="1:20" ht="12" customHeight="1" x14ac:dyDescent="0.2">
      <c r="A65" s="45"/>
      <c r="B65" s="2143"/>
      <c r="C65" s="3136"/>
      <c r="D65" s="3126"/>
      <c r="E65" s="3126"/>
      <c r="F65" s="3126"/>
      <c r="G65" s="3126"/>
      <c r="H65" s="3126"/>
      <c r="I65" s="3126"/>
      <c r="J65" s="3126"/>
      <c r="K65" s="3126"/>
      <c r="L65" s="3126"/>
      <c r="M65" s="3126"/>
      <c r="N65" s="3126"/>
      <c r="O65" s="3126"/>
      <c r="P65" s="3126"/>
      <c r="Q65" s="3126"/>
      <c r="R65" s="3127"/>
      <c r="S65" s="1794"/>
      <c r="T65" s="47"/>
    </row>
    <row r="66" spans="1:20" ht="12.75" customHeight="1" x14ac:dyDescent="0.2">
      <c r="A66" s="45"/>
      <c r="B66" s="2143"/>
      <c r="C66" s="3136"/>
      <c r="D66" s="3126"/>
      <c r="E66" s="3126"/>
      <c r="F66" s="3126"/>
      <c r="G66" s="3126"/>
      <c r="H66" s="3126"/>
      <c r="I66" s="3126"/>
      <c r="J66" s="3126"/>
      <c r="K66" s="3126"/>
      <c r="L66" s="3126"/>
      <c r="M66" s="3126"/>
      <c r="N66" s="3126"/>
      <c r="O66" s="3126"/>
      <c r="P66" s="3126"/>
      <c r="Q66" s="3126"/>
      <c r="R66" s="3127"/>
      <c r="S66" s="1794"/>
      <c r="T66" s="47"/>
    </row>
    <row r="67" spans="1:20" ht="12.75" customHeight="1" x14ac:dyDescent="0.2">
      <c r="A67" s="45"/>
      <c r="B67" s="2143"/>
      <c r="C67" s="3136"/>
      <c r="D67" s="3126"/>
      <c r="E67" s="3126"/>
      <c r="F67" s="3126"/>
      <c r="G67" s="3126"/>
      <c r="H67" s="3126"/>
      <c r="I67" s="3126"/>
      <c r="J67" s="3126"/>
      <c r="K67" s="3126"/>
      <c r="L67" s="3126"/>
      <c r="M67" s="3126"/>
      <c r="N67" s="3126"/>
      <c r="O67" s="3126"/>
      <c r="P67" s="3126"/>
      <c r="Q67" s="3126"/>
      <c r="R67" s="3127"/>
      <c r="S67" s="1794"/>
      <c r="T67" s="47"/>
    </row>
    <row r="68" spans="1:20" ht="12.75" customHeight="1" thickBot="1" x14ac:dyDescent="0.25">
      <c r="A68" s="45"/>
      <c r="B68" s="2143"/>
      <c r="C68" s="3137"/>
      <c r="D68" s="3138"/>
      <c r="E68" s="3138"/>
      <c r="F68" s="3138"/>
      <c r="G68" s="3138"/>
      <c r="H68" s="3138"/>
      <c r="I68" s="3138"/>
      <c r="J68" s="3138"/>
      <c r="K68" s="3138"/>
      <c r="L68" s="3138"/>
      <c r="M68" s="3138"/>
      <c r="N68" s="3138"/>
      <c r="O68" s="3138"/>
      <c r="P68" s="3138"/>
      <c r="Q68" s="3138"/>
      <c r="R68" s="3139"/>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23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232"/>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232"/>
      <c r="B3" s="1805"/>
      <c r="C3" s="7"/>
      <c r="D3" s="7"/>
      <c r="E3" s="7"/>
      <c r="F3" s="7"/>
      <c r="G3" s="7"/>
      <c r="H3" s="7"/>
      <c r="I3" s="7"/>
      <c r="J3" s="7"/>
      <c r="K3" s="7"/>
      <c r="L3" s="7"/>
      <c r="M3" s="7"/>
      <c r="N3" s="7"/>
      <c r="O3" s="7"/>
      <c r="P3" s="7"/>
      <c r="Q3" s="7"/>
      <c r="R3" s="1806"/>
      <c r="S3" s="4"/>
      <c r="T3" s="5"/>
      <c r="U3" s="8"/>
      <c r="V3" s="3213"/>
      <c r="W3" s="3213"/>
      <c r="X3" s="3213"/>
      <c r="Y3" s="3213"/>
      <c r="Z3" s="3213"/>
      <c r="AA3" s="3213"/>
      <c r="AB3" s="9"/>
      <c r="AC3" s="9"/>
      <c r="AD3" s="9"/>
      <c r="AE3" s="9"/>
      <c r="AF3" s="9"/>
      <c r="AG3" s="9"/>
      <c r="AH3" s="9"/>
      <c r="AI3" s="9"/>
      <c r="AJ3" s="10"/>
      <c r="AK3" s="11"/>
      <c r="AL3" s="5"/>
      <c r="AM3" s="2339"/>
      <c r="AN3" s="2339"/>
      <c r="AO3" s="2339"/>
      <c r="AP3" s="2339"/>
      <c r="AQ3" s="2339"/>
      <c r="AR3" s="2339"/>
    </row>
    <row r="4" spans="1:51" ht="12" customHeight="1" thickBot="1" x14ac:dyDescent="0.25">
      <c r="A4" s="3232"/>
      <c r="B4" s="1805"/>
      <c r="C4" s="7"/>
      <c r="D4" s="7"/>
      <c r="E4" s="7"/>
      <c r="F4" s="7"/>
      <c r="G4" s="7"/>
      <c r="H4" s="7"/>
      <c r="I4" s="7"/>
      <c r="J4" s="7"/>
      <c r="K4" s="7"/>
      <c r="L4" s="7"/>
      <c r="M4" s="7"/>
      <c r="N4" s="7"/>
      <c r="O4" s="7"/>
      <c r="P4" s="7"/>
      <c r="Q4" s="7"/>
      <c r="R4" s="1806"/>
      <c r="S4" s="4"/>
      <c r="T4" s="5"/>
      <c r="U4" s="8"/>
      <c r="V4" s="3213"/>
      <c r="W4" s="3213"/>
      <c r="X4" s="3213"/>
      <c r="Y4" s="3213"/>
      <c r="Z4" s="3213"/>
      <c r="AA4" s="3213"/>
      <c r="AB4" s="12"/>
      <c r="AC4" s="3167" t="s">
        <v>1625</v>
      </c>
      <c r="AD4" s="3167"/>
      <c r="AE4" s="3168" t="str">
        <f>IF(OR(General!$G$22="",General!$G$22=0),"",General!$G$22)</f>
        <v/>
      </c>
      <c r="AF4" s="3168"/>
      <c r="AG4" s="3168"/>
      <c r="AH4" s="3168"/>
      <c r="AI4" s="3168"/>
      <c r="AJ4" s="13"/>
      <c r="AK4" s="11"/>
      <c r="AL4" s="5"/>
      <c r="AM4" s="2339"/>
      <c r="AN4" s="2339"/>
      <c r="AO4" s="2339"/>
      <c r="AP4" s="2339"/>
      <c r="AQ4" s="2339"/>
      <c r="AR4" s="2339"/>
    </row>
    <row r="5" spans="1:51" ht="12" customHeight="1" thickBot="1" x14ac:dyDescent="0.25">
      <c r="A5" s="3232"/>
      <c r="B5" s="1805"/>
      <c r="C5" s="7"/>
      <c r="D5" s="7"/>
      <c r="E5" s="7"/>
      <c r="F5" s="1920"/>
      <c r="G5" s="1921"/>
      <c r="H5" s="1921"/>
      <c r="I5" s="1921"/>
      <c r="J5" s="1921"/>
      <c r="K5" s="1921"/>
      <c r="L5" s="1921"/>
      <c r="M5" s="1921"/>
      <c r="N5" s="1922"/>
      <c r="O5" s="7"/>
      <c r="P5" s="7"/>
      <c r="Q5" s="7"/>
      <c r="R5" s="1806"/>
      <c r="S5" s="4"/>
      <c r="T5" s="5"/>
      <c r="U5" s="8"/>
      <c r="V5" s="3213"/>
      <c r="W5" s="3213"/>
      <c r="X5" s="3213"/>
      <c r="Y5" s="3213"/>
      <c r="Z5" s="3213"/>
      <c r="AA5" s="3213"/>
      <c r="AB5" s="12"/>
      <c r="AC5" s="3210" t="s">
        <v>1626</v>
      </c>
      <c r="AD5" s="3210"/>
      <c r="AE5" s="3211" t="str">
        <f>Principal!$L$5</f>
        <v/>
      </c>
      <c r="AF5" s="3211"/>
      <c r="AG5" s="3211"/>
      <c r="AH5" s="14" t="s">
        <v>1627</v>
      </c>
      <c r="AI5" s="15" t="str">
        <f>Principal!$P$5</f>
        <v>0</v>
      </c>
      <c r="AJ5" s="16"/>
      <c r="AK5" s="11"/>
      <c r="AL5" s="5"/>
      <c r="AM5" s="2339"/>
      <c r="AU5" s="2339"/>
      <c r="AV5" s="2339"/>
      <c r="AW5" s="2339"/>
      <c r="AX5" s="413"/>
      <c r="AY5" s="1820"/>
    </row>
    <row r="6" spans="1:51" ht="12" customHeight="1" thickBot="1" x14ac:dyDescent="0.25">
      <c r="A6" s="3232"/>
      <c r="B6" s="1805"/>
      <c r="C6" s="7"/>
      <c r="D6" s="7"/>
      <c r="E6" s="7"/>
      <c r="F6" s="1923"/>
      <c r="G6" s="1919"/>
      <c r="H6" s="1919"/>
      <c r="I6" s="1919"/>
      <c r="J6" s="1919"/>
      <c r="K6" s="1919"/>
      <c r="L6" s="1919"/>
      <c r="M6" s="1919"/>
      <c r="N6" s="1924"/>
      <c r="O6" s="7"/>
      <c r="P6" s="7"/>
      <c r="Q6" s="7"/>
      <c r="R6" s="1806"/>
      <c r="S6" s="4"/>
      <c r="T6" s="5"/>
      <c r="U6" s="8"/>
      <c r="V6" s="3213"/>
      <c r="W6" s="3213"/>
      <c r="X6" s="3213"/>
      <c r="Y6" s="3213"/>
      <c r="Z6" s="3213"/>
      <c r="AA6" s="3213"/>
      <c r="AB6" s="12"/>
      <c r="AC6" s="3212" t="s">
        <v>1628</v>
      </c>
      <c r="AD6" s="3212"/>
      <c r="AE6" s="3212"/>
      <c r="AF6" s="3212"/>
      <c r="AG6" s="3212"/>
      <c r="AH6" s="3212"/>
      <c r="AI6" s="3212"/>
      <c r="AJ6" s="16"/>
      <c r="AK6" s="11"/>
      <c r="AL6" s="5"/>
      <c r="AM6" s="2339"/>
      <c r="AN6" s="2339"/>
      <c r="AO6" s="2339"/>
      <c r="AP6" s="2339"/>
      <c r="AQ6" s="2339"/>
      <c r="AR6" s="2339"/>
      <c r="AS6" s="2339"/>
      <c r="AT6" s="2339"/>
      <c r="AU6" s="2339"/>
      <c r="AV6" s="2339"/>
      <c r="AW6" s="2339"/>
      <c r="AX6" s="413"/>
      <c r="AY6" s="1820"/>
    </row>
    <row r="7" spans="1:51" ht="12" customHeight="1" thickBot="1" x14ac:dyDescent="0.25">
      <c r="A7" s="3232"/>
      <c r="B7" s="1805"/>
      <c r="C7" s="7"/>
      <c r="D7" s="7"/>
      <c r="E7" s="7"/>
      <c r="F7" s="1923"/>
      <c r="G7" s="1919"/>
      <c r="H7" s="1919"/>
      <c r="I7" s="1919"/>
      <c r="J7" s="1919"/>
      <c r="K7" s="1919"/>
      <c r="L7" s="1919"/>
      <c r="M7" s="1919"/>
      <c r="N7" s="1924"/>
      <c r="O7" s="7"/>
      <c r="P7" s="7"/>
      <c r="Q7" s="7"/>
      <c r="R7" s="1806"/>
      <c r="S7" s="4"/>
      <c r="T7" s="5"/>
      <c r="U7" s="8"/>
      <c r="V7" s="3213"/>
      <c r="W7" s="3213"/>
      <c r="X7" s="3213"/>
      <c r="Y7" s="3213"/>
      <c r="Z7" s="3213"/>
      <c r="AA7" s="3213"/>
      <c r="AB7" s="12"/>
      <c r="AC7" s="3212"/>
      <c r="AD7" s="3212"/>
      <c r="AE7" s="3212"/>
      <c r="AF7" s="3212"/>
      <c r="AG7" s="3212"/>
      <c r="AH7" s="3212"/>
      <c r="AI7" s="3212"/>
      <c r="AJ7" s="16"/>
      <c r="AK7" s="11"/>
      <c r="AL7" s="5"/>
      <c r="AM7" s="2339"/>
      <c r="AN7" s="2339"/>
      <c r="AO7" s="2339"/>
      <c r="AP7" s="2339"/>
      <c r="AQ7" s="2339"/>
      <c r="AR7" s="2339"/>
      <c r="AS7" s="2339"/>
      <c r="AT7" s="2339"/>
      <c r="AU7" s="2339"/>
      <c r="AV7" s="2339"/>
      <c r="AW7" s="2339"/>
      <c r="AX7" s="413"/>
      <c r="AY7" s="1820"/>
    </row>
    <row r="8" spans="1:51" ht="12" customHeight="1" thickBot="1" x14ac:dyDescent="0.25">
      <c r="A8" s="3232"/>
      <c r="B8" s="1805"/>
      <c r="C8" s="7"/>
      <c r="D8" s="7"/>
      <c r="E8" s="7"/>
      <c r="F8" s="1923"/>
      <c r="G8" s="1919"/>
      <c r="H8" s="1919"/>
      <c r="I8" s="1919"/>
      <c r="J8" s="1919"/>
      <c r="K8" s="1919"/>
      <c r="L8" s="1919"/>
      <c r="M8" s="1919"/>
      <c r="N8" s="1924"/>
      <c r="O8" s="7"/>
      <c r="P8" s="7"/>
      <c r="Q8" s="7"/>
      <c r="R8" s="1806"/>
      <c r="S8" s="4"/>
      <c r="T8" s="5"/>
      <c r="U8" s="8"/>
      <c r="V8" s="3213"/>
      <c r="W8" s="3213"/>
      <c r="X8" s="3213"/>
      <c r="Y8" s="3213"/>
      <c r="Z8" s="3213"/>
      <c r="AA8" s="3213"/>
      <c r="AB8" s="17"/>
      <c r="AC8" s="17"/>
      <c r="AD8" s="17"/>
      <c r="AE8" s="17"/>
      <c r="AF8" s="17"/>
      <c r="AG8" s="17"/>
      <c r="AH8" s="17"/>
      <c r="AI8" s="17"/>
      <c r="AJ8" s="18"/>
      <c r="AK8" s="11"/>
      <c r="AL8" s="5"/>
      <c r="AM8" s="2339"/>
      <c r="AU8" s="2339"/>
      <c r="AV8" s="2339"/>
      <c r="AW8" s="2339"/>
      <c r="AX8" s="413"/>
      <c r="AY8" s="1820"/>
    </row>
    <row r="9" spans="1:51" ht="12" customHeight="1" thickBot="1" x14ac:dyDescent="0.25">
      <c r="A9" s="3232"/>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232"/>
      <c r="B10" s="1807"/>
      <c r="F10" s="1923"/>
      <c r="G10" s="1919"/>
      <c r="H10" s="1919"/>
      <c r="I10" s="1919"/>
      <c r="J10" s="1919"/>
      <c r="K10" s="1919"/>
      <c r="L10" s="1919"/>
      <c r="M10" s="1919"/>
      <c r="N10" s="1924"/>
      <c r="O10" s="7"/>
      <c r="P10" s="7"/>
      <c r="Q10" s="7"/>
      <c r="R10" s="1806"/>
      <c r="S10" s="4"/>
      <c r="T10" s="5"/>
      <c r="U10" s="8"/>
      <c r="V10" s="3130" t="s">
        <v>8669</v>
      </c>
      <c r="W10" s="3131"/>
      <c r="X10" s="3131"/>
      <c r="Y10" s="3131"/>
      <c r="Z10" s="3131"/>
      <c r="AA10" s="3131"/>
      <c r="AB10" s="3132"/>
      <c r="AC10" s="2160"/>
      <c r="AD10" s="3172" t="s">
        <v>1632</v>
      </c>
      <c r="AE10" s="3172"/>
      <c r="AF10" s="3172"/>
      <c r="AG10" s="3172"/>
      <c r="AH10" s="3190" t="s">
        <v>1630</v>
      </c>
      <c r="AI10" s="3190"/>
      <c r="AJ10" s="21" t="s">
        <v>1631</v>
      </c>
      <c r="AK10" s="11"/>
      <c r="AL10" s="5"/>
      <c r="AM10" s="2339"/>
      <c r="AU10" s="2339"/>
      <c r="AV10" s="2339"/>
      <c r="AW10" s="2339"/>
      <c r="AX10" s="413"/>
      <c r="AY10" s="1820"/>
    </row>
    <row r="11" spans="1:51" ht="12" customHeight="1" x14ac:dyDescent="0.2">
      <c r="A11" s="3232"/>
      <c r="B11" s="1807"/>
      <c r="F11" s="1923"/>
      <c r="G11" s="1919"/>
      <c r="H11" s="1919"/>
      <c r="I11" s="1919"/>
      <c r="J11" s="1919"/>
      <c r="K11" s="1919"/>
      <c r="L11" s="1919"/>
      <c r="M11" s="1919"/>
      <c r="N11" s="1924"/>
      <c r="O11" s="7"/>
      <c r="P11" s="7"/>
      <c r="Q11" s="7"/>
      <c r="R11" s="1806"/>
      <c r="S11" s="4"/>
      <c r="T11" s="5"/>
      <c r="U11" s="8"/>
      <c r="V11" s="3217" t="s">
        <v>8806</v>
      </c>
      <c r="W11" s="3218"/>
      <c r="X11" s="3218"/>
      <c r="Y11" s="3216" t="s">
        <v>1658</v>
      </c>
      <c r="Z11" s="3216"/>
      <c r="AA11" s="3214" t="s">
        <v>8762</v>
      </c>
      <c r="AB11" s="3215"/>
      <c r="AD11" s="3198"/>
      <c r="AE11" s="3198"/>
      <c r="AF11" s="3198"/>
      <c r="AG11" s="3198"/>
      <c r="AH11" s="3196"/>
      <c r="AI11" s="3196"/>
      <c r="AJ11" s="22"/>
      <c r="AK11" s="11"/>
      <c r="AL11" s="5"/>
      <c r="AM11" s="2339"/>
      <c r="AU11" s="2339"/>
      <c r="AV11" s="2339"/>
      <c r="AW11" s="2339"/>
      <c r="AX11" s="413"/>
      <c r="AY11" s="1820"/>
    </row>
    <row r="12" spans="1:51" ht="12" customHeight="1" x14ac:dyDescent="0.2">
      <c r="A12" s="3232"/>
      <c r="B12" s="1805"/>
      <c r="C12" s="7"/>
      <c r="D12" s="7"/>
      <c r="E12" s="7"/>
      <c r="F12" s="1923"/>
      <c r="G12" s="1919"/>
      <c r="H12" s="1919"/>
      <c r="I12" s="1919"/>
      <c r="J12" s="1919"/>
      <c r="K12" s="1919"/>
      <c r="L12" s="1919"/>
      <c r="M12" s="1919"/>
      <c r="N12" s="1924"/>
      <c r="O12" s="7"/>
      <c r="Q12" s="7"/>
      <c r="R12" s="1806"/>
      <c r="S12" s="4"/>
      <c r="T12" s="5"/>
      <c r="U12" s="8"/>
      <c r="V12" s="3220"/>
      <c r="W12" s="3221"/>
      <c r="X12" s="3222"/>
      <c r="Y12" s="3226">
        <f>VLOOKUP(Nivel_Total,Tabla_ExpTotal,AjusteNivel+2,FALSE)+V12</f>
        <v>0</v>
      </c>
      <c r="Z12" s="3230"/>
      <c r="AA12" s="3226">
        <f>VLOOKUP(Nivel_Total+1,Tabla_ExpTotal,AjusteNivel+2,FALSE)</f>
        <v>0</v>
      </c>
      <c r="AB12" s="3227"/>
      <c r="AC12" s="2160"/>
      <c r="AD12" s="3198"/>
      <c r="AE12" s="3198"/>
      <c r="AF12" s="3198"/>
      <c r="AG12" s="3198"/>
      <c r="AH12" s="3196"/>
      <c r="AI12" s="3196"/>
      <c r="AJ12" s="22"/>
      <c r="AK12" s="11"/>
      <c r="AL12" s="5"/>
      <c r="AM12" s="2339"/>
      <c r="AN12" s="2339"/>
      <c r="AO12" s="2339"/>
      <c r="AR12" s="2339"/>
      <c r="AS12" s="2339"/>
      <c r="AT12" s="2339"/>
      <c r="AU12" s="2339"/>
      <c r="AV12" s="2339"/>
      <c r="AW12" s="2339"/>
      <c r="AX12" s="413"/>
      <c r="AY12" s="1820"/>
    </row>
    <row r="13" spans="1:51" ht="12" customHeight="1" thickBot="1" x14ac:dyDescent="0.25">
      <c r="A13" s="3232"/>
      <c r="B13" s="1805"/>
      <c r="C13" s="7"/>
      <c r="D13" s="7"/>
      <c r="E13" s="7"/>
      <c r="F13" s="1923"/>
      <c r="G13" s="1919"/>
      <c r="H13" s="1919"/>
      <c r="I13" s="1919"/>
      <c r="J13" s="1919"/>
      <c r="K13" s="1919"/>
      <c r="L13" s="1919"/>
      <c r="M13" s="1919"/>
      <c r="N13" s="1924"/>
      <c r="O13" s="7"/>
      <c r="P13" s="7"/>
      <c r="Q13" s="7"/>
      <c r="R13" s="1806"/>
      <c r="S13" s="4"/>
      <c r="T13" s="5"/>
      <c r="U13" s="8"/>
      <c r="V13" s="3223"/>
      <c r="W13" s="3224"/>
      <c r="X13" s="3225"/>
      <c r="Y13" s="3228"/>
      <c r="Z13" s="3231"/>
      <c r="AA13" s="3228"/>
      <c r="AB13" s="3229"/>
      <c r="AC13" s="2258"/>
      <c r="AD13" s="3198"/>
      <c r="AE13" s="3198"/>
      <c r="AF13" s="3198"/>
      <c r="AG13" s="3198"/>
      <c r="AH13" s="3196"/>
      <c r="AI13" s="3196"/>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232"/>
      <c r="B14" s="1805"/>
      <c r="C14" s="7"/>
      <c r="D14" s="7"/>
      <c r="E14" s="7"/>
      <c r="F14" s="1923"/>
      <c r="G14" s="1919"/>
      <c r="H14" s="1919"/>
      <c r="I14" s="1919"/>
      <c r="J14" s="1919"/>
      <c r="K14" s="1919"/>
      <c r="L14" s="1919"/>
      <c r="M14" s="1919"/>
      <c r="N14" s="1924"/>
      <c r="O14" s="7"/>
      <c r="P14" s="7"/>
      <c r="Q14" s="7"/>
      <c r="R14" s="1806"/>
      <c r="S14" s="4"/>
      <c r="T14" s="5"/>
      <c r="U14" s="8"/>
      <c r="V14" s="3209" t="str">
        <f>IF(AND(General!V12="",OR(Tablas!G472&gt;0,Tablas!G473&gt;0,Tablas!G474&gt;0)),"Suma experiencia de Curtido (50 por PC empleado)","")</f>
        <v/>
      </c>
      <c r="W14" s="3209"/>
      <c r="X14" s="3209"/>
      <c r="Y14" s="3209"/>
      <c r="Z14" s="3209"/>
      <c r="AA14" s="3209"/>
      <c r="AB14" s="3209"/>
      <c r="AD14" s="3198"/>
      <c r="AE14" s="3198"/>
      <c r="AF14" s="3198"/>
      <c r="AG14" s="3198"/>
      <c r="AH14" s="3196"/>
      <c r="AI14" s="3196"/>
      <c r="AJ14" s="22"/>
      <c r="AK14" s="11"/>
      <c r="AL14" s="5"/>
      <c r="AM14" s="2339"/>
      <c r="AU14" s="2339"/>
      <c r="AV14" s="2339"/>
      <c r="AW14" s="2339"/>
      <c r="AX14" s="413"/>
      <c r="AY14" s="1820"/>
    </row>
    <row r="15" spans="1:51" ht="12" customHeight="1" thickBot="1" x14ac:dyDescent="0.25">
      <c r="A15" s="3232"/>
      <c r="B15" s="1805"/>
      <c r="C15" s="7"/>
      <c r="D15" s="7"/>
      <c r="E15" s="7"/>
      <c r="F15" s="1923"/>
      <c r="G15" s="1919"/>
      <c r="H15" s="1919"/>
      <c r="I15" s="1919"/>
      <c r="J15" s="1919"/>
      <c r="K15" s="1919"/>
      <c r="L15" s="1919"/>
      <c r="M15" s="1919"/>
      <c r="N15" s="1924"/>
      <c r="O15" s="7"/>
      <c r="P15" s="7"/>
      <c r="R15" s="1806"/>
      <c r="S15" s="4"/>
      <c r="T15" s="5"/>
      <c r="U15" s="8"/>
      <c r="V15" s="3172" t="s">
        <v>1629</v>
      </c>
      <c r="W15" s="3172"/>
      <c r="X15" s="3172"/>
      <c r="Y15" s="3172"/>
      <c r="Z15" s="3219" t="s">
        <v>1630</v>
      </c>
      <c r="AA15" s="3219"/>
      <c r="AB15" s="21" t="s">
        <v>1631</v>
      </c>
      <c r="AD15" s="3198"/>
      <c r="AE15" s="3198"/>
      <c r="AF15" s="3198"/>
      <c r="AG15" s="3198"/>
      <c r="AH15" s="3196"/>
      <c r="AI15" s="3196"/>
      <c r="AJ15" s="22"/>
      <c r="AK15" s="11"/>
      <c r="AL15" s="5"/>
      <c r="AM15" s="2339"/>
      <c r="AU15" s="2339"/>
      <c r="AV15" s="2339"/>
      <c r="AW15" s="2339"/>
      <c r="AX15" s="413"/>
      <c r="AY15" s="1820"/>
    </row>
    <row r="16" spans="1:51" ht="12" customHeight="1" thickBot="1" x14ac:dyDescent="0.25">
      <c r="A16" s="3232"/>
      <c r="B16" s="1805"/>
      <c r="C16" s="7"/>
      <c r="D16" s="7"/>
      <c r="E16" s="7"/>
      <c r="F16" s="1925"/>
      <c r="G16" s="1680"/>
      <c r="H16" s="1680"/>
      <c r="I16" s="1680"/>
      <c r="J16" s="1801"/>
      <c r="K16" s="1680"/>
      <c r="L16" s="1680"/>
      <c r="M16" s="1680"/>
      <c r="N16" s="1926"/>
      <c r="O16" s="7"/>
      <c r="P16" s="7"/>
      <c r="Q16" s="7"/>
      <c r="R16" s="1806"/>
      <c r="S16" s="4"/>
      <c r="T16" s="5"/>
      <c r="U16" s="8"/>
      <c r="V16" s="3208"/>
      <c r="W16" s="3208"/>
      <c r="X16" s="3208"/>
      <c r="Y16" s="3208"/>
      <c r="Z16" s="3196"/>
      <c r="AA16" s="3196"/>
      <c r="AB16" s="22"/>
      <c r="AD16" s="3198"/>
      <c r="AE16" s="3198"/>
      <c r="AF16" s="3198"/>
      <c r="AG16" s="3198"/>
      <c r="AH16" s="3196"/>
      <c r="AI16" s="3196"/>
      <c r="AJ16" s="22"/>
      <c r="AK16" s="11"/>
      <c r="AL16" s="5"/>
      <c r="AM16" s="2339"/>
      <c r="AU16" s="2339"/>
      <c r="AV16" s="2339"/>
      <c r="AW16" s="2339"/>
      <c r="AX16" s="413"/>
      <c r="AY16" s="1820"/>
    </row>
    <row r="17" spans="1:51" ht="12" customHeight="1" x14ac:dyDescent="0.2">
      <c r="A17" s="3232"/>
      <c r="B17" s="1805"/>
      <c r="C17" s="7"/>
      <c r="D17" s="7"/>
      <c r="E17" s="7"/>
      <c r="F17" s="7"/>
      <c r="G17" s="7"/>
      <c r="H17" s="7"/>
      <c r="O17" s="7"/>
      <c r="P17" s="7"/>
      <c r="Q17" s="7"/>
      <c r="R17" s="1806"/>
      <c r="S17" s="4"/>
      <c r="T17" s="5"/>
      <c r="U17" s="8"/>
      <c r="V17" s="3208"/>
      <c r="W17" s="3208"/>
      <c r="X17" s="3208"/>
      <c r="Y17" s="3208"/>
      <c r="Z17" s="3196"/>
      <c r="AA17" s="3196"/>
      <c r="AB17" s="22"/>
      <c r="AD17" s="3198"/>
      <c r="AE17" s="3198"/>
      <c r="AF17" s="3198"/>
      <c r="AG17" s="3198"/>
      <c r="AH17" s="3196"/>
      <c r="AI17" s="3196"/>
      <c r="AJ17" s="22"/>
      <c r="AK17" s="11"/>
      <c r="AL17" s="5"/>
      <c r="AM17" s="2339"/>
      <c r="AU17" s="2339"/>
      <c r="AV17" s="2339"/>
      <c r="AW17" s="2339"/>
      <c r="AX17" s="413"/>
      <c r="AY17" s="1820"/>
    </row>
    <row r="18" spans="1:51" ht="12" customHeight="1" thickBot="1" x14ac:dyDescent="0.25">
      <c r="A18" s="3232"/>
      <c r="B18" s="1805"/>
      <c r="C18" s="7"/>
      <c r="Q18" s="7"/>
      <c r="R18" s="1806"/>
      <c r="S18" s="4"/>
      <c r="T18" s="5"/>
      <c r="U18" s="8"/>
      <c r="V18" s="3208"/>
      <c r="W18" s="3208"/>
      <c r="X18" s="3208"/>
      <c r="Y18" s="3208"/>
      <c r="Z18" s="3196"/>
      <c r="AA18" s="3196"/>
      <c r="AB18" s="22"/>
      <c r="AC18" s="23"/>
      <c r="AD18" s="3198"/>
      <c r="AE18" s="3198"/>
      <c r="AF18" s="3198"/>
      <c r="AG18" s="3198"/>
      <c r="AH18" s="3196"/>
      <c r="AI18" s="3196"/>
      <c r="AJ18" s="22"/>
      <c r="AK18" s="11"/>
      <c r="AL18" s="5"/>
      <c r="AM18" s="2339"/>
      <c r="AU18" s="2339"/>
      <c r="AV18" s="2339"/>
      <c r="AW18" s="2339"/>
      <c r="AX18" s="413"/>
      <c r="AY18" s="1820"/>
    </row>
    <row r="19" spans="1:51" ht="12" customHeight="1" x14ac:dyDescent="0.2">
      <c r="A19" s="3232"/>
      <c r="B19" s="1805"/>
      <c r="C19" s="7"/>
      <c r="D19" s="3233" t="s">
        <v>1633</v>
      </c>
      <c r="E19" s="3234"/>
      <c r="F19" s="3234"/>
      <c r="G19" s="3234"/>
      <c r="H19" s="3234"/>
      <c r="I19" s="3234"/>
      <c r="J19" s="3234"/>
      <c r="K19" s="3234"/>
      <c r="L19" s="3234"/>
      <c r="M19" s="3234"/>
      <c r="N19" s="3234"/>
      <c r="O19" s="3234"/>
      <c r="P19" s="3235"/>
      <c r="R19" s="1806"/>
      <c r="S19" s="4"/>
      <c r="T19" s="5"/>
      <c r="U19" s="8"/>
      <c r="V19" s="3208"/>
      <c r="W19" s="3208"/>
      <c r="X19" s="3208"/>
      <c r="Y19" s="3208"/>
      <c r="Z19" s="3196"/>
      <c r="AA19" s="3196"/>
      <c r="AB19" s="22"/>
      <c r="AC19" s="23"/>
      <c r="AD19" s="3208"/>
      <c r="AE19" s="3208"/>
      <c r="AF19" s="3208"/>
      <c r="AG19" s="3208"/>
      <c r="AH19" s="3196"/>
      <c r="AI19" s="3196"/>
      <c r="AJ19" s="22"/>
      <c r="AK19" s="11"/>
      <c r="AL19" s="5"/>
      <c r="AM19" s="2339"/>
      <c r="AU19" s="2339"/>
      <c r="AV19" s="2339"/>
      <c r="AW19" s="2339"/>
      <c r="AX19" s="413"/>
      <c r="AY19" s="1820"/>
    </row>
    <row r="20" spans="1:51" ht="12" customHeight="1" thickBot="1" x14ac:dyDescent="0.25">
      <c r="A20" s="3232"/>
      <c r="B20" s="1805"/>
      <c r="C20" s="7"/>
      <c r="D20" s="3236"/>
      <c r="E20" s="3237"/>
      <c r="F20" s="3237"/>
      <c r="G20" s="3237"/>
      <c r="H20" s="3237"/>
      <c r="I20" s="3237"/>
      <c r="J20" s="3237"/>
      <c r="K20" s="3237"/>
      <c r="L20" s="3237"/>
      <c r="M20" s="3237"/>
      <c r="N20" s="3237"/>
      <c r="O20" s="3237"/>
      <c r="P20" s="3238"/>
      <c r="R20" s="1806"/>
      <c r="S20" s="4"/>
      <c r="T20" s="5"/>
      <c r="U20" s="8"/>
      <c r="V20" s="3208"/>
      <c r="W20" s="3208"/>
      <c r="X20" s="3208"/>
      <c r="Y20" s="3208"/>
      <c r="Z20" s="3196"/>
      <c r="AA20" s="3196"/>
      <c r="AB20" s="22"/>
      <c r="AC20" s="23"/>
      <c r="AD20" s="3208"/>
      <c r="AE20" s="3208"/>
      <c r="AF20" s="3208"/>
      <c r="AG20" s="3208"/>
      <c r="AH20" s="3196"/>
      <c r="AI20" s="3196"/>
      <c r="AJ20" s="22"/>
      <c r="AK20" s="11"/>
      <c r="AL20" s="5"/>
      <c r="AM20" s="2339"/>
      <c r="AN20" s="2339"/>
    </row>
    <row r="21" spans="1:51" ht="12" customHeight="1" x14ac:dyDescent="0.2">
      <c r="A21" s="3232"/>
      <c r="B21" s="1805"/>
      <c r="C21" s="7"/>
      <c r="D21" s="1802"/>
      <c r="E21" s="1803"/>
      <c r="F21" s="1803"/>
      <c r="G21" s="1803"/>
      <c r="H21" s="1803"/>
      <c r="I21" s="1803"/>
      <c r="J21" s="1803"/>
      <c r="K21" s="1803"/>
      <c r="L21" s="1803"/>
      <c r="M21" s="1803"/>
      <c r="N21" s="1803"/>
      <c r="O21" s="1803"/>
      <c r="P21" s="1804"/>
      <c r="R21" s="1806"/>
      <c r="S21" s="4"/>
      <c r="T21" s="5"/>
      <c r="U21" s="8"/>
      <c r="V21" s="3198"/>
      <c r="W21" s="3198"/>
      <c r="X21" s="3198"/>
      <c r="Y21" s="3198"/>
      <c r="Z21" s="3196"/>
      <c r="AA21" s="3196"/>
      <c r="AB21" s="22"/>
      <c r="AC21" s="23"/>
      <c r="AD21" s="3198"/>
      <c r="AE21" s="3198"/>
      <c r="AF21" s="3198"/>
      <c r="AG21" s="3198"/>
      <c r="AH21" s="3196"/>
      <c r="AI21" s="3196"/>
      <c r="AJ21" s="22"/>
      <c r="AK21" s="11"/>
      <c r="AL21" s="5"/>
      <c r="AM21" s="2339"/>
      <c r="AN21" s="2339"/>
    </row>
    <row r="22" spans="1:51" ht="12" customHeight="1" x14ac:dyDescent="0.25">
      <c r="A22" s="3232"/>
      <c r="B22" s="1805"/>
      <c r="C22" s="7"/>
      <c r="D22" s="1676"/>
      <c r="E22" s="3240" t="s">
        <v>1634</v>
      </c>
      <c r="F22" s="3240"/>
      <c r="G22" s="3245"/>
      <c r="H22" s="3245"/>
      <c r="I22" s="3245"/>
      <c r="J22" s="3245"/>
      <c r="K22" s="3245"/>
      <c r="L22" s="3245"/>
      <c r="M22" s="3245"/>
      <c r="N22" s="3245"/>
      <c r="O22" s="3245"/>
      <c r="P22" s="1678"/>
      <c r="R22" s="1806"/>
      <c r="S22" s="4"/>
      <c r="T22" s="5"/>
      <c r="U22" s="8"/>
      <c r="V22" s="3198"/>
      <c r="W22" s="3198"/>
      <c r="X22" s="3198"/>
      <c r="Y22" s="3198"/>
      <c r="Z22" s="3196"/>
      <c r="AA22" s="3196"/>
      <c r="AB22" s="22"/>
      <c r="AC22" s="23"/>
      <c r="AD22" s="3198"/>
      <c r="AE22" s="3198"/>
      <c r="AF22" s="3198"/>
      <c r="AG22" s="3198"/>
      <c r="AH22" s="3196"/>
      <c r="AI22" s="3196"/>
      <c r="AJ22" s="22"/>
      <c r="AK22" s="11"/>
      <c r="AL22" s="5"/>
      <c r="AM22" s="2339"/>
      <c r="AN22" s="2340"/>
    </row>
    <row r="23" spans="1:51" ht="12" customHeight="1" thickBot="1" x14ac:dyDescent="0.25">
      <c r="A23" s="3232"/>
      <c r="B23" s="1805"/>
      <c r="C23" s="7"/>
      <c r="D23" s="1676"/>
      <c r="E23" s="1671" t="s">
        <v>1635</v>
      </c>
      <c r="F23" s="3247"/>
      <c r="G23" s="3247"/>
      <c r="H23" s="1675" t="s">
        <v>8670</v>
      </c>
      <c r="I23" s="3244"/>
      <c r="J23" s="3244"/>
      <c r="K23" s="3244"/>
      <c r="L23" s="3248" t="str">
        <f>IF($F$23="Ebudan","Sue'Aman:",IF(OR($F$23="Humano",$F$23="Nephilim Sylvain",$F$23="Nephilim Jayán",$F$23="Nephilim D'Anjayni",$F$23="Nephilim Ebudan",$F$23="Nephilim Daimah",$F$23="Nephilim Duk'zarist",$F$23="Nephilim Devah",$F$23="Nephilim Vetala",$F$23="Nephilim Turak"),"Etnia:",""))</f>
        <v/>
      </c>
      <c r="M23" s="3248"/>
      <c r="N23" s="3244"/>
      <c r="O23" s="3244"/>
      <c r="P23" s="1677"/>
      <c r="R23" s="1806"/>
      <c r="S23" s="4"/>
      <c r="T23" s="5"/>
      <c r="U23" s="8"/>
      <c r="V23" s="3199"/>
      <c r="W23" s="3199"/>
      <c r="X23" s="3199"/>
      <c r="Y23" s="3199"/>
      <c r="Z23" s="3207"/>
      <c r="AA23" s="3207"/>
      <c r="AB23" s="24"/>
      <c r="AC23" s="23"/>
      <c r="AD23" s="3198"/>
      <c r="AE23" s="3198"/>
      <c r="AF23" s="3198"/>
      <c r="AG23" s="3198"/>
      <c r="AH23" s="3196"/>
      <c r="AI23" s="3196"/>
      <c r="AJ23" s="22"/>
      <c r="AK23" s="11"/>
      <c r="AL23" s="5"/>
      <c r="AM23" s="2339"/>
      <c r="AN23" s="2339"/>
      <c r="AO23" s="2339"/>
    </row>
    <row r="24" spans="1:51" ht="12" customHeight="1" thickBot="1" x14ac:dyDescent="0.25">
      <c r="A24" s="3232"/>
      <c r="B24" s="1805"/>
      <c r="C24" s="7"/>
      <c r="D24" s="1676"/>
      <c r="E24" s="1671" t="s">
        <v>1636</v>
      </c>
      <c r="F24" s="1672"/>
      <c r="G24" s="1673"/>
      <c r="H24" s="1675" t="s">
        <v>1639</v>
      </c>
      <c r="I24" s="3241"/>
      <c r="J24" s="3241"/>
      <c r="K24" s="3239" t="s">
        <v>1641</v>
      </c>
      <c r="L24" s="3239"/>
      <c r="M24" s="3241"/>
      <c r="N24" s="3241"/>
      <c r="O24" s="3241"/>
      <c r="P24" s="1678"/>
      <c r="R24" s="1806"/>
      <c r="S24" s="4"/>
      <c r="T24" s="5"/>
      <c r="U24" s="8"/>
      <c r="AC24" s="23"/>
      <c r="AD24" s="3198"/>
      <c r="AE24" s="3198"/>
      <c r="AF24" s="3198"/>
      <c r="AG24" s="3198"/>
      <c r="AH24" s="3196"/>
      <c r="AI24" s="3196"/>
      <c r="AJ24" s="22"/>
      <c r="AK24" s="11"/>
      <c r="AL24" s="5"/>
      <c r="AM24" s="2339"/>
      <c r="AN24" s="2339"/>
      <c r="AO24" s="2339"/>
    </row>
    <row r="25" spans="1:51" ht="12" customHeight="1" thickBot="1" x14ac:dyDescent="0.25">
      <c r="A25" s="3232"/>
      <c r="B25" s="1805"/>
      <c r="C25" s="7"/>
      <c r="D25" s="1676"/>
      <c r="E25" s="1671" t="s">
        <v>1637</v>
      </c>
      <c r="F25" s="1782"/>
      <c r="G25" s="1675"/>
      <c r="H25" s="1674" t="s">
        <v>1643</v>
      </c>
      <c r="I25" s="3241"/>
      <c r="J25" s="3241"/>
      <c r="K25" s="1673"/>
      <c r="L25" s="1674" t="s">
        <v>7839</v>
      </c>
      <c r="M25" s="3244"/>
      <c r="N25" s="3244"/>
      <c r="O25" s="3244"/>
      <c r="P25" s="1811"/>
      <c r="R25" s="1806"/>
      <c r="S25" s="4"/>
      <c r="T25" s="5"/>
      <c r="U25" s="8"/>
      <c r="V25" s="3172" t="s">
        <v>1640</v>
      </c>
      <c r="W25" s="3172"/>
      <c r="X25" s="3172"/>
      <c r="Y25" s="3172"/>
      <c r="Z25" s="3172"/>
      <c r="AA25" s="3172"/>
      <c r="AB25" s="25" t="s">
        <v>1631</v>
      </c>
      <c r="AC25" s="23"/>
      <c r="AD25" s="3198"/>
      <c r="AE25" s="3198"/>
      <c r="AF25" s="3198"/>
      <c r="AG25" s="3198"/>
      <c r="AH25" s="3196"/>
      <c r="AI25" s="3196"/>
      <c r="AJ25" s="22"/>
      <c r="AK25" s="11"/>
      <c r="AL25" s="5"/>
      <c r="AM25" s="2339"/>
      <c r="AN25" s="2339"/>
      <c r="AO25" s="2339"/>
    </row>
    <row r="26" spans="1:51" ht="12" customHeight="1" x14ac:dyDescent="0.2">
      <c r="A26" s="3232"/>
      <c r="B26" s="1805"/>
      <c r="C26" s="7"/>
      <c r="D26" s="1676"/>
      <c r="E26" s="1674" t="s">
        <v>1638</v>
      </c>
      <c r="F26" s="1893"/>
      <c r="G26" s="1674"/>
      <c r="H26" s="1675" t="s">
        <v>1642</v>
      </c>
      <c r="I26" s="3241"/>
      <c r="J26" s="3241"/>
      <c r="K26" s="3246" t="str">
        <f>IF(M25="","","Clase social:")</f>
        <v/>
      </c>
      <c r="L26" s="3246"/>
      <c r="M26" s="3242"/>
      <c r="N26" s="3242"/>
      <c r="O26" s="3242"/>
      <c r="P26" s="1809"/>
      <c r="R26" s="1806"/>
      <c r="S26" s="4"/>
      <c r="T26" s="5"/>
      <c r="U26" s="8"/>
      <c r="V26" s="3206"/>
      <c r="W26" s="3206"/>
      <c r="X26" s="3206"/>
      <c r="Y26" s="3206"/>
      <c r="Z26" s="3206"/>
      <c r="AA26" s="3206"/>
      <c r="AB26" s="26"/>
      <c r="AC26" s="23"/>
      <c r="AD26" s="3198"/>
      <c r="AE26" s="3198"/>
      <c r="AF26" s="3198"/>
      <c r="AG26" s="3198"/>
      <c r="AH26" s="3196"/>
      <c r="AI26" s="3196"/>
      <c r="AJ26" s="22"/>
      <c r="AK26" s="11"/>
      <c r="AL26" s="5"/>
      <c r="AM26" s="413"/>
      <c r="AN26" s="413"/>
      <c r="AO26" s="413"/>
    </row>
    <row r="27" spans="1:51" ht="12" customHeight="1" thickBot="1" x14ac:dyDescent="0.25">
      <c r="A27" s="3232"/>
      <c r="B27" s="1805"/>
      <c r="C27" s="7"/>
      <c r="D27" s="1679"/>
      <c r="E27" s="1680"/>
      <c r="F27" s="1680"/>
      <c r="G27" s="1799"/>
      <c r="H27" s="1800"/>
      <c r="I27" s="1800"/>
      <c r="J27" s="1801"/>
      <c r="K27" s="1801"/>
      <c r="L27" s="1801"/>
      <c r="M27" s="3243"/>
      <c r="N27" s="3243"/>
      <c r="O27" s="3243"/>
      <c r="P27" s="1810"/>
      <c r="R27" s="1806"/>
      <c r="S27" s="4"/>
      <c r="T27" s="5"/>
      <c r="U27" s="8"/>
      <c r="V27" s="3198"/>
      <c r="W27" s="3198"/>
      <c r="X27" s="3198"/>
      <c r="Y27" s="3198"/>
      <c r="Z27" s="3198"/>
      <c r="AA27" s="3198"/>
      <c r="AB27" s="27"/>
      <c r="AC27" s="23"/>
      <c r="AD27" s="3198"/>
      <c r="AE27" s="3198"/>
      <c r="AF27" s="3198"/>
      <c r="AG27" s="3198"/>
      <c r="AH27" s="3196"/>
      <c r="AI27" s="3196"/>
      <c r="AJ27" s="22"/>
      <c r="AK27" s="11"/>
      <c r="AL27" s="5"/>
      <c r="AM27" s="413"/>
      <c r="AN27" s="413"/>
      <c r="AO27" s="413"/>
    </row>
    <row r="28" spans="1:51" ht="12" customHeight="1" x14ac:dyDescent="0.2">
      <c r="A28" s="3232"/>
      <c r="B28" s="1805"/>
      <c r="C28" s="7"/>
      <c r="Q28" s="7"/>
      <c r="R28" s="1806"/>
      <c r="S28" s="4"/>
      <c r="T28" s="5"/>
      <c r="U28" s="8"/>
      <c r="V28" s="3198"/>
      <c r="W28" s="3198"/>
      <c r="X28" s="3198"/>
      <c r="Y28" s="3198"/>
      <c r="Z28" s="3198"/>
      <c r="AA28" s="3198"/>
      <c r="AB28" s="27"/>
      <c r="AC28" s="23"/>
      <c r="AD28" s="3198"/>
      <c r="AE28" s="3198"/>
      <c r="AF28" s="3198"/>
      <c r="AG28" s="3198"/>
      <c r="AH28" s="3196"/>
      <c r="AI28" s="3196"/>
      <c r="AJ28" s="22"/>
      <c r="AK28" s="11"/>
      <c r="AL28" s="5"/>
      <c r="AM28" s="413"/>
      <c r="AN28" s="413"/>
      <c r="AO28" s="413"/>
    </row>
    <row r="29" spans="1:51" ht="12" customHeight="1" thickBot="1" x14ac:dyDescent="0.25">
      <c r="A29" s="3232"/>
      <c r="B29" s="1805"/>
      <c r="C29" s="7"/>
      <c r="D29" s="7"/>
      <c r="E29" s="7"/>
      <c r="F29" s="7"/>
      <c r="G29" s="7"/>
      <c r="H29" s="7"/>
      <c r="I29" s="7"/>
      <c r="J29" s="7"/>
      <c r="K29" s="7"/>
      <c r="L29" s="7"/>
      <c r="M29" s="7"/>
      <c r="N29" s="7"/>
      <c r="O29" s="7"/>
      <c r="P29" s="7"/>
      <c r="Q29" s="7"/>
      <c r="R29" s="1806"/>
      <c r="S29" s="4"/>
      <c r="T29" s="5"/>
      <c r="U29" s="8"/>
      <c r="V29" s="3198"/>
      <c r="W29" s="3198"/>
      <c r="X29" s="3198"/>
      <c r="Y29" s="3198"/>
      <c r="Z29" s="3198"/>
      <c r="AA29" s="3198"/>
      <c r="AB29" s="27"/>
      <c r="AC29" s="23"/>
      <c r="AD29" s="3198"/>
      <c r="AE29" s="3198"/>
      <c r="AF29" s="3198"/>
      <c r="AG29" s="3198"/>
      <c r="AH29" s="3196"/>
      <c r="AI29" s="3196"/>
      <c r="AJ29" s="22"/>
      <c r="AK29" s="11"/>
      <c r="AL29" s="5"/>
      <c r="AM29" s="413"/>
      <c r="AN29" s="413"/>
      <c r="AO29" s="413"/>
      <c r="AW29" s="2339"/>
      <c r="AX29" s="2339"/>
      <c r="AY29" s="1818"/>
    </row>
    <row r="30" spans="1:51" ht="12" customHeight="1" thickBot="1" x14ac:dyDescent="0.25">
      <c r="A30" s="3232"/>
      <c r="B30" s="1805"/>
      <c r="C30" s="3172" t="s">
        <v>1644</v>
      </c>
      <c r="D30" s="3172"/>
      <c r="E30" s="3172"/>
      <c r="F30" s="3172"/>
      <c r="G30" s="3172"/>
      <c r="H30" s="3172"/>
      <c r="I30" s="3172"/>
      <c r="J30" s="7"/>
      <c r="K30" s="3172" t="s">
        <v>1645</v>
      </c>
      <c r="L30" s="3172"/>
      <c r="M30" s="3172"/>
      <c r="N30" s="3172"/>
      <c r="O30" s="3172"/>
      <c r="P30" s="3172"/>
      <c r="Q30" s="3172"/>
      <c r="R30" s="1806"/>
      <c r="S30" s="4"/>
      <c r="T30" s="5"/>
      <c r="U30" s="8"/>
      <c r="V30" s="3198"/>
      <c r="W30" s="3198"/>
      <c r="X30" s="3198"/>
      <c r="Y30" s="3198"/>
      <c r="Z30" s="3198"/>
      <c r="AA30" s="3198"/>
      <c r="AB30" s="27"/>
      <c r="AC30" s="23"/>
      <c r="AD30" s="3198"/>
      <c r="AE30" s="3198"/>
      <c r="AF30" s="3198"/>
      <c r="AG30" s="3198"/>
      <c r="AH30" s="3196"/>
      <c r="AI30" s="3196"/>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232"/>
      <c r="B31" s="1805"/>
      <c r="C31" s="3197"/>
      <c r="D31" s="3197"/>
      <c r="E31" s="3197"/>
      <c r="F31" s="3197"/>
      <c r="G31" s="3197"/>
      <c r="H31" s="3197"/>
      <c r="I31" s="3197"/>
      <c r="J31" s="7"/>
      <c r="K31" s="3197"/>
      <c r="L31" s="3197"/>
      <c r="M31" s="3197"/>
      <c r="N31" s="3197"/>
      <c r="O31" s="3197"/>
      <c r="P31" s="3197"/>
      <c r="Q31" s="3197"/>
      <c r="R31" s="1806"/>
      <c r="S31" s="4"/>
      <c r="T31" s="5"/>
      <c r="U31" s="8"/>
      <c r="V31" s="3198"/>
      <c r="W31" s="3198"/>
      <c r="X31" s="3198"/>
      <c r="Y31" s="3198"/>
      <c r="Z31" s="3198"/>
      <c r="AA31" s="3198"/>
      <c r="AB31" s="27"/>
      <c r="AC31" s="23"/>
      <c r="AD31" s="3198"/>
      <c r="AE31" s="3198"/>
      <c r="AF31" s="3198"/>
      <c r="AG31" s="3198"/>
      <c r="AH31" s="3196"/>
      <c r="AI31" s="3196"/>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232"/>
      <c r="B32" s="1805"/>
      <c r="C32" s="3197"/>
      <c r="D32" s="3197"/>
      <c r="E32" s="3197"/>
      <c r="F32" s="3197"/>
      <c r="G32" s="3197"/>
      <c r="H32" s="3197"/>
      <c r="I32" s="3197"/>
      <c r="J32" s="7"/>
      <c r="K32" s="3197"/>
      <c r="L32" s="3197"/>
      <c r="M32" s="3197"/>
      <c r="N32" s="3197"/>
      <c r="O32" s="3197"/>
      <c r="P32" s="3197"/>
      <c r="Q32" s="3197"/>
      <c r="R32" s="1806"/>
      <c r="S32" s="4"/>
      <c r="T32" s="5"/>
      <c r="U32" s="8"/>
      <c r="V32" s="3199"/>
      <c r="W32" s="3199"/>
      <c r="X32" s="3199"/>
      <c r="Y32" s="3199"/>
      <c r="Z32" s="3199"/>
      <c r="AA32" s="3199"/>
      <c r="AB32" s="28"/>
      <c r="AC32" s="23"/>
      <c r="AD32" s="3200" t="s">
        <v>1646</v>
      </c>
      <c r="AE32" s="3200"/>
      <c r="AF32" s="3201" t="str">
        <f>IF(Principal!E14=0,0&amp;" kg",VLOOKUP(FUE,Tabla_Fuerza,3)&amp;" kg")</f>
        <v>0 kg</v>
      </c>
      <c r="AG32" s="3201"/>
      <c r="AH32" s="3202" t="s">
        <v>1647</v>
      </c>
      <c r="AI32" s="3202"/>
      <c r="AJ32" s="29">
        <f>SUM(AB11:AB23,AB26:AB32,AJ11:AJ31)</f>
        <v>0</v>
      </c>
      <c r="AK32" s="11"/>
      <c r="AL32" s="5"/>
      <c r="AM32" s="2339"/>
      <c r="AN32" s="2339"/>
      <c r="AO32" s="2339"/>
      <c r="AW32" s="2339"/>
      <c r="AX32" s="2339"/>
      <c r="AY32" s="1818"/>
    </row>
    <row r="33" spans="1:52" ht="12" customHeight="1" thickBot="1" x14ac:dyDescent="0.25">
      <c r="A33" s="3232"/>
      <c r="B33" s="1805"/>
      <c r="C33" s="3197"/>
      <c r="D33" s="3197"/>
      <c r="E33" s="3197"/>
      <c r="F33" s="3197"/>
      <c r="G33" s="3197"/>
      <c r="H33" s="3197"/>
      <c r="I33" s="3197"/>
      <c r="J33" s="30"/>
      <c r="K33" s="3197"/>
      <c r="L33" s="3197"/>
      <c r="M33" s="3197"/>
      <c r="N33" s="3197"/>
      <c r="O33" s="3197"/>
      <c r="P33" s="3197"/>
      <c r="Q33" s="3197"/>
      <c r="R33" s="1806"/>
      <c r="S33" s="4"/>
      <c r="T33" s="5"/>
      <c r="U33" s="8"/>
      <c r="AK33" s="11"/>
      <c r="AL33" s="5"/>
      <c r="AM33" s="2339"/>
      <c r="AN33" s="2339"/>
      <c r="AO33" s="2339"/>
      <c r="AW33" s="2339"/>
      <c r="AX33" s="2339"/>
      <c r="AY33" s="1818"/>
    </row>
    <row r="34" spans="1:52" ht="12" customHeight="1" thickBot="1" x14ac:dyDescent="0.25">
      <c r="A34" s="3232"/>
      <c r="B34" s="1805"/>
      <c r="C34" s="7"/>
      <c r="D34" s="7"/>
      <c r="E34" s="7"/>
      <c r="F34" s="7"/>
      <c r="G34" s="7"/>
      <c r="H34" s="7"/>
      <c r="I34" s="7"/>
      <c r="J34" s="31"/>
      <c r="K34" s="3197"/>
      <c r="L34" s="3197"/>
      <c r="M34" s="3197"/>
      <c r="N34" s="3197"/>
      <c r="O34" s="3197"/>
      <c r="P34" s="3197"/>
      <c r="Q34" s="3197"/>
      <c r="R34" s="1806"/>
      <c r="S34" s="4"/>
      <c r="T34" s="5"/>
      <c r="U34" s="8"/>
      <c r="V34" s="3172" t="s">
        <v>1648</v>
      </c>
      <c r="W34" s="3172"/>
      <c r="X34" s="3172"/>
      <c r="Y34" s="3172"/>
      <c r="Z34" s="3172"/>
      <c r="AA34" s="3172"/>
      <c r="AB34" s="3172"/>
      <c r="AC34" s="3172"/>
      <c r="AD34" s="3172"/>
      <c r="AE34" s="3172"/>
      <c r="AF34" s="3172"/>
      <c r="AG34" s="3172"/>
      <c r="AH34" s="3172"/>
      <c r="AI34" s="3172"/>
      <c r="AJ34" s="3172"/>
      <c r="AK34" s="11"/>
      <c r="AL34" s="5"/>
      <c r="AM34" s="2339"/>
      <c r="AN34" s="2339"/>
      <c r="AO34" s="2339"/>
      <c r="AW34" s="2339"/>
      <c r="AX34" s="2339"/>
      <c r="AY34" s="1818"/>
    </row>
    <row r="35" spans="1:52" ht="12" customHeight="1" thickBot="1" x14ac:dyDescent="0.25">
      <c r="A35" s="3232"/>
      <c r="B35" s="1805"/>
      <c r="C35" s="3172" t="s">
        <v>1649</v>
      </c>
      <c r="D35" s="3172"/>
      <c r="E35" s="3172"/>
      <c r="F35" s="3172"/>
      <c r="G35" s="3172"/>
      <c r="H35" s="3172"/>
      <c r="I35" s="3172"/>
      <c r="J35" s="31"/>
      <c r="K35" s="3197"/>
      <c r="L35" s="3197"/>
      <c r="M35" s="3197"/>
      <c r="N35" s="3197"/>
      <c r="O35" s="3197"/>
      <c r="P35" s="3197"/>
      <c r="Q35" s="3197"/>
      <c r="R35" s="1806"/>
      <c r="S35" s="4"/>
      <c r="T35" s="5"/>
      <c r="U35" s="8"/>
      <c r="V35" s="3186"/>
      <c r="W35" s="3186"/>
      <c r="X35" s="3186"/>
      <c r="Y35" s="3185"/>
      <c r="Z35" s="3185"/>
      <c r="AA35" s="3185"/>
      <c r="AB35" s="3185"/>
      <c r="AC35" s="3185"/>
      <c r="AD35" s="3185"/>
      <c r="AE35" s="3185"/>
      <c r="AF35" s="3185"/>
      <c r="AG35" s="3185"/>
      <c r="AH35" s="3185"/>
      <c r="AI35" s="3185"/>
      <c r="AJ35" s="3185"/>
      <c r="AK35" s="11"/>
      <c r="AL35" s="5"/>
      <c r="AM35" s="2339"/>
      <c r="AN35" s="2339"/>
      <c r="AO35" s="2339"/>
      <c r="AP35" s="2339"/>
      <c r="AX35" s="2339"/>
      <c r="AY35" s="1818"/>
      <c r="AZ35" s="6"/>
    </row>
    <row r="36" spans="1:52" ht="12" customHeight="1" thickBot="1" x14ac:dyDescent="0.25">
      <c r="A36" s="3232"/>
      <c r="B36" s="1805"/>
      <c r="C36" s="3197"/>
      <c r="D36" s="3197"/>
      <c r="E36" s="3197"/>
      <c r="F36" s="3197"/>
      <c r="G36" s="3197"/>
      <c r="H36" s="3197"/>
      <c r="I36" s="3197"/>
      <c r="J36" s="31"/>
      <c r="K36" s="3197"/>
      <c r="L36" s="3197"/>
      <c r="M36" s="3197"/>
      <c r="N36" s="3197"/>
      <c r="O36" s="3197"/>
      <c r="P36" s="3197"/>
      <c r="Q36" s="3197"/>
      <c r="R36" s="1806"/>
      <c r="S36" s="4"/>
      <c r="T36" s="5"/>
      <c r="U36" s="8"/>
      <c r="V36" s="3186"/>
      <c r="W36" s="3186"/>
      <c r="X36" s="3186"/>
      <c r="Y36" s="3185"/>
      <c r="Z36" s="3185"/>
      <c r="AA36" s="3185"/>
      <c r="AB36" s="3185"/>
      <c r="AC36" s="3185"/>
      <c r="AD36" s="3185"/>
      <c r="AE36" s="3185"/>
      <c r="AF36" s="3185"/>
      <c r="AG36" s="3185"/>
      <c r="AH36" s="3185"/>
      <c r="AI36" s="3185"/>
      <c r="AJ36" s="3185"/>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232"/>
      <c r="B37" s="1805"/>
      <c r="C37" s="3197"/>
      <c r="D37" s="3197"/>
      <c r="E37" s="3197"/>
      <c r="F37" s="3197"/>
      <c r="G37" s="3197"/>
      <c r="H37" s="3197"/>
      <c r="I37" s="3197"/>
      <c r="J37" s="31"/>
      <c r="K37" s="3197"/>
      <c r="L37" s="3197"/>
      <c r="M37" s="3197"/>
      <c r="N37" s="3197"/>
      <c r="O37" s="3197"/>
      <c r="P37" s="3197"/>
      <c r="Q37" s="3197"/>
      <c r="R37" s="1806"/>
      <c r="S37" s="4"/>
      <c r="T37" s="5"/>
      <c r="U37" s="8"/>
      <c r="V37" s="3186"/>
      <c r="W37" s="3186"/>
      <c r="X37" s="3186"/>
      <c r="Y37" s="3185"/>
      <c r="Z37" s="3185"/>
      <c r="AA37" s="3185"/>
      <c r="AB37" s="3185"/>
      <c r="AC37" s="3185"/>
      <c r="AD37" s="3185"/>
      <c r="AE37" s="3185"/>
      <c r="AF37" s="3185"/>
      <c r="AG37" s="3185"/>
      <c r="AH37" s="3185"/>
      <c r="AI37" s="3185"/>
      <c r="AJ37" s="3185"/>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232"/>
      <c r="B38" s="1805"/>
      <c r="C38" s="3197"/>
      <c r="D38" s="3197"/>
      <c r="E38" s="3197"/>
      <c r="F38" s="3197"/>
      <c r="G38" s="3197"/>
      <c r="H38" s="3197"/>
      <c r="I38" s="3197"/>
      <c r="J38" s="31"/>
      <c r="K38" s="3197"/>
      <c r="L38" s="3197"/>
      <c r="M38" s="3197"/>
      <c r="N38" s="3197"/>
      <c r="O38" s="3197"/>
      <c r="P38" s="3197"/>
      <c r="Q38" s="3197"/>
      <c r="R38" s="1806"/>
      <c r="S38" s="4"/>
      <c r="T38" s="5"/>
      <c r="U38" s="8"/>
      <c r="V38" s="3186"/>
      <c r="W38" s="3186"/>
      <c r="X38" s="3186"/>
      <c r="Y38" s="3185"/>
      <c r="Z38" s="3185"/>
      <c r="AA38" s="3185"/>
      <c r="AB38" s="3185"/>
      <c r="AC38" s="3185"/>
      <c r="AD38" s="3185"/>
      <c r="AE38" s="3185"/>
      <c r="AF38" s="3185"/>
      <c r="AG38" s="3185"/>
      <c r="AH38" s="3185"/>
      <c r="AI38" s="3185"/>
      <c r="AJ38" s="3185"/>
      <c r="AK38" s="11"/>
      <c r="AL38" s="5"/>
      <c r="AM38" s="2339"/>
      <c r="AN38" s="2339"/>
      <c r="AP38" s="2339"/>
      <c r="AX38" s="2339"/>
      <c r="AY38" s="1818"/>
      <c r="AZ38" s="6"/>
    </row>
    <row r="39" spans="1:52" ht="12" customHeight="1" thickBot="1" x14ac:dyDescent="0.25">
      <c r="A39" s="3232"/>
      <c r="B39" s="1805"/>
      <c r="C39" s="3197"/>
      <c r="D39" s="3197"/>
      <c r="E39" s="3197"/>
      <c r="F39" s="3197"/>
      <c r="G39" s="3197"/>
      <c r="H39" s="3197"/>
      <c r="I39" s="3197"/>
      <c r="J39" s="31"/>
      <c r="K39" s="3197"/>
      <c r="L39" s="3197"/>
      <c r="M39" s="3197"/>
      <c r="N39" s="3197"/>
      <c r="O39" s="3197"/>
      <c r="P39" s="3197"/>
      <c r="Q39" s="3197"/>
      <c r="R39" s="1806"/>
      <c r="S39" s="4"/>
      <c r="T39" s="5"/>
      <c r="U39" s="8"/>
      <c r="V39" s="3186"/>
      <c r="W39" s="3186"/>
      <c r="X39" s="3186"/>
      <c r="Y39" s="3185"/>
      <c r="Z39" s="3185"/>
      <c r="AA39" s="3185"/>
      <c r="AB39" s="3185"/>
      <c r="AC39" s="3185"/>
      <c r="AD39" s="3185"/>
      <c r="AE39" s="3185"/>
      <c r="AF39" s="3185"/>
      <c r="AG39" s="3185"/>
      <c r="AH39" s="3185"/>
      <c r="AI39" s="3185"/>
      <c r="AJ39" s="3185"/>
      <c r="AK39" s="11"/>
      <c r="AL39" s="5"/>
      <c r="AM39" s="2339"/>
      <c r="AN39" s="2339"/>
      <c r="AP39" s="2339"/>
      <c r="AX39" s="2339"/>
      <c r="AY39" s="1818"/>
      <c r="AZ39" s="6"/>
    </row>
    <row r="40" spans="1:52" ht="12" customHeight="1" thickBot="1" x14ac:dyDescent="0.25">
      <c r="A40" s="3232"/>
      <c r="B40" s="1805"/>
      <c r="C40" s="3197"/>
      <c r="D40" s="3197"/>
      <c r="E40" s="3197"/>
      <c r="F40" s="3197"/>
      <c r="G40" s="3197"/>
      <c r="H40" s="3197"/>
      <c r="I40" s="3197"/>
      <c r="J40" s="31"/>
      <c r="K40" s="3197"/>
      <c r="L40" s="3197"/>
      <c r="M40" s="3197"/>
      <c r="N40" s="3197"/>
      <c r="O40" s="3197"/>
      <c r="P40" s="3197"/>
      <c r="Q40" s="3197"/>
      <c r="R40" s="1806"/>
      <c r="S40" s="4"/>
      <c r="T40" s="5"/>
      <c r="U40" s="8"/>
      <c r="V40" s="3186"/>
      <c r="W40" s="3186"/>
      <c r="X40" s="3186"/>
      <c r="Y40" s="3185"/>
      <c r="Z40" s="3185"/>
      <c r="AA40" s="3185"/>
      <c r="AB40" s="3185"/>
      <c r="AC40" s="3185"/>
      <c r="AD40" s="3185"/>
      <c r="AE40" s="3185"/>
      <c r="AF40" s="3185"/>
      <c r="AG40" s="3185"/>
      <c r="AH40" s="3185"/>
      <c r="AI40" s="3185"/>
      <c r="AJ40" s="3185"/>
      <c r="AK40" s="11"/>
      <c r="AL40" s="5"/>
      <c r="AM40" s="2339"/>
      <c r="AN40" s="2339"/>
      <c r="AP40" s="2339"/>
      <c r="AX40" s="2339"/>
      <c r="AY40" s="1818"/>
      <c r="AZ40" s="6"/>
    </row>
    <row r="41" spans="1:52" ht="12" customHeight="1" thickBot="1" x14ac:dyDescent="0.25">
      <c r="A41" s="3232"/>
      <c r="B41" s="1805"/>
      <c r="C41" s="3197"/>
      <c r="D41" s="3197"/>
      <c r="E41" s="3197"/>
      <c r="F41" s="3197"/>
      <c r="G41" s="3197"/>
      <c r="H41" s="3197"/>
      <c r="I41" s="3197"/>
      <c r="J41" s="31"/>
      <c r="K41" s="3197"/>
      <c r="L41" s="3197"/>
      <c r="M41" s="3197"/>
      <c r="N41" s="3197"/>
      <c r="O41" s="3197"/>
      <c r="P41" s="3197"/>
      <c r="Q41" s="3197"/>
      <c r="R41" s="1806"/>
      <c r="S41" s="4"/>
      <c r="T41" s="5"/>
      <c r="U41" s="8"/>
      <c r="V41" s="3186"/>
      <c r="W41" s="3186"/>
      <c r="X41" s="3186"/>
      <c r="Y41" s="3203"/>
      <c r="Z41" s="3203"/>
      <c r="AA41" s="3203"/>
      <c r="AB41" s="3203"/>
      <c r="AC41" s="3203"/>
      <c r="AD41" s="3203"/>
      <c r="AE41" s="3203"/>
      <c r="AF41" s="3203"/>
      <c r="AG41" s="3203"/>
      <c r="AH41" s="3203"/>
      <c r="AI41" s="3203"/>
      <c r="AJ41" s="3203"/>
      <c r="AK41" s="11"/>
      <c r="AL41" s="5"/>
      <c r="AM41" s="2339"/>
      <c r="AN41" s="2339"/>
      <c r="AP41" s="2339"/>
      <c r="AX41" s="2339"/>
      <c r="AY41" s="1818"/>
      <c r="AZ41" s="6"/>
    </row>
    <row r="42" spans="1:52" ht="12" customHeight="1" thickBot="1" x14ac:dyDescent="0.25">
      <c r="A42" s="3232"/>
      <c r="B42" s="1805"/>
      <c r="C42" s="3197"/>
      <c r="D42" s="3197"/>
      <c r="E42" s="3197"/>
      <c r="F42" s="3197"/>
      <c r="G42" s="3197"/>
      <c r="H42" s="3197"/>
      <c r="I42" s="3197"/>
      <c r="J42" s="7"/>
      <c r="K42" s="3197"/>
      <c r="L42" s="3197"/>
      <c r="M42" s="3197"/>
      <c r="N42" s="3197"/>
      <c r="O42" s="3197"/>
      <c r="P42" s="3197"/>
      <c r="Q42" s="3197"/>
      <c r="R42" s="1806"/>
      <c r="S42" s="4"/>
      <c r="T42" s="5"/>
      <c r="U42" s="8"/>
      <c r="V42" s="3186"/>
      <c r="W42" s="3186"/>
      <c r="X42" s="3186"/>
      <c r="Y42" s="3203"/>
      <c r="Z42" s="3203"/>
      <c r="AA42" s="3203"/>
      <c r="AB42" s="3203"/>
      <c r="AC42" s="3203"/>
      <c r="AD42" s="3203"/>
      <c r="AE42" s="3203"/>
      <c r="AF42" s="3203"/>
      <c r="AG42" s="3203"/>
      <c r="AH42" s="3203"/>
      <c r="AI42" s="3203"/>
      <c r="AJ42" s="3203"/>
      <c r="AK42" s="11"/>
      <c r="AL42" s="5"/>
      <c r="AM42" s="2339"/>
      <c r="AN42" s="2339"/>
      <c r="AP42" s="2339"/>
      <c r="AX42" s="2339"/>
      <c r="AY42" s="1818"/>
      <c r="AZ42" s="6"/>
    </row>
    <row r="43" spans="1:52" ht="12" customHeight="1" thickBot="1" x14ac:dyDescent="0.25">
      <c r="A43" s="3232"/>
      <c r="B43" s="1805"/>
      <c r="C43" s="3197"/>
      <c r="D43" s="3197"/>
      <c r="E43" s="3197"/>
      <c r="F43" s="3197"/>
      <c r="G43" s="3197"/>
      <c r="H43" s="3197"/>
      <c r="I43" s="3197"/>
      <c r="J43" s="7"/>
      <c r="K43" s="3197"/>
      <c r="L43" s="3197"/>
      <c r="M43" s="3197"/>
      <c r="N43" s="3197"/>
      <c r="O43" s="3197"/>
      <c r="P43" s="3197"/>
      <c r="Q43" s="3197"/>
      <c r="R43" s="1806"/>
      <c r="S43" s="4"/>
      <c r="T43" s="5"/>
      <c r="U43" s="8"/>
      <c r="V43" s="3204"/>
      <c r="W43" s="3204"/>
      <c r="X43" s="3204"/>
      <c r="Y43" s="3205"/>
      <c r="Z43" s="3205"/>
      <c r="AA43" s="3205"/>
      <c r="AB43" s="3205"/>
      <c r="AC43" s="3205"/>
      <c r="AD43" s="3205"/>
      <c r="AE43" s="3205"/>
      <c r="AF43" s="3205"/>
      <c r="AG43" s="3205"/>
      <c r="AH43" s="3205"/>
      <c r="AI43" s="3205"/>
      <c r="AJ43" s="3205"/>
      <c r="AK43" s="11"/>
      <c r="AL43" s="5"/>
      <c r="AM43" s="2339"/>
      <c r="AN43" s="2339"/>
      <c r="AP43" s="2339"/>
      <c r="AX43" s="2339"/>
      <c r="AY43" s="1818"/>
      <c r="AZ43" s="6"/>
    </row>
    <row r="44" spans="1:52" ht="12" customHeight="1" thickBot="1" x14ac:dyDescent="0.25">
      <c r="A44" s="3232"/>
      <c r="B44" s="1805"/>
      <c r="C44" s="7"/>
      <c r="D44" s="7"/>
      <c r="E44" s="7"/>
      <c r="F44" s="7"/>
      <c r="G44" s="7"/>
      <c r="H44" s="7"/>
      <c r="I44" s="7"/>
      <c r="J44" s="7"/>
      <c r="K44" s="3197"/>
      <c r="L44" s="3197"/>
      <c r="M44" s="3197"/>
      <c r="N44" s="3197"/>
      <c r="O44" s="3197"/>
      <c r="P44" s="3197"/>
      <c r="Q44" s="3197"/>
      <c r="R44" s="1806"/>
      <c r="S44" s="4"/>
      <c r="T44" s="5"/>
      <c r="U44" s="8"/>
      <c r="V44" s="3204"/>
      <c r="W44" s="3204"/>
      <c r="X44" s="3204"/>
      <c r="Y44" s="3205"/>
      <c r="Z44" s="3205"/>
      <c r="AA44" s="3205"/>
      <c r="AB44" s="3205"/>
      <c r="AC44" s="3205"/>
      <c r="AD44" s="3205"/>
      <c r="AE44" s="3205"/>
      <c r="AF44" s="3205"/>
      <c r="AG44" s="3205"/>
      <c r="AH44" s="3205"/>
      <c r="AI44" s="3205"/>
      <c r="AJ44" s="3205"/>
      <c r="AK44" s="11"/>
      <c r="AL44" s="5"/>
      <c r="AM44" s="2339"/>
      <c r="AN44" s="2339"/>
    </row>
    <row r="45" spans="1:52" ht="12" customHeight="1" thickBot="1" x14ac:dyDescent="0.25">
      <c r="A45" s="3232"/>
      <c r="B45" s="1805"/>
      <c r="C45" s="3172" t="s">
        <v>1650</v>
      </c>
      <c r="D45" s="3172"/>
      <c r="E45" s="3172"/>
      <c r="F45" s="3172"/>
      <c r="G45" s="3172"/>
      <c r="H45" s="3172"/>
      <c r="I45" s="3172"/>
      <c r="J45" s="7"/>
      <c r="K45" s="3197"/>
      <c r="L45" s="3197"/>
      <c r="M45" s="3197"/>
      <c r="N45" s="3197"/>
      <c r="O45" s="3197"/>
      <c r="P45" s="3197"/>
      <c r="Q45" s="3197"/>
      <c r="R45" s="1806"/>
      <c r="S45" s="4"/>
      <c r="T45" s="5"/>
      <c r="U45" s="8"/>
      <c r="AK45" s="11"/>
      <c r="AL45" s="5"/>
      <c r="AM45" s="2339"/>
      <c r="AN45" s="2339"/>
      <c r="AO45" s="2339"/>
      <c r="AW45" s="2339"/>
      <c r="AX45" s="413"/>
      <c r="AY45" s="1820"/>
    </row>
    <row r="46" spans="1:52" ht="12" customHeight="1" thickBot="1" x14ac:dyDescent="0.25">
      <c r="A46" s="3232"/>
      <c r="B46" s="1805"/>
      <c r="C46" s="3197"/>
      <c r="D46" s="3197"/>
      <c r="E46" s="3197"/>
      <c r="F46" s="3197"/>
      <c r="G46" s="3197"/>
      <c r="H46" s="3197"/>
      <c r="I46" s="3197"/>
      <c r="J46" s="7"/>
      <c r="K46" s="3197"/>
      <c r="L46" s="3197"/>
      <c r="M46" s="3197"/>
      <c r="N46" s="3197"/>
      <c r="O46" s="3197"/>
      <c r="P46" s="3197"/>
      <c r="Q46" s="3197"/>
      <c r="R46" s="1806"/>
      <c r="S46" s="4"/>
      <c r="T46" s="5"/>
      <c r="U46" s="8"/>
      <c r="V46" s="3188" t="s">
        <v>1651</v>
      </c>
      <c r="W46" s="3188"/>
      <c r="X46" s="3188"/>
      <c r="Y46" s="3188"/>
      <c r="Z46" s="3188"/>
      <c r="AA46" s="3188"/>
      <c r="AB46" s="3188"/>
      <c r="AD46" s="3188" t="s">
        <v>1652</v>
      </c>
      <c r="AE46" s="3188"/>
      <c r="AF46" s="3188"/>
      <c r="AG46" s="3188"/>
      <c r="AH46" s="3188"/>
      <c r="AI46" s="3188"/>
      <c r="AJ46" s="3188"/>
      <c r="AK46" s="11"/>
      <c r="AL46" s="5"/>
      <c r="AM46" s="2339"/>
      <c r="AN46" s="2339"/>
      <c r="AO46" s="2339"/>
      <c r="AW46" s="2339"/>
      <c r="AX46" s="2339"/>
      <c r="AY46" s="1818"/>
    </row>
    <row r="47" spans="1:52" ht="12" customHeight="1" thickBot="1" x14ac:dyDescent="0.25">
      <c r="A47" s="3232"/>
      <c r="B47" s="1805"/>
      <c r="C47" s="3197"/>
      <c r="D47" s="3197"/>
      <c r="E47" s="3197"/>
      <c r="F47" s="3197"/>
      <c r="G47" s="3197"/>
      <c r="H47" s="3197"/>
      <c r="I47" s="3197"/>
      <c r="J47" s="7"/>
      <c r="K47" s="3197"/>
      <c r="L47" s="3197"/>
      <c r="M47" s="3197"/>
      <c r="N47" s="3197"/>
      <c r="O47" s="3197"/>
      <c r="P47" s="3197"/>
      <c r="Q47" s="3197"/>
      <c r="R47" s="1806"/>
      <c r="S47" s="4"/>
      <c r="T47" s="5"/>
      <c r="U47" s="8"/>
      <c r="V47" s="3189"/>
      <c r="W47" s="3189"/>
      <c r="X47" s="3189"/>
      <c r="Y47" s="3189"/>
      <c r="Z47" s="3189"/>
      <c r="AA47" s="3189"/>
      <c r="AB47" s="3189"/>
      <c r="AD47" s="3189"/>
      <c r="AE47" s="3189"/>
      <c r="AF47" s="3189"/>
      <c r="AG47" s="3189"/>
      <c r="AH47" s="3189"/>
      <c r="AI47" s="3189"/>
      <c r="AJ47" s="3189"/>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232"/>
      <c r="B48" s="1805"/>
      <c r="C48" s="3197"/>
      <c r="D48" s="3197"/>
      <c r="E48" s="3197"/>
      <c r="F48" s="3197"/>
      <c r="G48" s="3197"/>
      <c r="H48" s="3197"/>
      <c r="I48" s="3197"/>
      <c r="J48" s="7"/>
      <c r="K48" s="3197"/>
      <c r="L48" s="3197"/>
      <c r="M48" s="3197"/>
      <c r="N48" s="3197"/>
      <c r="O48" s="3197"/>
      <c r="P48" s="3197"/>
      <c r="Q48" s="3197"/>
      <c r="R48" s="1806"/>
      <c r="S48" s="4"/>
      <c r="T48" s="5"/>
      <c r="U48" s="8"/>
      <c r="V48" s="3187"/>
      <c r="W48" s="3187"/>
      <c r="X48" s="3187"/>
      <c r="Y48" s="3187"/>
      <c r="Z48" s="3187"/>
      <c r="AA48" s="3187"/>
      <c r="AB48" s="3187"/>
      <c r="AD48" s="3187"/>
      <c r="AE48" s="3187"/>
      <c r="AF48" s="3187"/>
      <c r="AG48" s="3187"/>
      <c r="AH48" s="3187"/>
      <c r="AI48" s="3187"/>
      <c r="AJ48" s="3187"/>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232"/>
      <c r="B49" s="1805"/>
      <c r="C49" s="3197"/>
      <c r="D49" s="3197"/>
      <c r="E49" s="3197"/>
      <c r="F49" s="3197"/>
      <c r="G49" s="3197"/>
      <c r="H49" s="3197"/>
      <c r="I49" s="3197"/>
      <c r="J49" s="7"/>
      <c r="K49" s="3197"/>
      <c r="L49" s="3197"/>
      <c r="M49" s="3197"/>
      <c r="N49" s="3197"/>
      <c r="O49" s="3197"/>
      <c r="P49" s="3197"/>
      <c r="Q49" s="3197"/>
      <c r="R49" s="1806"/>
      <c r="S49" s="4"/>
      <c r="T49" s="5"/>
      <c r="U49" s="8"/>
      <c r="V49" s="3187"/>
      <c r="W49" s="3187"/>
      <c r="X49" s="3187"/>
      <c r="Y49" s="3187"/>
      <c r="Z49" s="3187"/>
      <c r="AA49" s="3187"/>
      <c r="AB49" s="3187"/>
      <c r="AD49" s="3187"/>
      <c r="AE49" s="3187"/>
      <c r="AF49" s="3187"/>
      <c r="AG49" s="3187"/>
      <c r="AH49" s="3187"/>
      <c r="AI49" s="3187"/>
      <c r="AJ49" s="3187"/>
      <c r="AK49" s="11"/>
      <c r="AL49" s="5"/>
      <c r="AM49" s="2339"/>
      <c r="AN49" s="2339"/>
      <c r="AO49" s="2339"/>
      <c r="AW49" s="2339"/>
      <c r="AX49" s="2339"/>
      <c r="AY49" s="1818"/>
    </row>
    <row r="50" spans="1:51" ht="12" customHeight="1" thickBot="1" x14ac:dyDescent="0.25">
      <c r="A50" s="3232"/>
      <c r="B50" s="1805"/>
      <c r="C50" s="3197"/>
      <c r="D50" s="3197"/>
      <c r="E50" s="3197"/>
      <c r="F50" s="3197"/>
      <c r="G50" s="3197"/>
      <c r="H50" s="3197"/>
      <c r="I50" s="3197"/>
      <c r="J50" s="7"/>
      <c r="K50" s="3197"/>
      <c r="L50" s="3197"/>
      <c r="M50" s="3197"/>
      <c r="N50" s="3197"/>
      <c r="O50" s="3197"/>
      <c r="P50" s="3197"/>
      <c r="Q50" s="3197"/>
      <c r="R50" s="1806"/>
      <c r="S50" s="4"/>
      <c r="T50" s="5"/>
      <c r="U50" s="8"/>
      <c r="V50" s="3187"/>
      <c r="W50" s="3187"/>
      <c r="X50" s="3187"/>
      <c r="Y50" s="3187"/>
      <c r="Z50" s="3187"/>
      <c r="AA50" s="3187"/>
      <c r="AB50" s="3187"/>
      <c r="AD50" s="3187"/>
      <c r="AE50" s="3187"/>
      <c r="AF50" s="3187"/>
      <c r="AG50" s="3187"/>
      <c r="AH50" s="3187"/>
      <c r="AI50" s="3187"/>
      <c r="AJ50" s="3187"/>
      <c r="AK50" s="11"/>
      <c r="AL50" s="5"/>
      <c r="AM50" s="2339"/>
      <c r="AN50" s="2339"/>
      <c r="AO50" s="2339"/>
      <c r="AW50" s="2339"/>
      <c r="AX50" s="2339"/>
      <c r="AY50" s="1818"/>
    </row>
    <row r="51" spans="1:51" ht="12" customHeight="1" thickBot="1" x14ac:dyDescent="0.25">
      <c r="A51" s="3232"/>
      <c r="B51" s="1805"/>
      <c r="C51" s="3197"/>
      <c r="D51" s="3197"/>
      <c r="E51" s="3197"/>
      <c r="F51" s="3197"/>
      <c r="G51" s="3197"/>
      <c r="H51" s="3197"/>
      <c r="I51" s="3197"/>
      <c r="J51" s="7"/>
      <c r="K51" s="3197"/>
      <c r="L51" s="3197"/>
      <c r="M51" s="3197"/>
      <c r="N51" s="3197"/>
      <c r="O51" s="3197"/>
      <c r="P51" s="3197"/>
      <c r="Q51" s="3197"/>
      <c r="R51" s="1806"/>
      <c r="S51" s="4"/>
      <c r="T51" s="5"/>
      <c r="U51" s="8"/>
      <c r="V51" s="3187"/>
      <c r="W51" s="3187"/>
      <c r="X51" s="3187"/>
      <c r="Y51" s="3187"/>
      <c r="Z51" s="3187"/>
      <c r="AA51" s="3187"/>
      <c r="AB51" s="3187"/>
      <c r="AD51" s="3187"/>
      <c r="AE51" s="3187"/>
      <c r="AF51" s="3187"/>
      <c r="AG51" s="3187"/>
      <c r="AH51" s="3187"/>
      <c r="AI51" s="3187"/>
      <c r="AJ51" s="3187"/>
      <c r="AK51" s="11"/>
      <c r="AL51" s="5"/>
      <c r="AM51" s="2339"/>
      <c r="AN51" s="2339"/>
      <c r="AO51" s="2339"/>
      <c r="AW51" s="2339"/>
      <c r="AX51" s="2339"/>
      <c r="AY51" s="1818"/>
    </row>
    <row r="52" spans="1:51" ht="12" customHeight="1" thickBot="1" x14ac:dyDescent="0.25">
      <c r="A52" s="3232"/>
      <c r="B52" s="1805"/>
      <c r="C52" s="3197"/>
      <c r="D52" s="3197"/>
      <c r="E52" s="3197"/>
      <c r="F52" s="3197"/>
      <c r="G52" s="3197"/>
      <c r="H52" s="3197"/>
      <c r="I52" s="3197"/>
      <c r="J52" s="7"/>
      <c r="K52" s="3197"/>
      <c r="L52" s="3197"/>
      <c r="M52" s="3197"/>
      <c r="N52" s="3197"/>
      <c r="O52" s="3197"/>
      <c r="P52" s="3197"/>
      <c r="Q52" s="3197"/>
      <c r="R52" s="1806"/>
      <c r="S52" s="4"/>
      <c r="T52" s="5"/>
      <c r="U52" s="8"/>
      <c r="V52" s="3187"/>
      <c r="W52" s="3187"/>
      <c r="X52" s="3187"/>
      <c r="Y52" s="3187"/>
      <c r="Z52" s="3187"/>
      <c r="AA52" s="3187"/>
      <c r="AB52" s="3187"/>
      <c r="AD52" s="3187"/>
      <c r="AE52" s="3187"/>
      <c r="AF52" s="3187"/>
      <c r="AG52" s="3187"/>
      <c r="AH52" s="3187"/>
      <c r="AI52" s="3187"/>
      <c r="AJ52" s="3187"/>
      <c r="AK52" s="11"/>
      <c r="AL52" s="5"/>
      <c r="AM52" s="2339"/>
      <c r="AN52" s="2339"/>
      <c r="AO52" s="2339"/>
      <c r="AW52" s="2339"/>
      <c r="AX52" s="2339"/>
      <c r="AY52" s="1818"/>
    </row>
    <row r="53" spans="1:51" ht="12" customHeight="1" thickBot="1" x14ac:dyDescent="0.25">
      <c r="A53" s="3232"/>
      <c r="B53" s="1805"/>
      <c r="C53" s="3197"/>
      <c r="D53" s="3197"/>
      <c r="E53" s="3197"/>
      <c r="F53" s="3197"/>
      <c r="G53" s="3197"/>
      <c r="H53" s="3197"/>
      <c r="I53" s="3197"/>
      <c r="J53" s="7"/>
      <c r="K53" s="3197"/>
      <c r="L53" s="3197"/>
      <c r="M53" s="3197"/>
      <c r="N53" s="3197"/>
      <c r="O53" s="3197"/>
      <c r="P53" s="3197"/>
      <c r="Q53" s="3197"/>
      <c r="R53" s="1806"/>
      <c r="S53" s="4"/>
      <c r="T53" s="5"/>
      <c r="U53" s="8"/>
      <c r="V53" s="3187"/>
      <c r="W53" s="3187"/>
      <c r="X53" s="3187"/>
      <c r="Y53" s="3187"/>
      <c r="Z53" s="3187"/>
      <c r="AA53" s="3187"/>
      <c r="AB53" s="3187"/>
      <c r="AD53" s="3187"/>
      <c r="AE53" s="3187"/>
      <c r="AF53" s="3187"/>
      <c r="AG53" s="3187"/>
      <c r="AH53" s="3187"/>
      <c r="AI53" s="3187"/>
      <c r="AJ53" s="3187"/>
      <c r="AK53" s="11"/>
      <c r="AL53" s="5"/>
      <c r="AM53" s="2339"/>
      <c r="AN53" s="2339"/>
      <c r="AO53" s="2339"/>
      <c r="AW53" s="2339"/>
      <c r="AX53" s="2339"/>
      <c r="AY53" s="1818"/>
    </row>
    <row r="54" spans="1:51" ht="12" customHeight="1" thickBot="1" x14ac:dyDescent="0.25">
      <c r="A54" s="3232"/>
      <c r="B54" s="1805"/>
      <c r="C54" s="7"/>
      <c r="D54" s="7"/>
      <c r="E54" s="7"/>
      <c r="F54" s="7"/>
      <c r="G54" s="7"/>
      <c r="H54" s="7"/>
      <c r="I54" s="7"/>
      <c r="J54" s="7"/>
      <c r="K54" s="3197"/>
      <c r="L54" s="3197"/>
      <c r="M54" s="3197"/>
      <c r="N54" s="3197"/>
      <c r="O54" s="3197"/>
      <c r="P54" s="3197"/>
      <c r="Q54" s="3197"/>
      <c r="R54" s="1806"/>
      <c r="S54" s="4"/>
      <c r="T54" s="5"/>
      <c r="U54" s="8"/>
      <c r="V54" s="3187"/>
      <c r="W54" s="3187"/>
      <c r="X54" s="3187"/>
      <c r="Y54" s="3187"/>
      <c r="Z54" s="3187"/>
      <c r="AA54" s="3187"/>
      <c r="AB54" s="3187"/>
      <c r="AD54" s="3187"/>
      <c r="AE54" s="3187"/>
      <c r="AF54" s="3187"/>
      <c r="AG54" s="3187"/>
      <c r="AH54" s="3187"/>
      <c r="AI54" s="3187"/>
      <c r="AJ54" s="3187"/>
      <c r="AK54" s="11"/>
      <c r="AL54" s="5"/>
      <c r="AM54" s="2339"/>
      <c r="AN54" s="2339"/>
      <c r="AO54" s="2339"/>
      <c r="AW54" s="2339"/>
      <c r="AX54" s="2339"/>
      <c r="AY54" s="1818"/>
    </row>
    <row r="55" spans="1:51" ht="12" customHeight="1" thickBot="1" x14ac:dyDescent="0.25">
      <c r="A55" s="3232"/>
      <c r="B55" s="1805"/>
      <c r="C55" s="3172" t="s">
        <v>1653</v>
      </c>
      <c r="D55" s="3172"/>
      <c r="E55" s="3172"/>
      <c r="F55" s="3172"/>
      <c r="G55" s="3172"/>
      <c r="H55" s="3172"/>
      <c r="I55" s="3172"/>
      <c r="J55" s="7"/>
      <c r="K55" s="3197"/>
      <c r="L55" s="3197"/>
      <c r="M55" s="3197"/>
      <c r="N55" s="3197"/>
      <c r="O55" s="3197"/>
      <c r="P55" s="3197"/>
      <c r="Q55" s="3197"/>
      <c r="R55" s="1806"/>
      <c r="S55" s="4"/>
      <c r="T55" s="5"/>
      <c r="U55" s="8"/>
      <c r="V55" s="3193"/>
      <c r="W55" s="3193"/>
      <c r="X55" s="3193"/>
      <c r="Y55" s="3193"/>
      <c r="Z55" s="3193"/>
      <c r="AA55" s="3193"/>
      <c r="AB55" s="3193"/>
      <c r="AD55" s="3193"/>
      <c r="AE55" s="3193"/>
      <c r="AF55" s="3193"/>
      <c r="AG55" s="3193"/>
      <c r="AH55" s="3193"/>
      <c r="AI55" s="3193"/>
      <c r="AJ55" s="3193"/>
      <c r="AK55" s="11"/>
      <c r="AL55" s="5"/>
      <c r="AM55" s="2339"/>
      <c r="AN55" s="2339"/>
      <c r="AO55" s="2339"/>
      <c r="AW55" s="2339"/>
      <c r="AX55" s="2339"/>
      <c r="AY55" s="1818"/>
    </row>
    <row r="56" spans="1:51" ht="12" customHeight="1" thickBot="1" x14ac:dyDescent="0.25">
      <c r="A56" s="3232"/>
      <c r="B56" s="1805"/>
      <c r="C56" s="3197"/>
      <c r="D56" s="3197"/>
      <c r="E56" s="3197"/>
      <c r="F56" s="3197"/>
      <c r="G56" s="3197"/>
      <c r="H56" s="3197"/>
      <c r="I56" s="3197"/>
      <c r="J56" s="7"/>
      <c r="K56" s="3197"/>
      <c r="L56" s="3197"/>
      <c r="M56" s="3197"/>
      <c r="N56" s="3197"/>
      <c r="O56" s="3197"/>
      <c r="P56" s="3197"/>
      <c r="Q56" s="3197"/>
      <c r="R56" s="1806"/>
      <c r="S56" s="4"/>
      <c r="T56" s="5"/>
      <c r="U56" s="8"/>
      <c r="AK56" s="11"/>
      <c r="AL56" s="5"/>
      <c r="AM56" s="2339"/>
      <c r="AN56" s="2339"/>
      <c r="AO56" s="2339"/>
      <c r="AW56" s="2339"/>
      <c r="AX56" s="2339"/>
      <c r="AY56" s="1818"/>
    </row>
    <row r="57" spans="1:51" ht="12" customHeight="1" thickBot="1" x14ac:dyDescent="0.25">
      <c r="A57" s="3232"/>
      <c r="B57" s="1805"/>
      <c r="C57" s="3197"/>
      <c r="D57" s="3197"/>
      <c r="E57" s="3197"/>
      <c r="F57" s="3197"/>
      <c r="G57" s="3197"/>
      <c r="H57" s="3197"/>
      <c r="I57" s="3197"/>
      <c r="J57" s="7"/>
      <c r="K57" s="3197"/>
      <c r="L57" s="3197"/>
      <c r="M57" s="3197"/>
      <c r="N57" s="3197"/>
      <c r="O57" s="3197"/>
      <c r="P57" s="3197"/>
      <c r="Q57" s="3197"/>
      <c r="R57" s="1806"/>
      <c r="S57" s="4"/>
      <c r="T57" s="5"/>
      <c r="U57" s="8"/>
      <c r="V57" s="3172" t="s">
        <v>1654</v>
      </c>
      <c r="W57" s="3172"/>
      <c r="X57" s="3172"/>
      <c r="Y57" s="3172"/>
      <c r="Z57" s="3172"/>
      <c r="AA57" s="3172"/>
      <c r="AB57" s="3172"/>
      <c r="AD57" s="3194" t="s">
        <v>1655</v>
      </c>
      <c r="AE57" s="3194"/>
      <c r="AF57" s="3194"/>
      <c r="AG57" s="3194"/>
      <c r="AH57" s="3194"/>
      <c r="AI57" s="3195" t="str">
        <f>VLOOKUP(AD59,Tabla_Fama,2)</f>
        <v>Desconocido</v>
      </c>
      <c r="AJ57" s="3195"/>
      <c r="AK57" s="11"/>
      <c r="AL57" s="5"/>
      <c r="AM57" s="2339"/>
      <c r="AQ57" s="2339"/>
      <c r="AR57" s="2339"/>
      <c r="AS57" s="2339"/>
      <c r="AT57" s="2339"/>
      <c r="AU57" s="2339"/>
      <c r="AV57" s="2339"/>
      <c r="AW57" s="2339"/>
      <c r="AX57" s="2339"/>
      <c r="AY57" s="1818"/>
    </row>
    <row r="58" spans="1:51" ht="12" customHeight="1" thickBot="1" x14ac:dyDescent="0.25">
      <c r="A58" s="3232"/>
      <c r="B58" s="1805"/>
      <c r="C58" s="3197"/>
      <c r="D58" s="3197"/>
      <c r="E58" s="3197"/>
      <c r="F58" s="3197"/>
      <c r="G58" s="3197"/>
      <c r="H58" s="3197"/>
      <c r="I58" s="3197"/>
      <c r="J58" s="7"/>
      <c r="K58" s="3197"/>
      <c r="L58" s="3197"/>
      <c r="M58" s="3197"/>
      <c r="N58" s="3197"/>
      <c r="O58" s="3197"/>
      <c r="P58" s="3197"/>
      <c r="Q58" s="3197"/>
      <c r="R58" s="1806"/>
      <c r="S58" s="4"/>
      <c r="T58" s="5"/>
      <c r="U58" s="8"/>
      <c r="V58" s="3190" t="s">
        <v>1656</v>
      </c>
      <c r="W58" s="3190"/>
      <c r="X58" s="3190"/>
      <c r="Y58" s="3190"/>
      <c r="Z58" s="3191" t="s">
        <v>1657</v>
      </c>
      <c r="AA58" s="3191"/>
      <c r="AB58" s="3191"/>
      <c r="AD58" s="32" t="s">
        <v>1658</v>
      </c>
      <c r="AE58" s="3192" t="s">
        <v>1659</v>
      </c>
      <c r="AF58" s="3192"/>
      <c r="AG58" s="33"/>
      <c r="AH58" s="3192" t="s">
        <v>1660</v>
      </c>
      <c r="AI58" s="3192"/>
      <c r="AJ58" s="34"/>
      <c r="AK58" s="11"/>
      <c r="AL58" s="5"/>
    </row>
    <row r="59" spans="1:51" ht="12" customHeight="1" thickBot="1" x14ac:dyDescent="0.25">
      <c r="A59" s="3232"/>
      <c r="B59" s="1805"/>
      <c r="C59" s="3197"/>
      <c r="D59" s="3197"/>
      <c r="E59" s="3197"/>
      <c r="F59" s="3197"/>
      <c r="G59" s="3197"/>
      <c r="H59" s="3197"/>
      <c r="I59" s="3197"/>
      <c r="J59" s="7"/>
      <c r="K59" s="3197"/>
      <c r="L59" s="3197"/>
      <c r="M59" s="3197"/>
      <c r="N59" s="3197"/>
      <c r="O59" s="3197"/>
      <c r="P59" s="3197"/>
      <c r="Q59" s="3197"/>
      <c r="R59" s="1806"/>
      <c r="S59" s="4"/>
      <c r="T59" s="5"/>
      <c r="U59" s="8"/>
      <c r="V59" s="3170" t="s">
        <v>1661</v>
      </c>
      <c r="W59" s="3171"/>
      <c r="X59" s="3171"/>
      <c r="Y59" s="3171"/>
      <c r="Z59" s="3179"/>
      <c r="AA59" s="3179"/>
      <c r="AB59" s="3179"/>
      <c r="AD59" s="3180">
        <f>MAX(AG58+AG60+AJ59+AJ58+AG59,IF(Tablas!$G$478&gt;0,40,IF(Tablas!$G$479&gt;0,65)))</f>
        <v>0</v>
      </c>
      <c r="AE59" s="3181" t="s">
        <v>1662</v>
      </c>
      <c r="AF59" s="3181"/>
      <c r="AG59" s="35"/>
      <c r="AH59" s="3182" t="s">
        <v>1663</v>
      </c>
      <c r="AI59" s="3182"/>
      <c r="AJ59" s="36"/>
      <c r="AK59" s="11"/>
      <c r="AL59" s="5"/>
    </row>
    <row r="60" spans="1:51" ht="12" customHeight="1" thickBot="1" x14ac:dyDescent="0.25">
      <c r="A60" s="3232"/>
      <c r="B60" s="1805"/>
      <c r="C60" s="3197"/>
      <c r="D60" s="3197"/>
      <c r="E60" s="3197"/>
      <c r="F60" s="3197"/>
      <c r="G60" s="3197"/>
      <c r="H60" s="3197"/>
      <c r="I60" s="3197"/>
      <c r="J60" s="7"/>
      <c r="K60" s="3197"/>
      <c r="L60" s="3197"/>
      <c r="M60" s="3197"/>
      <c r="N60" s="3197"/>
      <c r="O60" s="3197"/>
      <c r="P60" s="3197"/>
      <c r="Q60" s="3197"/>
      <c r="R60" s="1806"/>
      <c r="S60" s="4"/>
      <c r="T60" s="5"/>
      <c r="U60" s="8"/>
      <c r="V60" s="3170"/>
      <c r="W60" s="3171"/>
      <c r="X60" s="3171"/>
      <c r="Y60" s="3171"/>
      <c r="Z60" s="3179"/>
      <c r="AA60" s="3179"/>
      <c r="AB60" s="3179"/>
      <c r="AD60" s="3180"/>
      <c r="AE60" s="3183" t="s">
        <v>1664</v>
      </c>
      <c r="AF60" s="3183"/>
      <c r="AG60" s="37"/>
      <c r="AH60" s="3184" t="s">
        <v>1665</v>
      </c>
      <c r="AI60" s="3184"/>
      <c r="AJ60" s="38">
        <f>VLOOKUP(AD59,Tabla_Fama,3)</f>
        <v>0</v>
      </c>
      <c r="AK60" s="11"/>
      <c r="AL60" s="5"/>
    </row>
    <row r="61" spans="1:51" ht="12" customHeight="1" thickBot="1" x14ac:dyDescent="0.25">
      <c r="A61" s="3232"/>
      <c r="B61" s="1805"/>
      <c r="C61" s="3197"/>
      <c r="D61" s="3197"/>
      <c r="E61" s="3197"/>
      <c r="F61" s="3197"/>
      <c r="G61" s="3197"/>
      <c r="H61" s="3197"/>
      <c r="I61" s="3197"/>
      <c r="J61" s="7"/>
      <c r="K61" s="3197"/>
      <c r="L61" s="3197"/>
      <c r="M61" s="3197"/>
      <c r="N61" s="3197"/>
      <c r="O61" s="3197"/>
      <c r="P61" s="3197"/>
      <c r="Q61" s="3197"/>
      <c r="R61" s="1806"/>
      <c r="S61" s="4"/>
      <c r="T61" s="5"/>
      <c r="U61" s="8"/>
      <c r="V61" s="3170" t="s">
        <v>1666</v>
      </c>
      <c r="W61" s="3171"/>
      <c r="X61" s="3171"/>
      <c r="Y61" s="3171"/>
      <c r="Z61" s="3179"/>
      <c r="AA61" s="3179"/>
      <c r="AB61" s="3179"/>
      <c r="AK61" s="11"/>
      <c r="AL61" s="5"/>
    </row>
    <row r="62" spans="1:51" ht="12" customHeight="1" thickBot="1" x14ac:dyDescent="0.25">
      <c r="A62" s="3232"/>
      <c r="B62" s="1805"/>
      <c r="C62" s="3197"/>
      <c r="D62" s="3197"/>
      <c r="E62" s="3197"/>
      <c r="F62" s="3197"/>
      <c r="G62" s="3197"/>
      <c r="H62" s="3197"/>
      <c r="I62" s="3197"/>
      <c r="J62" s="7"/>
      <c r="K62" s="3197"/>
      <c r="L62" s="3197"/>
      <c r="M62" s="3197"/>
      <c r="N62" s="3197"/>
      <c r="O62" s="3197"/>
      <c r="P62" s="3197"/>
      <c r="Q62" s="3197"/>
      <c r="R62" s="1806"/>
      <c r="S62" s="4"/>
      <c r="T62" s="5"/>
      <c r="U62" s="8"/>
      <c r="V62" s="3170"/>
      <c r="W62" s="3171"/>
      <c r="X62" s="3171"/>
      <c r="Y62" s="3171"/>
      <c r="Z62" s="3179"/>
      <c r="AA62" s="3179"/>
      <c r="AB62" s="3179"/>
      <c r="AD62" s="3172" t="s">
        <v>1667</v>
      </c>
      <c r="AE62" s="3172"/>
      <c r="AF62" s="3172"/>
      <c r="AG62" s="3172"/>
      <c r="AH62" s="3172"/>
      <c r="AI62" s="3172"/>
      <c r="AJ62" s="3172"/>
      <c r="AK62" s="11"/>
      <c r="AL62" s="5"/>
    </row>
    <row r="63" spans="1:51" ht="12" customHeight="1" thickBot="1" x14ac:dyDescent="0.25">
      <c r="A63" s="3232"/>
      <c r="B63" s="1805"/>
      <c r="C63" s="3197"/>
      <c r="D63" s="3197"/>
      <c r="E63" s="3197"/>
      <c r="F63" s="3197"/>
      <c r="G63" s="3197"/>
      <c r="H63" s="3197"/>
      <c r="I63" s="3197"/>
      <c r="J63" s="7"/>
      <c r="K63" s="3197"/>
      <c r="L63" s="3197"/>
      <c r="M63" s="3197"/>
      <c r="N63" s="3197"/>
      <c r="O63" s="3197"/>
      <c r="P63" s="3197"/>
      <c r="Q63" s="3197"/>
      <c r="R63" s="1806"/>
      <c r="S63" s="4"/>
      <c r="T63" s="5"/>
      <c r="U63" s="8"/>
      <c r="V63" s="3173" t="s">
        <v>1668</v>
      </c>
      <c r="W63" s="3174"/>
      <c r="X63" s="3174"/>
      <c r="Y63" s="3174"/>
      <c r="Z63" s="3179"/>
      <c r="AA63" s="3179"/>
      <c r="AB63" s="3179"/>
      <c r="AD63" s="3175" t="s">
        <v>1669</v>
      </c>
      <c r="AE63" s="3175"/>
      <c r="AF63" s="3175"/>
      <c r="AG63" s="39">
        <f>IF(INT+POD+VOL=0,0,VLOOKUP(INT+POD+VOL,Tabla_Cordura,3))</f>
        <v>0</v>
      </c>
      <c r="AH63" s="3176">
        <f>IF(INT+POD+VOL=0,0,VLOOKUP(INT+POD+VOL,Tabla_Cordura,2))</f>
        <v>0</v>
      </c>
      <c r="AI63" s="3177"/>
      <c r="AJ63" s="3177"/>
      <c r="AK63" s="11"/>
      <c r="AL63" s="5"/>
    </row>
    <row r="64" spans="1:51" ht="12" customHeight="1" thickBot="1" x14ac:dyDescent="0.25">
      <c r="A64" s="3232"/>
      <c r="B64" s="1805"/>
      <c r="C64" s="7"/>
      <c r="D64" s="7"/>
      <c r="E64" s="7"/>
      <c r="F64" s="7"/>
      <c r="G64" s="7"/>
      <c r="H64" s="7"/>
      <c r="I64" s="7"/>
      <c r="J64" s="7"/>
      <c r="K64" s="7"/>
      <c r="L64" s="7"/>
      <c r="M64" s="7"/>
      <c r="N64" s="7"/>
      <c r="O64" s="7"/>
      <c r="P64" s="7"/>
      <c r="Q64" s="7"/>
      <c r="R64" s="1806"/>
      <c r="S64" s="4"/>
      <c r="T64" s="5"/>
      <c r="U64" s="8"/>
      <c r="V64" s="3173"/>
      <c r="W64" s="3174"/>
      <c r="X64" s="3174"/>
      <c r="Y64" s="3174"/>
      <c r="Z64" s="3179"/>
      <c r="AA64" s="3179"/>
      <c r="AB64" s="3179"/>
      <c r="AD64" s="3178"/>
      <c r="AE64" s="3178"/>
      <c r="AF64" s="3178"/>
      <c r="AG64" s="3178"/>
      <c r="AH64" s="3176"/>
      <c r="AI64" s="3177"/>
      <c r="AJ64" s="3177"/>
      <c r="AK64" s="11"/>
      <c r="AL64" s="5"/>
    </row>
    <row r="65" spans="1:38" ht="12" customHeight="1" thickBot="1" x14ac:dyDescent="0.25">
      <c r="A65" s="3232"/>
      <c r="B65" s="3249"/>
      <c r="C65" s="3250"/>
      <c r="D65" s="3250"/>
      <c r="E65" s="3250"/>
      <c r="F65" s="3250"/>
      <c r="G65" s="3250"/>
      <c r="H65" s="3250"/>
      <c r="I65" s="3250"/>
      <c r="J65" s="3250"/>
      <c r="K65" s="3250"/>
      <c r="L65" s="3250"/>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8" sqref="E11:E18"/>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1707" customWidth="1"/>
    <col min="39" max="39" width="3.7109375" style="2715" customWidth="1"/>
    <col min="40" max="40" width="10.7109375" style="1900" customWidth="1"/>
    <col min="41" max="43" width="3.7109375" style="1900" customWidth="1"/>
    <col min="44" max="48" width="3.7109375" style="1707" customWidth="1"/>
    <col min="49"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1812"/>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1812"/>
    </row>
    <row r="3" spans="1:46" ht="12" customHeight="1" thickBot="1" x14ac:dyDescent="0.25">
      <c r="A3" s="45"/>
      <c r="B3" s="1498"/>
      <c r="C3" s="3165"/>
      <c r="D3" s="3165"/>
      <c r="E3" s="3165"/>
      <c r="F3" s="3165"/>
      <c r="G3" s="3165"/>
      <c r="H3" s="3165"/>
      <c r="I3" s="48"/>
      <c r="J3" s="48"/>
      <c r="K3" s="1784"/>
      <c r="L3" s="48"/>
      <c r="M3" s="48"/>
      <c r="N3" s="48"/>
      <c r="O3" s="48"/>
      <c r="P3" s="48"/>
      <c r="Q3" s="49"/>
      <c r="R3" s="1794"/>
      <c r="S3" s="2689" t="s">
        <v>9995</v>
      </c>
      <c r="T3" s="2688">
        <f>Tablas!J1200</f>
        <v>10</v>
      </c>
      <c r="U3" s="2719"/>
      <c r="V3" s="3213"/>
      <c r="W3" s="3213"/>
      <c r="X3" s="3213"/>
      <c r="Y3" s="3213"/>
      <c r="Z3" s="3213"/>
      <c r="AA3" s="3213"/>
      <c r="AB3" s="9"/>
      <c r="AC3" s="9"/>
      <c r="AD3" s="9"/>
      <c r="AE3" s="9"/>
      <c r="AF3" s="9"/>
      <c r="AG3" s="9"/>
      <c r="AH3" s="9"/>
      <c r="AI3" s="9"/>
      <c r="AJ3" s="10"/>
      <c r="AK3" s="3017"/>
      <c r="AL3" s="1812"/>
      <c r="AM3" s="3101"/>
      <c r="AN3" s="3107"/>
      <c r="AO3" s="3107"/>
      <c r="AP3" s="3107"/>
      <c r="AQ3" s="3107"/>
    </row>
    <row r="4" spans="1:46" ht="12" customHeight="1" thickBot="1" x14ac:dyDescent="0.25">
      <c r="A4" s="45"/>
      <c r="B4" s="2385"/>
      <c r="C4" s="3165"/>
      <c r="D4" s="3165"/>
      <c r="E4" s="3165"/>
      <c r="F4" s="3165"/>
      <c r="G4" s="3165"/>
      <c r="H4" s="3165"/>
      <c r="I4" s="52"/>
      <c r="J4" s="3167" t="s">
        <v>1625</v>
      </c>
      <c r="K4" s="3167"/>
      <c r="L4" s="3168" t="str">
        <f>IF(OR(General!$G$22="",General!$G$22=0),"",General!$G$22)</f>
        <v/>
      </c>
      <c r="M4" s="3168"/>
      <c r="N4" s="3168"/>
      <c r="O4" s="3168"/>
      <c r="P4" s="3168"/>
      <c r="Q4" s="13"/>
      <c r="R4" s="2390"/>
      <c r="S4" s="2682"/>
      <c r="T4" s="2683"/>
      <c r="U4" s="2719"/>
      <c r="V4" s="3213"/>
      <c r="W4" s="3213"/>
      <c r="X4" s="3213"/>
      <c r="Y4" s="3213"/>
      <c r="Z4" s="3213"/>
      <c r="AA4" s="3213"/>
      <c r="AB4" s="12"/>
      <c r="AC4" s="3167" t="s">
        <v>1625</v>
      </c>
      <c r="AD4" s="3167"/>
      <c r="AE4" s="3168" t="str">
        <f>IF(OR(General!$G$22="",General!$G$22=0),"",General!$G$22)</f>
        <v/>
      </c>
      <c r="AF4" s="3168"/>
      <c r="AG4" s="3168"/>
      <c r="AH4" s="3168"/>
      <c r="AI4" s="3168"/>
      <c r="AJ4" s="13"/>
      <c r="AK4" s="3017"/>
      <c r="AL4" s="1812"/>
      <c r="AM4" s="3099"/>
      <c r="AN4" s="3107"/>
      <c r="AO4" s="3107"/>
      <c r="AP4" s="3107"/>
      <c r="AQ4" s="3107"/>
    </row>
    <row r="5" spans="1:46" ht="12" customHeight="1" thickBot="1" x14ac:dyDescent="0.25">
      <c r="A5" s="45"/>
      <c r="B5" s="2385"/>
      <c r="C5" s="3165"/>
      <c r="D5" s="3165"/>
      <c r="E5" s="3165"/>
      <c r="F5" s="3165"/>
      <c r="G5" s="3165"/>
      <c r="H5" s="3165"/>
      <c r="I5" s="52"/>
      <c r="J5" s="3210" t="s">
        <v>1626</v>
      </c>
      <c r="K5" s="3210"/>
      <c r="L5" s="3211" t="str">
        <f>IF(PDs!P13=0,IF(PDs!P11=0,IF(PDs!P9=0,IF(PDs!P7=0,IF(PDs!P5=0,"",PDs!P5),PDs!P7),PDs!P9),PDs!P11),PDs!P13)</f>
        <v/>
      </c>
      <c r="M5" s="3211"/>
      <c r="N5" s="3211"/>
      <c r="O5" s="54" t="s">
        <v>1627</v>
      </c>
      <c r="P5" s="15" t="str">
        <f>PDs!R15&amp;IF(Principal!AA27=0,""," + "&amp;Principal!AA27)</f>
        <v>0</v>
      </c>
      <c r="Q5" s="55"/>
      <c r="R5" s="1794"/>
      <c r="S5" s="2682"/>
      <c r="T5" s="2683"/>
      <c r="U5" s="2719"/>
      <c r="V5" s="3213"/>
      <c r="W5" s="3213"/>
      <c r="X5" s="3213"/>
      <c r="Y5" s="3213"/>
      <c r="Z5" s="3213"/>
      <c r="AA5" s="3213"/>
      <c r="AB5" s="12"/>
      <c r="AC5" s="3210" t="s">
        <v>1626</v>
      </c>
      <c r="AD5" s="3210"/>
      <c r="AE5" s="3211" t="str">
        <f>$L$5</f>
        <v/>
      </c>
      <c r="AF5" s="3211"/>
      <c r="AG5" s="3211"/>
      <c r="AH5" s="14" t="s">
        <v>1627</v>
      </c>
      <c r="AI5" s="15" t="str">
        <f>$P$5</f>
        <v>0</v>
      </c>
      <c r="AJ5" s="16"/>
      <c r="AK5" s="3017"/>
      <c r="AL5" s="1812"/>
      <c r="AM5" s="3099"/>
      <c r="AN5" s="3107"/>
      <c r="AO5" s="3107"/>
      <c r="AP5" s="3107"/>
      <c r="AQ5" s="3107"/>
    </row>
    <row r="6" spans="1:46" ht="12" customHeight="1" thickBot="1" x14ac:dyDescent="0.25">
      <c r="A6" s="45"/>
      <c r="B6" s="2385"/>
      <c r="C6" s="3165"/>
      <c r="D6" s="3165"/>
      <c r="E6" s="3165"/>
      <c r="F6" s="3165"/>
      <c r="G6" s="3165"/>
      <c r="H6" s="3165"/>
      <c r="I6" s="52"/>
      <c r="J6" s="3210" t="s">
        <v>1670</v>
      </c>
      <c r="K6" s="3210"/>
      <c r="L6" s="2528">
        <f>MIN(IF(Raza="Criatura",99,IF(Raza="Jayán",24,22)),AS21)</f>
        <v>1</v>
      </c>
      <c r="M6" s="3211" t="str">
        <f>IF(Raza="Criatura",VLOOKUP($L$6,Tablas!V47:W54,2),IF(AND(Raza="Jayán",Tamaño&gt;22),"Grande","Medio"))</f>
        <v>Medio</v>
      </c>
      <c r="N6" s="3211"/>
      <c r="O6" s="56"/>
      <c r="P6" s="56"/>
      <c r="Q6" s="55"/>
      <c r="R6" s="1794"/>
      <c r="S6" s="2682"/>
      <c r="T6" s="2683"/>
      <c r="U6" s="2719"/>
      <c r="V6" s="3213"/>
      <c r="W6" s="3213"/>
      <c r="X6" s="3213"/>
      <c r="Y6" s="3213"/>
      <c r="Z6" s="3213"/>
      <c r="AA6" s="3213"/>
      <c r="AB6" s="12"/>
      <c r="AC6" s="3212" t="s">
        <v>1671</v>
      </c>
      <c r="AD6" s="3212"/>
      <c r="AE6" s="3212"/>
      <c r="AF6" s="3212"/>
      <c r="AG6" s="3212"/>
      <c r="AH6" s="3212"/>
      <c r="AI6" s="3212"/>
      <c r="AJ6" s="16"/>
      <c r="AK6" s="3017"/>
      <c r="AL6" s="1812"/>
      <c r="AM6" s="3101"/>
      <c r="AN6" s="3107"/>
      <c r="AO6" s="3107"/>
      <c r="AP6" s="3108"/>
      <c r="AQ6" s="3108"/>
    </row>
    <row r="7" spans="1:46" ht="12" customHeight="1" thickBot="1" x14ac:dyDescent="0.25">
      <c r="A7" s="45"/>
      <c r="B7" s="2385"/>
      <c r="C7" s="3165"/>
      <c r="D7" s="3165"/>
      <c r="E7" s="3165"/>
      <c r="F7" s="3165"/>
      <c r="G7" s="3165"/>
      <c r="H7" s="3165"/>
      <c r="I7" s="52"/>
      <c r="J7" s="2532" t="s">
        <v>1672</v>
      </c>
      <c r="K7" s="3211" t="str">
        <f>TipoDeCriatura&amp;IF(AND(TipoDeCriatura="Natural",NOT(Raza=0)),", "&amp;Raza&amp;" ","")&amp;IF(Nephilim="",""," ("&amp;Nephilim&amp;")")&amp;" "&amp;Principal!AB13</f>
        <v xml:space="preserve"> 10</v>
      </c>
      <c r="L7" s="3211"/>
      <c r="M7" s="3211"/>
      <c r="N7" s="3211"/>
      <c r="O7" s="3211"/>
      <c r="P7" s="3211"/>
      <c r="Q7" s="55"/>
      <c r="R7" s="1794"/>
      <c r="S7" s="2682"/>
      <c r="T7" s="2683"/>
      <c r="U7" s="2719"/>
      <c r="V7" s="3213"/>
      <c r="W7" s="3213"/>
      <c r="X7" s="3213"/>
      <c r="Y7" s="3213"/>
      <c r="Z7" s="3213"/>
      <c r="AA7" s="3213"/>
      <c r="AB7" s="12"/>
      <c r="AC7" s="3212"/>
      <c r="AD7" s="3212"/>
      <c r="AE7" s="3212"/>
      <c r="AF7" s="3212"/>
      <c r="AG7" s="3212"/>
      <c r="AH7" s="3212"/>
      <c r="AI7" s="3212"/>
      <c r="AJ7" s="16"/>
      <c r="AK7" s="3017"/>
      <c r="AL7" s="1812"/>
      <c r="AM7" s="3101"/>
      <c r="AN7" s="3107"/>
      <c r="AO7" s="3107"/>
      <c r="AP7" s="3107"/>
      <c r="AQ7" s="3107"/>
    </row>
    <row r="8" spans="1:46" ht="12" customHeight="1" thickBot="1" x14ac:dyDescent="0.25">
      <c r="A8" s="45"/>
      <c r="B8" s="2385"/>
      <c r="C8" s="3165"/>
      <c r="D8" s="3165"/>
      <c r="E8" s="3165"/>
      <c r="F8" s="3165"/>
      <c r="G8" s="3165"/>
      <c r="H8" s="3165"/>
      <c r="I8" s="59"/>
      <c r="J8" s="59"/>
      <c r="K8" s="1785"/>
      <c r="L8" s="59"/>
      <c r="M8" s="59"/>
      <c r="N8" s="59"/>
      <c r="O8" s="59"/>
      <c r="P8" s="59"/>
      <c r="Q8" s="60"/>
      <c r="R8" s="1794"/>
      <c r="S8" s="2682"/>
      <c r="T8" s="2683"/>
      <c r="U8" s="2719"/>
      <c r="V8" s="3213"/>
      <c r="W8" s="3213"/>
      <c r="X8" s="3213"/>
      <c r="Y8" s="3213"/>
      <c r="Z8" s="3213"/>
      <c r="AA8" s="3213"/>
      <c r="AB8" s="17"/>
      <c r="AC8" s="61"/>
      <c r="AD8" s="61"/>
      <c r="AE8" s="61"/>
      <c r="AF8" s="61"/>
      <c r="AG8" s="61"/>
      <c r="AH8" s="61"/>
      <c r="AI8" s="61"/>
      <c r="AJ8" s="62"/>
      <c r="AK8" s="3017"/>
      <c r="AL8" s="1812"/>
      <c r="AO8" s="3099"/>
      <c r="AQ8" s="3109" t="s">
        <v>8819</v>
      </c>
      <c r="AR8" s="1900"/>
      <c r="AS8" s="1900"/>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1812"/>
      <c r="AO9" s="3110"/>
      <c r="AP9" s="3107" t="s">
        <v>8816</v>
      </c>
      <c r="AQ9" s="3111" t="s">
        <v>8813</v>
      </c>
      <c r="AR9" s="1900" t="s">
        <v>8821</v>
      </c>
      <c r="AS9" s="1900" t="s">
        <v>8822</v>
      </c>
    </row>
    <row r="10" spans="1:46" ht="12" customHeight="1" thickBot="1" x14ac:dyDescent="0.25">
      <c r="A10" s="45"/>
      <c r="B10" s="2387"/>
      <c r="C10" s="3358" t="s">
        <v>1673</v>
      </c>
      <c r="D10" s="2177" t="str">
        <f>SUM(E11:E18)+COUNTIF(E11:E18,10)&amp;" pts"</f>
        <v>0 pts</v>
      </c>
      <c r="E10" s="2536" t="s">
        <v>1674</v>
      </c>
      <c r="F10" s="2524" t="s">
        <v>1675</v>
      </c>
      <c r="G10" s="66" t="s">
        <v>1658</v>
      </c>
      <c r="H10" s="25" t="s">
        <v>1676</v>
      </c>
      <c r="I10" s="96"/>
      <c r="J10" s="3172" t="s">
        <v>1677</v>
      </c>
      <c r="K10" s="3172"/>
      <c r="L10" s="3172"/>
      <c r="M10" s="96"/>
      <c r="N10" s="3172" t="s">
        <v>1678</v>
      </c>
      <c r="O10" s="3172"/>
      <c r="P10" s="3172"/>
      <c r="Q10" s="3172"/>
      <c r="R10" s="2391"/>
      <c r="S10" s="2682"/>
      <c r="T10" s="2683"/>
      <c r="U10" s="2720"/>
      <c r="V10" s="3458" t="s">
        <v>1679</v>
      </c>
      <c r="W10" s="3459"/>
      <c r="X10" s="3459"/>
      <c r="Y10" s="3459"/>
      <c r="Z10" s="3459"/>
      <c r="AA10" s="3459"/>
      <c r="AB10" s="3461"/>
      <c r="AC10" s="67"/>
      <c r="AD10" s="3458" t="s">
        <v>1680</v>
      </c>
      <c r="AE10" s="3459"/>
      <c r="AF10" s="3459"/>
      <c r="AG10" s="3459"/>
      <c r="AH10" s="3460" t="s">
        <v>1681</v>
      </c>
      <c r="AI10" s="3460"/>
      <c r="AJ10" s="2807">
        <f>SUM(AJ12:AJ23)+IF(OR(TipoDeCriatura="Ánima",TipoDeCriatura="Ánima, Elemental",TipoDeCriatura="No muerto, Espectro"),100,0)+AJ27</f>
        <v>0</v>
      </c>
      <c r="AK10" s="2004"/>
      <c r="AL10" s="1812"/>
      <c r="AO10" s="3107"/>
      <c r="AP10" s="3111" t="s">
        <v>8815</v>
      </c>
      <c r="AQ10" s="3109" t="s">
        <v>8818</v>
      </c>
      <c r="AR10" s="3109" t="s">
        <v>8820</v>
      </c>
      <c r="AS10" s="3109" t="s">
        <v>8814</v>
      </c>
      <c r="AT10" s="3107" t="s">
        <v>8833</v>
      </c>
    </row>
    <row r="11" spans="1:46" ht="12" customHeight="1" thickBot="1" x14ac:dyDescent="0.25">
      <c r="A11" s="45"/>
      <c r="B11" s="2387"/>
      <c r="C11" s="3358"/>
      <c r="D11" s="69" t="s">
        <v>1682</v>
      </c>
      <c r="E11" s="2538"/>
      <c r="F11" s="71"/>
      <c r="G11" s="72">
        <f>MIN(20,MAX(0,AS11+F11))</f>
        <v>0</v>
      </c>
      <c r="H11" s="2545">
        <f>IF(G11&lt;1,0,VLOOKUP(G11,Tablas!$C$14:$D$33,2))</f>
        <v>0</v>
      </c>
      <c r="I11" s="67"/>
      <c r="J11" s="3463">
        <f>IF(COUNTIF(AB42:AE69,"Degeneración")&gt;0,0,AS19+L13)</f>
        <v>0</v>
      </c>
      <c r="K11" s="3443" t="str">
        <f>INDEX(Tabla_Regen,MATCH(J11,INDEX(Tabla_Regen,,2),0),3)</f>
        <v>Ninguna</v>
      </c>
      <c r="L11" s="3443"/>
      <c r="M11" s="96"/>
      <c r="N11" s="3444">
        <f>PDs!Z185</f>
        <v>20</v>
      </c>
      <c r="O11" s="3444"/>
      <c r="P11" s="3414"/>
      <c r="Q11" s="3414"/>
      <c r="R11" s="2391"/>
      <c r="S11" s="2682"/>
      <c r="T11" s="2683"/>
      <c r="U11" s="2720"/>
      <c r="V11" s="3452" t="s">
        <v>1683</v>
      </c>
      <c r="W11" s="3453"/>
      <c r="X11" s="3454"/>
      <c r="Y11" s="3435"/>
      <c r="Z11" s="3435"/>
      <c r="AA11" s="3435"/>
      <c r="AB11" s="3436"/>
      <c r="AC11" s="67"/>
      <c r="AD11" s="3217" t="s">
        <v>1751</v>
      </c>
      <c r="AE11" s="3218"/>
      <c r="AF11" s="3218"/>
      <c r="AG11" s="3218" t="s">
        <v>1676</v>
      </c>
      <c r="AH11" s="3277"/>
      <c r="AI11" s="2614" t="s">
        <v>1685</v>
      </c>
      <c r="AJ11" s="2643" t="s">
        <v>1686</v>
      </c>
      <c r="AK11" s="2004"/>
      <c r="AL11" s="1812"/>
      <c r="AM11" s="2715" t="s">
        <v>9991</v>
      </c>
      <c r="AO11" s="3107" t="s">
        <v>1682</v>
      </c>
      <c r="AP11" s="3089">
        <f t="shared" ref="AP11:AP18" si="0">E11+HLOOKUP(D11,Bonos_Raza_Base,2,FALSE)</f>
        <v>0</v>
      </c>
      <c r="AQ11" s="3089">
        <f>AP11+Tablas!G242-2*Tablas!G492+Tablas!J1205</f>
        <v>0</v>
      </c>
      <c r="AR11" s="3089">
        <f>Bono_IncremTotal+IF(ISNUMBER(FIND(D11,PodPsi_IncremHab)),'Tablas psiquica'!$AH$70,FALSE)</f>
        <v>0</v>
      </c>
      <c r="AS11" s="3089">
        <f t="shared" ref="AS11:AS18" si="1">IF(AQ11&lt;10,MIN(10,AR11+AQ11)+TRUNC(MAX(0,(AR11+AQ11-10)/2,0)),AQ11+TRUNC(AR11/2,0))</f>
        <v>0</v>
      </c>
      <c r="AT11" s="308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87"/>
      <c r="C12" s="3358"/>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463"/>
      <c r="K12" s="3442" t="str">
        <f>IF(Tablas!$S$1398=0,INDEX(Tabla_Regen,MATCH(J11,INDEX(Tabla_Regen,,2),0),5),Tablas!$S$1398&amp;" PV al día")</f>
        <v>Ninguna</v>
      </c>
      <c r="L12" s="3442"/>
      <c r="M12" s="96"/>
      <c r="N12" s="3444"/>
      <c r="O12" s="3444"/>
      <c r="P12" s="3414"/>
      <c r="Q12" s="3414"/>
      <c r="R12" s="2391"/>
      <c r="S12" s="2682"/>
      <c r="T12" s="2683"/>
      <c r="U12" s="2720"/>
      <c r="V12" s="3455"/>
      <c r="W12" s="3456"/>
      <c r="X12" s="3457"/>
      <c r="Y12" s="3437"/>
      <c r="Z12" s="3437"/>
      <c r="AA12" s="3437"/>
      <c r="AB12" s="3438"/>
      <c r="AC12" s="67"/>
      <c r="AD12" s="3278"/>
      <c r="AE12" s="3279"/>
      <c r="AF12" s="3279"/>
      <c r="AG12" s="3253"/>
      <c r="AH12" s="3253"/>
      <c r="AI12" s="2495" t="str">
        <f t="shared" ref="AI12:AI23" si="2">IF(AD12="","",VLOOKUP(AD12&amp;IF(AG12="",""," "&amp;AG12),Tabla_HabEsenciales,2,FALSE))</f>
        <v/>
      </c>
      <c r="AJ12" s="1578" t="str">
        <f t="shared" ref="AJ12:AJ23" si="3">IF(AD12="","",VLOOKUP(AD12&amp;IF(AG12="",""," "&amp;AG12),Tabla_HabEsenciales,3,FALSE))</f>
        <v/>
      </c>
      <c r="AK12" s="3017" t="str">
        <f t="shared" ref="AK12:AK23" si="4">SUBSTITUTE(IF(AD12="","",VLOOKUP(AD12,Tabla_Listas_PodHabMonstruo,3,FALSE)),".","")</f>
        <v/>
      </c>
      <c r="AL12" s="1812"/>
      <c r="AM12" s="2715" t="str">
        <f>AD12&amp;IF(AG12="",""," "&amp;AG12)</f>
        <v/>
      </c>
      <c r="AO12" s="3107" t="str">
        <f>IF(OR($Y$11="Ánima",$Y$11="Ánima, Elemental",$Y$11="No muerto, Espectro"),"-","CON")</f>
        <v>CON</v>
      </c>
      <c r="AP12" s="3089">
        <f t="shared" si="0"/>
        <v>0</v>
      </c>
      <c r="AQ12" s="3089">
        <f>AP12+Tablas!G243-2*Tablas!G493+Tablas!J1206</f>
        <v>0</v>
      </c>
      <c r="AR12" s="3089">
        <f>Bono_IncremTotal</f>
        <v>0</v>
      </c>
      <c r="AS12" s="3089">
        <f t="shared" si="1"/>
        <v>0</v>
      </c>
      <c r="AT12" s="3089"/>
    </row>
    <row r="13" spans="1:46" ht="12" customHeight="1" thickBot="1" x14ac:dyDescent="0.25">
      <c r="A13" s="45"/>
      <c r="B13" s="2387"/>
      <c r="C13" s="3358"/>
      <c r="D13" s="69" t="s">
        <v>1687</v>
      </c>
      <c r="E13" s="2538"/>
      <c r="F13" s="75"/>
      <c r="G13" s="72">
        <f t="shared" ref="G13:G18" si="5">MIN(20,MAX(0,AS13+F13))</f>
        <v>0</v>
      </c>
      <c r="H13" s="2545">
        <f>IF(G13&lt;1,0,VLOOKUP(G13,Tablas!$C$14:$D$33,2))</f>
        <v>0</v>
      </c>
      <c r="I13" s="523"/>
      <c r="J13" s="3200" t="s">
        <v>1688</v>
      </c>
      <c r="K13" s="3200"/>
      <c r="L13" s="77"/>
      <c r="M13" s="96"/>
      <c r="N13" s="3444"/>
      <c r="O13" s="3444"/>
      <c r="P13" s="3414"/>
      <c r="Q13" s="3414"/>
      <c r="R13" s="2391"/>
      <c r="S13" s="2682"/>
      <c r="T13" s="2683"/>
      <c r="U13" s="2720"/>
      <c r="V13" s="3445" t="s">
        <v>1689</v>
      </c>
      <c r="W13" s="3446"/>
      <c r="X13" s="3446"/>
      <c r="Y13" s="1285"/>
      <c r="Z13" s="56"/>
      <c r="AA13" s="78" t="s">
        <v>1691</v>
      </c>
      <c r="AB13" s="2165">
        <v>10</v>
      </c>
      <c r="AC13" s="67"/>
      <c r="AD13" s="3251"/>
      <c r="AE13" s="3252"/>
      <c r="AF13" s="3252"/>
      <c r="AG13" s="3253"/>
      <c r="AH13" s="3253"/>
      <c r="AI13" s="2641" t="str">
        <f t="shared" si="2"/>
        <v/>
      </c>
      <c r="AJ13" s="1578" t="str">
        <f t="shared" si="3"/>
        <v/>
      </c>
      <c r="AK13" s="3017" t="str">
        <f t="shared" si="4"/>
        <v/>
      </c>
      <c r="AL13" s="1812"/>
      <c r="AM13" s="2715" t="str">
        <f t="shared" ref="AM13:AM23" si="6">AD13&amp;IF(AG13="",""," "&amp;AG13)</f>
        <v/>
      </c>
      <c r="AO13" s="3107" t="s">
        <v>1687</v>
      </c>
      <c r="AP13" s="3089">
        <f t="shared" si="0"/>
        <v>0</v>
      </c>
      <c r="AQ13" s="3089">
        <f>AP13+Tablas!G244-2*Tablas!G494+Tablas!J1207+Tablas!K1737+Tablas!$K$1817</f>
        <v>0</v>
      </c>
      <c r="AR13" s="3089">
        <f>Bono_IncremTotal+IF(ISNUMBER(FIND(D11,PodPsi_IncremHab)),'Tablas psiquica'!$AH$70,FALSE)</f>
        <v>0</v>
      </c>
      <c r="AS13" s="3089">
        <f t="shared" si="1"/>
        <v>0</v>
      </c>
      <c r="AT13" s="3089"/>
    </row>
    <row r="14" spans="1:46" ht="12" customHeight="1" thickBot="1" x14ac:dyDescent="0.25">
      <c r="A14" s="45"/>
      <c r="B14" s="2387"/>
      <c r="C14" s="3358"/>
      <c r="D14" s="69" t="s">
        <v>1692</v>
      </c>
      <c r="E14" s="2538"/>
      <c r="F14" s="75"/>
      <c r="G14" s="72">
        <f t="shared" si="5"/>
        <v>0</v>
      </c>
      <c r="H14" s="2545">
        <f>IF(G14&lt;1,0,VLOOKUP(G14,Tablas!$C$14:$D$33,2))</f>
        <v>0</v>
      </c>
      <c r="I14" s="523"/>
      <c r="J14" s="523"/>
      <c r="K14" s="1787"/>
      <c r="L14" s="67"/>
      <c r="M14" s="96"/>
      <c r="N14" s="79"/>
      <c r="O14" s="67"/>
      <c r="P14" s="67"/>
      <c r="Q14" s="2531"/>
      <c r="R14" s="2392"/>
      <c r="S14" s="2682"/>
      <c r="T14" s="2683"/>
      <c r="U14" s="2720"/>
      <c r="V14" s="3447" t="s">
        <v>1693</v>
      </c>
      <c r="W14" s="3448"/>
      <c r="X14" s="3448"/>
      <c r="Y14" s="1286" t="s">
        <v>1690</v>
      </c>
      <c r="Z14" s="82"/>
      <c r="AA14" s="83" t="s">
        <v>1694</v>
      </c>
      <c r="AB14" s="2527" t="str">
        <f>IF(TipoDeCriatura="Natural",MAX(Principal!AB13-IF(Raza=0,0,VLOOKUP(Raza,Tablas!$J$109:$AB$129,19,FALSE)),0),"-")</f>
        <v>-</v>
      </c>
      <c r="AC14" s="67"/>
      <c r="AD14" s="3251"/>
      <c r="AE14" s="3252"/>
      <c r="AF14" s="3252"/>
      <c r="AG14" s="3253"/>
      <c r="AH14" s="3253"/>
      <c r="AI14" s="2641" t="str">
        <f t="shared" si="2"/>
        <v/>
      </c>
      <c r="AJ14" s="1578" t="str">
        <f t="shared" si="3"/>
        <v/>
      </c>
      <c r="AK14" s="3017" t="str">
        <f t="shared" si="4"/>
        <v/>
      </c>
      <c r="AL14" s="1812"/>
      <c r="AM14" s="2715" t="str">
        <f t="shared" si="6"/>
        <v/>
      </c>
      <c r="AO14" s="3107" t="s">
        <v>1692</v>
      </c>
      <c r="AP14" s="3089">
        <f t="shared" si="0"/>
        <v>0</v>
      </c>
      <c r="AQ14" s="3089">
        <f>AP14+Tablas!G245-2*Tablas!G495+Tablas!J1208+Tablas!$K$1817</f>
        <v>0</v>
      </c>
      <c r="AR14" s="3089">
        <f>Bono_IncremTotal+'Tablas psiquica'!$AH$67</f>
        <v>0</v>
      </c>
      <c r="AS14" s="3089">
        <f t="shared" si="1"/>
        <v>0</v>
      </c>
      <c r="AT14" s="3089"/>
    </row>
    <row r="15" spans="1:46" ht="12" customHeight="1" thickBot="1" x14ac:dyDescent="0.25">
      <c r="A15" s="45"/>
      <c r="B15" s="2387"/>
      <c r="C15" s="3358"/>
      <c r="D15" s="69" t="s">
        <v>1695</v>
      </c>
      <c r="E15" s="2538"/>
      <c r="F15" s="75"/>
      <c r="G15" s="72">
        <f t="shared" si="5"/>
        <v>0</v>
      </c>
      <c r="H15" s="2545">
        <f>IF(G15&lt;1,0,VLOOKUP(G15,Tablas!$C$14:$D$33,2))</f>
        <v>0</v>
      </c>
      <c r="I15" s="2389"/>
      <c r="J15" s="3449" t="s">
        <v>1696</v>
      </c>
      <c r="K15" s="3450"/>
      <c r="L15" s="3451"/>
      <c r="M15" s="96"/>
      <c r="N15" s="3172" t="s">
        <v>1697</v>
      </c>
      <c r="O15" s="3172"/>
      <c r="P15" s="3172"/>
      <c r="Q15" s="3172"/>
      <c r="R15" s="2391"/>
      <c r="S15" s="2682"/>
      <c r="T15" s="2683"/>
      <c r="U15" s="2720"/>
      <c r="V15" s="3439" t="str">
        <f>IF(TipoDeCriatura="Natural",IF(AB14=0,"Sin tirada abierta",IF(AB14&gt;14,"Tirada abierta adicional","")),"")&amp;IF(TipoDeCriatura="Natural",IF(AB14&gt;19,", Núcleo trascendental",""),"")</f>
        <v/>
      </c>
      <c r="W15" s="3440"/>
      <c r="X15" s="3440"/>
      <c r="Y15" s="3440"/>
      <c r="Z15" s="3440"/>
      <c r="AA15" s="3440"/>
      <c r="AB15" s="3441"/>
      <c r="AC15" s="19"/>
      <c r="AD15" s="3251"/>
      <c r="AE15" s="3252"/>
      <c r="AF15" s="3252"/>
      <c r="AG15" s="3253"/>
      <c r="AH15" s="3253"/>
      <c r="AI15" s="2641" t="str">
        <f t="shared" si="2"/>
        <v/>
      </c>
      <c r="AJ15" s="1578" t="str">
        <f t="shared" si="3"/>
        <v/>
      </c>
      <c r="AK15" s="3017" t="str">
        <f t="shared" si="4"/>
        <v/>
      </c>
      <c r="AL15" s="1812"/>
      <c r="AM15" s="2715" t="str">
        <f t="shared" si="6"/>
        <v/>
      </c>
      <c r="AO15" s="3107" t="s">
        <v>1695</v>
      </c>
      <c r="AP15" s="3089">
        <f t="shared" si="0"/>
        <v>0</v>
      </c>
      <c r="AQ15" s="3089">
        <f>AP15+Tablas!G246-2*Tablas!G496+Tablas!J1209+Tablas!$K$1750+Personalización!$N$41</f>
        <v>0</v>
      </c>
      <c r="AR15" s="3089"/>
      <c r="AS15" s="3089">
        <f t="shared" si="1"/>
        <v>0</v>
      </c>
      <c r="AT15" s="3089"/>
    </row>
    <row r="16" spans="1:46" ht="12" customHeight="1" thickBot="1" x14ac:dyDescent="0.25">
      <c r="A16" s="45"/>
      <c r="B16" s="2387"/>
      <c r="C16" s="3358"/>
      <c r="D16" s="69" t="s">
        <v>1698</v>
      </c>
      <c r="E16" s="2538"/>
      <c r="F16" s="75"/>
      <c r="G16" s="72">
        <f t="shared" si="5"/>
        <v>0</v>
      </c>
      <c r="H16" s="2545">
        <f>IF(G16&lt;1,0,VLOOKUP(G16,Tablas!$C$14:$D$33,2))</f>
        <v>0</v>
      </c>
      <c r="I16" s="188"/>
      <c r="J16" s="3483">
        <f>MAX(1,MIN(20,IF(OR(MovimientodeVacío,Zen),AS20,IF(Inhumanidad,MIN(13,AS20),MIN(10,AS20)))))</f>
        <v>1</v>
      </c>
      <c r="K16" s="1821" t="s">
        <v>1699</v>
      </c>
      <c r="L16" s="2319">
        <f>MAX(Combate!G16-TRUNC(IF((H25-Combate!J16)/50&lt;0,0,(H25-Combate!J16)/50),0),0)+IF(AND(General!AJ32&gt;IF(G14=0,0,VLOOKUP(G14,Tabla_Fuerza,3)),General!AJ32&lt;IF(G14=0,0,VLOOKUP(G14,Tabla_Fuerza,4))),2,0)+IF(General!AJ32&gt;IF(G14=0,0,VLOOKUP(G14,Tabla_Fuerza,4)),5,0)</f>
        <v>0</v>
      </c>
      <c r="M16" s="96"/>
      <c r="N16" s="3484">
        <f>IF(OR(Tablas!H1260&gt;0,Tablas!H1267&gt;0,Y11="Ánima",Y11="Ánima, Elemental",Y11="No muerto, Espectro",Tablas!J1838=1),0,G12+O18+IF(Raza=0,0,VLOOKUP(Raza,Tablas!$J$109:$AA$129,18,FALSE))+3*Tablas!G332+6*Tablas!G333+9*Tablas!G334-Tablas!G526+2*Tablas!H1193)</f>
        <v>0</v>
      </c>
      <c r="O16" s="3484"/>
      <c r="P16" s="3414"/>
      <c r="Q16" s="3414"/>
      <c r="R16" s="2391"/>
      <c r="S16" s="2682"/>
      <c r="T16" s="2683"/>
      <c r="U16" s="2720"/>
      <c r="V16" s="341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8"/>
      <c r="X16" s="3418"/>
      <c r="Y16" s="3418"/>
      <c r="Z16" s="3418"/>
      <c r="AA16" s="3418"/>
      <c r="AB16" s="3419"/>
      <c r="AC16" s="67"/>
      <c r="AD16" s="3251"/>
      <c r="AE16" s="3252"/>
      <c r="AF16" s="3252"/>
      <c r="AG16" s="3253"/>
      <c r="AH16" s="3253"/>
      <c r="AI16" s="2641" t="str">
        <f t="shared" si="2"/>
        <v/>
      </c>
      <c r="AJ16" s="1578" t="str">
        <f t="shared" si="3"/>
        <v/>
      </c>
      <c r="AK16" s="3017" t="str">
        <f t="shared" si="4"/>
        <v/>
      </c>
      <c r="AL16" s="1812"/>
      <c r="AM16" s="2715" t="str">
        <f t="shared" si="6"/>
        <v/>
      </c>
      <c r="AO16" s="3107" t="s">
        <v>1698</v>
      </c>
      <c r="AP16" s="3089">
        <f t="shared" si="0"/>
        <v>0</v>
      </c>
      <c r="AQ16" s="3089">
        <f>AP16+Tablas!G247-2*Tablas!G497+Tablas!J1210</f>
        <v>0</v>
      </c>
      <c r="AR16" s="3089">
        <f>'Tablas psiquica'!$AH$72</f>
        <v>0</v>
      </c>
      <c r="AS16" s="3089">
        <f t="shared" si="1"/>
        <v>0</v>
      </c>
      <c r="AT16" s="3089"/>
    </row>
    <row r="17" spans="1:46" ht="12" customHeight="1" thickBot="1" x14ac:dyDescent="0.25">
      <c r="A17" s="45"/>
      <c r="B17" s="2236"/>
      <c r="C17" s="3358"/>
      <c r="D17" s="69" t="s">
        <v>1700</v>
      </c>
      <c r="E17" s="2538"/>
      <c r="F17" s="75"/>
      <c r="G17" s="72">
        <f t="shared" si="5"/>
        <v>0</v>
      </c>
      <c r="H17" s="2545">
        <f>IF(G17&lt;1,0,VLOOKUP(G17,Tablas!$C$14:$D$33,2))</f>
        <v>0</v>
      </c>
      <c r="I17" s="188"/>
      <c r="J17" s="3483"/>
      <c r="K17" s="3400" t="str">
        <f>IF(J16&lt;1,"",VLOOKUP(J16,TablaTipoMovimiento,2))</f>
        <v>&lt; 1 m / asalto</v>
      </c>
      <c r="L17" s="3401"/>
      <c r="M17" s="104"/>
      <c r="N17" s="3484"/>
      <c r="O17" s="3484"/>
      <c r="P17" s="3414"/>
      <c r="Q17" s="3414"/>
      <c r="R17" s="2391"/>
      <c r="S17" s="2682"/>
      <c r="T17" s="2683"/>
      <c r="U17" s="2720"/>
      <c r="V17" s="3417"/>
      <c r="W17" s="3418"/>
      <c r="X17" s="3418"/>
      <c r="Y17" s="3418"/>
      <c r="Z17" s="3418"/>
      <c r="AA17" s="3418"/>
      <c r="AB17" s="3419"/>
      <c r="AC17" s="67"/>
      <c r="AD17" s="3251"/>
      <c r="AE17" s="3252"/>
      <c r="AF17" s="3252"/>
      <c r="AG17" s="3253"/>
      <c r="AH17" s="3253"/>
      <c r="AI17" s="2641" t="str">
        <f t="shared" si="2"/>
        <v/>
      </c>
      <c r="AJ17" s="1578" t="str">
        <f t="shared" si="3"/>
        <v/>
      </c>
      <c r="AK17" s="3017" t="str">
        <f t="shared" si="4"/>
        <v/>
      </c>
      <c r="AL17" s="1812"/>
      <c r="AM17" s="2715" t="str">
        <f t="shared" si="6"/>
        <v/>
      </c>
      <c r="AO17" s="3107" t="s">
        <v>1700</v>
      </c>
      <c r="AP17" s="3089">
        <f t="shared" si="0"/>
        <v>0</v>
      </c>
      <c r="AQ17" s="3089">
        <f>AP17+IF(Sheele!F5="No","0",-1)+Tablas!$G$248-2*Tablas!$G$498+Tablas!$J$1211+Tablas!$K$1737+Tablas!$K$1750+Personalización!$O$41</f>
        <v>0</v>
      </c>
      <c r="AR17" s="3089"/>
      <c r="AS17" s="3089">
        <f t="shared" si="1"/>
        <v>0</v>
      </c>
    </row>
    <row r="18" spans="1:46" ht="12" customHeight="1" thickBot="1" x14ac:dyDescent="0.25">
      <c r="A18" s="45"/>
      <c r="B18" s="1498"/>
      <c r="C18" s="3358"/>
      <c r="D18" s="84" t="s">
        <v>1701</v>
      </c>
      <c r="E18" s="2540"/>
      <c r="F18" s="86"/>
      <c r="G18" s="87">
        <f t="shared" si="5"/>
        <v>0</v>
      </c>
      <c r="H18" s="2541">
        <f>IF(G18&lt;1,0,VLOOKUP(G18,Tablas!$C$14:$D$33,2))</f>
        <v>0</v>
      </c>
      <c r="I18" s="96"/>
      <c r="J18" s="3481" t="s">
        <v>1688</v>
      </c>
      <c r="K18" s="3482"/>
      <c r="L18" s="2320"/>
      <c r="M18" s="188"/>
      <c r="N18" s="2544" t="s">
        <v>1688</v>
      </c>
      <c r="O18" s="90"/>
      <c r="P18" s="3414"/>
      <c r="Q18" s="3414"/>
      <c r="R18" s="2391"/>
      <c r="S18" s="2682"/>
      <c r="T18" s="2683"/>
      <c r="U18" s="2720"/>
      <c r="V18" s="3420"/>
      <c r="W18" s="3421"/>
      <c r="X18" s="3421"/>
      <c r="Y18" s="3421"/>
      <c r="Z18" s="3421"/>
      <c r="AA18" s="3421"/>
      <c r="AB18" s="3422"/>
      <c r="AC18" s="67"/>
      <c r="AD18" s="3251"/>
      <c r="AE18" s="3252"/>
      <c r="AF18" s="3252"/>
      <c r="AG18" s="3253"/>
      <c r="AH18" s="3253"/>
      <c r="AI18" s="2641" t="str">
        <f t="shared" si="2"/>
        <v/>
      </c>
      <c r="AJ18" s="1578" t="str">
        <f t="shared" si="3"/>
        <v/>
      </c>
      <c r="AK18" s="3017" t="str">
        <f t="shared" si="4"/>
        <v/>
      </c>
      <c r="AL18" s="1812"/>
      <c r="AM18" s="2715" t="str">
        <f t="shared" si="6"/>
        <v/>
      </c>
      <c r="AO18" s="3107" t="s">
        <v>1701</v>
      </c>
      <c r="AP18" s="3089">
        <f t="shared" si="0"/>
        <v>0</v>
      </c>
      <c r="AQ18" s="3089">
        <f>AP18+Tablas!G249-2*Tablas!G499+Tablas!J1212+Tablas!$K$1737+Tablas!$K$1750+Personalización!$P$41</f>
        <v>0</v>
      </c>
      <c r="AR18" s="3089"/>
      <c r="AS18" s="3089">
        <f t="shared" si="1"/>
        <v>0</v>
      </c>
      <c r="AT18" s="3101"/>
    </row>
    <row r="19" spans="1:46" ht="12" customHeight="1" thickBot="1" x14ac:dyDescent="0.25">
      <c r="A19" s="45"/>
      <c r="B19" s="2385"/>
      <c r="C19" s="3462"/>
      <c r="D19" s="3462"/>
      <c r="E19" s="3462"/>
      <c r="F19" s="3462"/>
      <c r="G19" s="3462"/>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251"/>
      <c r="AE19" s="3252"/>
      <c r="AF19" s="3252"/>
      <c r="AG19" s="3253"/>
      <c r="AH19" s="3253"/>
      <c r="AI19" s="2641" t="str">
        <f t="shared" si="2"/>
        <v/>
      </c>
      <c r="AJ19" s="1578" t="str">
        <f t="shared" si="3"/>
        <v/>
      </c>
      <c r="AK19" s="3017" t="str">
        <f t="shared" si="4"/>
        <v/>
      </c>
      <c r="AL19" s="1812"/>
      <c r="AM19" s="2715" t="str">
        <f t="shared" si="6"/>
        <v/>
      </c>
      <c r="AO19" s="3107" t="s">
        <v>8823</v>
      </c>
      <c r="AP19" s="3089">
        <f>IF(G12=0,0,VLOOKUP(G12,Tabla_Regen,2))+HLOOKUP("Regeneración",Bonos_Raza_Base,2,FALSE)</f>
        <v>0</v>
      </c>
      <c r="AQ19" s="3089">
        <f>AP19+Tablas!G268*2+Tablas!G269*4+Tablas!G270*6+Tablas!P241</f>
        <v>0</v>
      </c>
      <c r="AR19" s="3112">
        <f>'Tablas psiquica'!AH74</f>
        <v>0</v>
      </c>
      <c r="AS19" s="3089">
        <f>MAX(IF(AQ19+AR19&gt;18,MAX(18,AQ19),AQ19+AR19),Tablas!S1384)</f>
        <v>0</v>
      </c>
      <c r="AT19" s="3101" t="s">
        <v>10011</v>
      </c>
    </row>
    <row r="20" spans="1:46" ht="12" customHeight="1" thickBot="1" x14ac:dyDescent="0.25">
      <c r="A20" s="45"/>
      <c r="B20" s="2385"/>
      <c r="C20" s="3172" t="s">
        <v>1702</v>
      </c>
      <c r="D20" s="3172"/>
      <c r="E20" s="67"/>
      <c r="F20" s="3471" t="s">
        <v>1703</v>
      </c>
      <c r="G20" s="3472"/>
      <c r="H20" s="3472"/>
      <c r="I20" s="3472"/>
      <c r="J20" s="3473"/>
      <c r="K20" s="1786"/>
      <c r="L20" s="3471" t="s">
        <v>1704</v>
      </c>
      <c r="M20" s="3472"/>
      <c r="N20" s="3472"/>
      <c r="O20" s="3472"/>
      <c r="P20" s="3472"/>
      <c r="Q20" s="3473"/>
      <c r="R20" s="1794"/>
      <c r="S20" s="2682"/>
      <c r="T20" s="2683"/>
      <c r="U20" s="2720"/>
      <c r="V20" s="3172" t="s">
        <v>1705</v>
      </c>
      <c r="W20" s="3172"/>
      <c r="X20" s="3172"/>
      <c r="Y20" s="3172"/>
      <c r="Z20" s="3172"/>
      <c r="AA20" s="3172"/>
      <c r="AB20" s="3172"/>
      <c r="AC20" s="67"/>
      <c r="AD20" s="3251"/>
      <c r="AE20" s="3252"/>
      <c r="AF20" s="3252"/>
      <c r="AG20" s="3253"/>
      <c r="AH20" s="3253"/>
      <c r="AI20" s="2641" t="str">
        <f t="shared" si="2"/>
        <v/>
      </c>
      <c r="AJ20" s="1578" t="str">
        <f t="shared" si="3"/>
        <v/>
      </c>
      <c r="AK20" s="3017" t="str">
        <f t="shared" si="4"/>
        <v/>
      </c>
      <c r="AL20" s="1812"/>
      <c r="AM20" s="2715" t="str">
        <f t="shared" si="6"/>
        <v/>
      </c>
      <c r="AO20" s="3101" t="s">
        <v>8824</v>
      </c>
      <c r="AP20" s="3089">
        <f>IF(MovimientodeVacío,MAX(POD,AT11),AT11)+L18-L16</f>
        <v>0</v>
      </c>
      <c r="AQ20" s="3089">
        <f>AP20+Tablas!$S$1339-Combate!G16</f>
        <v>0</v>
      </c>
      <c r="AR20" s="3108">
        <f>'Tablas psiquica'!AH69</f>
        <v>0</v>
      </c>
      <c r="AS20" s="3089">
        <f>IF(AQ20&lt;10,MIN(10,AR20+AQ20)+TRUNC(MAX(0,(AR20+AQ20-10)/2,0)),AQ20+TRUNC(AR20/2,0))</f>
        <v>0</v>
      </c>
      <c r="AT20" s="1884"/>
    </row>
    <row r="21" spans="1:46" ht="12" customHeight="1" thickBot="1" x14ac:dyDescent="0.25">
      <c r="A21" s="45"/>
      <c r="B21" s="2385"/>
      <c r="C21" s="91" t="s">
        <v>1674</v>
      </c>
      <c r="D21" s="92">
        <f>IF(Raza="Criatura",VLOOKUP(Tamaño,Tabla_CreaciónSeres,3),20)+IF(Nephilim="Nephilim Turak",-10,0)</f>
        <v>20</v>
      </c>
      <c r="E21" s="67"/>
      <c r="F21" s="3464" t="s">
        <v>1706</v>
      </c>
      <c r="G21" s="3465"/>
      <c r="H21" s="3466">
        <f>MAX(HA_final,HA_SinArmas_final)</f>
        <v>0</v>
      </c>
      <c r="I21" s="3474" t="s">
        <v>1707</v>
      </c>
      <c r="J21" s="3475"/>
      <c r="K21" s="1786"/>
      <c r="L21" s="2543" t="s">
        <v>1708</v>
      </c>
      <c r="M21" s="3470" t="s">
        <v>1684</v>
      </c>
      <c r="N21" s="3470"/>
      <c r="O21" s="3415" t="s">
        <v>1709</v>
      </c>
      <c r="P21" s="3415"/>
      <c r="Q21" s="1576" t="s">
        <v>1658</v>
      </c>
      <c r="R21" s="1794"/>
      <c r="S21" s="2682"/>
      <c r="T21" s="2683"/>
      <c r="U21" s="2720"/>
      <c r="V21" s="3190" t="s">
        <v>1710</v>
      </c>
      <c r="W21" s="3190"/>
      <c r="X21" s="3190"/>
      <c r="Y21" s="3416" t="s">
        <v>1711</v>
      </c>
      <c r="Z21" s="3416"/>
      <c r="AA21" s="93" t="s">
        <v>1712</v>
      </c>
      <c r="AB21" s="25" t="s">
        <v>1686</v>
      </c>
      <c r="AC21" s="67"/>
      <c r="AD21" s="3251"/>
      <c r="AE21" s="3252"/>
      <c r="AF21" s="3252"/>
      <c r="AG21" s="3253"/>
      <c r="AH21" s="3253"/>
      <c r="AI21" s="2641" t="str">
        <f t="shared" si="2"/>
        <v/>
      </c>
      <c r="AJ21" s="1578" t="str">
        <f t="shared" si="3"/>
        <v/>
      </c>
      <c r="AK21" s="3017" t="str">
        <f t="shared" si="4"/>
        <v/>
      </c>
      <c r="AL21" s="1812"/>
      <c r="AM21" s="2715" t="str">
        <f t="shared" si="6"/>
        <v/>
      </c>
      <c r="AN21" s="3089"/>
      <c r="AO21" s="2716" t="s">
        <v>2236</v>
      </c>
      <c r="AP21" s="3089">
        <f>MAX(1,E12+E14-IF(Sexo="Mujer",1,0))+HLOOKUP(AO21,Bonos_Raza_Base,2,FALSE)</f>
        <v>1</v>
      </c>
      <c r="AQ21" s="3089">
        <f>Tablas!$J$1246</f>
        <v>0</v>
      </c>
      <c r="AS21" s="3022">
        <f>AP21+AQ21</f>
        <v>1</v>
      </c>
    </row>
    <row r="22" spans="1:46" ht="12" customHeight="1" x14ac:dyDescent="0.2">
      <c r="A22" s="45"/>
      <c r="B22" s="2385"/>
      <c r="C22" s="94" t="s">
        <v>1682</v>
      </c>
      <c r="D22" s="2545">
        <f>Bono_Agi</f>
        <v>0</v>
      </c>
      <c r="E22" s="67"/>
      <c r="F22" s="3464"/>
      <c r="G22" s="3465"/>
      <c r="H22" s="3466"/>
      <c r="I22" s="3476" t="str">
        <f>IF(Combate!AF15=0,"",Combate!AF15)</f>
        <v/>
      </c>
      <c r="J22" s="3477"/>
      <c r="K22" s="1786"/>
      <c r="L22" s="3308" t="s">
        <v>1713</v>
      </c>
      <c r="M22" s="3312" t="s">
        <v>1714</v>
      </c>
      <c r="N22" s="3312"/>
      <c r="O22" s="3316">
        <f>Combate!$U$17</f>
        <v>0</v>
      </c>
      <c r="P22" s="3316"/>
      <c r="Q22" s="1577">
        <f>IF(Acrobacias_final="-","-",Acrobacias_final+O22)</f>
        <v>-30</v>
      </c>
      <c r="R22" s="1794"/>
      <c r="S22" s="2682"/>
      <c r="T22" s="2683"/>
      <c r="U22" s="2720"/>
      <c r="V22" s="3402" t="s">
        <v>1715</v>
      </c>
      <c r="W22" s="3402"/>
      <c r="X22" s="3403"/>
      <c r="Y22" s="3433" t="str">
        <f>IF(AA22=0,"",Raza)</f>
        <v/>
      </c>
      <c r="Z22" s="3434"/>
      <c r="AA22" s="2534">
        <f>IF(Raza=0,0,VLOOKUP(Raza,Tabla_Razas,7,FALSE))</f>
        <v>0</v>
      </c>
      <c r="AB22" s="95">
        <v>0</v>
      </c>
      <c r="AC22" s="67"/>
      <c r="AD22" s="3251"/>
      <c r="AE22" s="3252"/>
      <c r="AF22" s="3252"/>
      <c r="AG22" s="3253"/>
      <c r="AH22" s="3253"/>
      <c r="AI22" s="2641" t="str">
        <f t="shared" si="2"/>
        <v/>
      </c>
      <c r="AJ22" s="1578" t="str">
        <f t="shared" si="3"/>
        <v/>
      </c>
      <c r="AK22" s="3017" t="str">
        <f t="shared" si="4"/>
        <v/>
      </c>
      <c r="AL22" s="1812"/>
      <c r="AM22" s="2715" t="str">
        <f t="shared" si="6"/>
        <v/>
      </c>
      <c r="AN22" s="2716"/>
      <c r="AO22" s="2716"/>
      <c r="AP22" s="2716"/>
    </row>
    <row r="23" spans="1:46" ht="12" customHeight="1" x14ac:dyDescent="0.2">
      <c r="A23" s="45"/>
      <c r="B23" s="2385"/>
      <c r="C23" s="94" t="s">
        <v>1687</v>
      </c>
      <c r="D23" s="2545">
        <f>Bono_Des</f>
        <v>0</v>
      </c>
      <c r="E23" s="67"/>
      <c r="F23" s="3467" t="str">
        <f>IF(HP_final&gt;HE_final,"H. Parada:","H. Esquiva:")</f>
        <v>H. Esquiva:</v>
      </c>
      <c r="G23" s="3468"/>
      <c r="H23" s="3469">
        <f>MAX(HP_final,HE_final,HD_SinArmas_final)</f>
        <v>0</v>
      </c>
      <c r="I23" s="3476"/>
      <c r="J23" s="3477"/>
      <c r="K23" s="1786"/>
      <c r="L23" s="3309"/>
      <c r="M23" s="3296" t="s">
        <v>1716</v>
      </c>
      <c r="N23" s="3296"/>
      <c r="O23" s="3306">
        <f>Combate!$U$17</f>
        <v>0</v>
      </c>
      <c r="P23" s="3306"/>
      <c r="Q23" s="1578">
        <f>IF(Atletismo_final="-","-",Atletismo_final+O23)</f>
        <v>-30</v>
      </c>
      <c r="R23" s="1794"/>
      <c r="S23" s="2682"/>
      <c r="T23" s="2683"/>
      <c r="U23" s="2720"/>
      <c r="V23" s="3402" t="s">
        <v>1717</v>
      </c>
      <c r="W23" s="3402"/>
      <c r="X23" s="3403"/>
      <c r="Y23" s="3404"/>
      <c r="Z23" s="3405"/>
      <c r="AA23" s="2534">
        <v>0</v>
      </c>
      <c r="AB23" s="95">
        <f>IF(Y23="PDs",VLOOKUP(Principal!$AB$13,Tablas!V27:W37,2),0)</f>
        <v>0</v>
      </c>
      <c r="AC23" s="67"/>
      <c r="AD23" s="3423"/>
      <c r="AE23" s="3424"/>
      <c r="AF23" s="3424"/>
      <c r="AG23" s="3425"/>
      <c r="AH23" s="3425"/>
      <c r="AI23" s="2642" t="str">
        <f t="shared" si="2"/>
        <v/>
      </c>
      <c r="AJ23" s="1579" t="str">
        <f t="shared" si="3"/>
        <v/>
      </c>
      <c r="AK23" s="3017" t="str">
        <f t="shared" si="4"/>
        <v/>
      </c>
      <c r="AL23" s="1812"/>
      <c r="AM23" s="2715" t="str">
        <f t="shared" si="6"/>
        <v/>
      </c>
      <c r="AN23" s="2716"/>
      <c r="AO23" s="2716"/>
      <c r="AP23" s="2716"/>
    </row>
    <row r="24" spans="1:46" ht="12" customHeight="1" x14ac:dyDescent="0.2">
      <c r="A24" s="45"/>
      <c r="B24" s="2385"/>
      <c r="C24" s="94" t="s">
        <v>1718</v>
      </c>
      <c r="D24" s="2545">
        <f>HLOOKUP("Turno",Bonos_Cat_Base,2,FALSE)</f>
        <v>0</v>
      </c>
      <c r="E24" s="67"/>
      <c r="F24" s="3467"/>
      <c r="G24" s="3468"/>
      <c r="H24" s="3469"/>
      <c r="I24" s="3476"/>
      <c r="J24" s="3477"/>
      <c r="K24" s="1786"/>
      <c r="L24" s="3309"/>
      <c r="M24" s="3296" t="s">
        <v>1719</v>
      </c>
      <c r="N24" s="3296"/>
      <c r="O24" s="3306"/>
      <c r="P24" s="3306"/>
      <c r="Q24" s="1578">
        <f>IF(Montar_final="-","-",Montar_final+O24)</f>
        <v>-30</v>
      </c>
      <c r="R24" s="1794"/>
      <c r="S24" s="2682"/>
      <c r="T24" s="2683"/>
      <c r="U24" s="2719"/>
      <c r="V24" s="3402" t="s">
        <v>1720</v>
      </c>
      <c r="W24" s="3402"/>
      <c r="X24" s="3403"/>
      <c r="Y24" s="3431"/>
      <c r="Z24" s="3432"/>
      <c r="AA24" s="2534">
        <f>IF(Principal!Y24="No",0,IF(SUM(Tablas!P236:P261)&gt;0,1,0))</f>
        <v>0</v>
      </c>
      <c r="AB24" s="2537">
        <f>40*Tablas!P248+80*Tablas!P249+120*Tablas!P250</f>
        <v>0</v>
      </c>
      <c r="AC24" s="96"/>
      <c r="AD24" s="340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07"/>
      <c r="AF24" s="3407"/>
      <c r="AG24" s="3407"/>
      <c r="AH24" s="3407"/>
      <c r="AI24" s="3407"/>
      <c r="AJ24" s="3408"/>
      <c r="AK24" s="3017"/>
      <c r="AL24" s="1812"/>
      <c r="AM24" s="3101"/>
      <c r="AN24" s="2716"/>
      <c r="AO24" s="2716"/>
      <c r="AP24" s="2716"/>
    </row>
    <row r="25" spans="1:46" ht="12" customHeight="1" x14ac:dyDescent="0.2">
      <c r="A25" s="45"/>
      <c r="B25" s="2385"/>
      <c r="C25" s="94" t="s">
        <v>1721</v>
      </c>
      <c r="D25" s="2545">
        <f>Combate!U17</f>
        <v>0</v>
      </c>
      <c r="E25" s="67"/>
      <c r="F25" s="3478" t="s">
        <v>1722</v>
      </c>
      <c r="G25" s="3479"/>
      <c r="H25" s="3480">
        <f>LlevarArmadura_final</f>
        <v>0</v>
      </c>
      <c r="I25" s="3476"/>
      <c r="J25" s="3477"/>
      <c r="K25" s="1786"/>
      <c r="L25" s="3309"/>
      <c r="M25" s="3296" t="s">
        <v>1723</v>
      </c>
      <c r="N25" s="3296"/>
      <c r="O25" s="3306">
        <f>Combate!$J$17+MAX(MIN(-20*IF(OR(Combate!E12=0,Combate!B12="Natural"),0,1)-20*IF(OR(Combate!E13=0,Combate!B13="Natural"),0,1)-20*IF(OR(Combate!E14=0,Combate!B14="Natural"),0,1)+20,0),-40)</f>
        <v>0</v>
      </c>
      <c r="P25" s="3306"/>
      <c r="Q25" s="1578">
        <f>IF(Nadar_final="-","-",Nadar_final+O25)</f>
        <v>-30</v>
      </c>
      <c r="R25" s="1794"/>
      <c r="S25" s="2682"/>
      <c r="T25" s="2683"/>
      <c r="U25" s="2719"/>
      <c r="V25" s="3412" t="s">
        <v>1724</v>
      </c>
      <c r="W25" s="3412"/>
      <c r="X25" s="3413"/>
      <c r="Y25" s="3431"/>
      <c r="Z25" s="3432"/>
      <c r="AA25" s="2164">
        <f>IF(Y25="Si",1,0)</f>
        <v>0</v>
      </c>
      <c r="AB25" s="98">
        <v>0</v>
      </c>
      <c r="AC25" s="96"/>
      <c r="AD25" s="3409"/>
      <c r="AE25" s="3410"/>
      <c r="AF25" s="3410"/>
      <c r="AG25" s="3410"/>
      <c r="AH25" s="3410"/>
      <c r="AI25" s="3410"/>
      <c r="AJ25" s="3411"/>
      <c r="AK25" s="3017"/>
      <c r="AL25" s="1812"/>
      <c r="AM25" s="3101"/>
      <c r="AN25" s="2716"/>
      <c r="AO25" s="2716"/>
      <c r="AP25" s="2716"/>
    </row>
    <row r="26" spans="1:46" ht="12" customHeight="1" x14ac:dyDescent="0.2">
      <c r="A26" s="45"/>
      <c r="B26" s="2385"/>
      <c r="C26" s="94" t="s">
        <v>8847</v>
      </c>
      <c r="D26" s="2545">
        <f>20+Tablas!$S$1211</f>
        <v>20</v>
      </c>
      <c r="E26" s="67"/>
      <c r="F26" s="3478"/>
      <c r="G26" s="3479"/>
      <c r="H26" s="3480"/>
      <c r="I26" s="3476"/>
      <c r="J26" s="3477"/>
      <c r="K26" s="1786"/>
      <c r="L26" s="3309"/>
      <c r="M26" s="3296" t="s">
        <v>1726</v>
      </c>
      <c r="N26" s="3296"/>
      <c r="O26" s="3306">
        <f>Combate!$U$17</f>
        <v>0</v>
      </c>
      <c r="P26" s="3306"/>
      <c r="Q26" s="1578">
        <f>IF(Trepar_final="-","-",Trepar_final+O26)</f>
        <v>-30</v>
      </c>
      <c r="R26" s="1794"/>
      <c r="S26" s="2682"/>
      <c r="T26" s="2683"/>
      <c r="U26" s="2719"/>
      <c r="V26" s="3427" t="s">
        <v>1727</v>
      </c>
      <c r="W26" s="3427"/>
      <c r="X26" s="3428"/>
      <c r="Y26" s="3429"/>
      <c r="Z26" s="3430"/>
      <c r="AA26" s="101">
        <f>ROUNDUP((Principal!$AB$26)/100,0)</f>
        <v>0</v>
      </c>
      <c r="AB26" s="2693"/>
      <c r="AC26" s="67"/>
      <c r="AD26" s="3409"/>
      <c r="AE26" s="3410"/>
      <c r="AF26" s="3410"/>
      <c r="AG26" s="3410"/>
      <c r="AH26" s="3410"/>
      <c r="AI26" s="3410"/>
      <c r="AJ26" s="3411"/>
      <c r="AK26" s="3017"/>
      <c r="AL26" s="1812"/>
      <c r="AM26" s="3101"/>
      <c r="AN26" s="2716"/>
      <c r="AO26" s="2716"/>
      <c r="AP26" s="2716"/>
    </row>
    <row r="27" spans="1:46" ht="12" customHeight="1" thickBot="1" x14ac:dyDescent="0.25">
      <c r="A27" s="45"/>
      <c r="B27" s="2385"/>
      <c r="C27" s="99" t="s">
        <v>1728</v>
      </c>
      <c r="D27" s="100"/>
      <c r="E27" s="67"/>
      <c r="F27" s="3485" t="str">
        <f>IF(Tablas!G519&gt;0,"Arma exclusiva:","Arma desarrollada:")</f>
        <v>Arma desarrollada:</v>
      </c>
      <c r="G27" s="3301"/>
      <c r="H27" s="3301"/>
      <c r="I27" s="3486"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87"/>
      <c r="K27" s="1786"/>
      <c r="L27" s="3309"/>
      <c r="M27" s="3296" t="s">
        <v>1729</v>
      </c>
      <c r="N27" s="3296"/>
      <c r="O27" s="3306">
        <f>Combate!$U$17</f>
        <v>0</v>
      </c>
      <c r="P27" s="3306"/>
      <c r="Q27" s="1578">
        <f>IF(Saltar_final="-","-",Saltar_final+O27)</f>
        <v>-30</v>
      </c>
      <c r="R27" s="1794"/>
      <c r="S27" s="2682"/>
      <c r="T27" s="2683"/>
      <c r="U27" s="2719"/>
      <c r="V27" s="3376" t="s">
        <v>1730</v>
      </c>
      <c r="W27" s="3376"/>
      <c r="X27" s="3376"/>
      <c r="Y27" s="3376"/>
      <c r="Z27" s="3376"/>
      <c r="AA27" s="2535">
        <f>SUM(AA22:AA26)</f>
        <v>0</v>
      </c>
      <c r="AB27" s="2533">
        <f>SUM(AB22:AB26)+50*Tablas!G345+100*Tablas!G346+150*Tablas!G347</f>
        <v>0</v>
      </c>
      <c r="AC27" s="67"/>
      <c r="AD27" s="2615"/>
      <c r="AE27" s="3380" t="s">
        <v>1731</v>
      </c>
      <c r="AF27" s="3380"/>
      <c r="AG27" s="3380"/>
      <c r="AH27" s="3380"/>
      <c r="AI27" s="3380"/>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1812"/>
      <c r="AM27" s="3101"/>
      <c r="AN27" s="2716"/>
      <c r="AO27" s="2716"/>
      <c r="AP27" s="2716"/>
    </row>
    <row r="28" spans="1:46" ht="12" customHeight="1" thickBot="1" x14ac:dyDescent="0.25">
      <c r="A28" s="45"/>
      <c r="B28" s="2385"/>
      <c r="C28" s="3381" t="s">
        <v>1658</v>
      </c>
      <c r="D28" s="3382">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83"/>
      <c r="G28" s="3384"/>
      <c r="H28" s="3384"/>
      <c r="I28" s="3486"/>
      <c r="J28" s="3487"/>
      <c r="K28" s="1788"/>
      <c r="L28" s="3310"/>
      <c r="M28" s="3311" t="s">
        <v>7754</v>
      </c>
      <c r="N28" s="3311"/>
      <c r="O28" s="3307"/>
      <c r="P28" s="3307"/>
      <c r="Q28" s="1579">
        <f>IF(Pilotar_final="-","-",Pilotar_final+O28)</f>
        <v>-30</v>
      </c>
      <c r="R28" s="1794"/>
      <c r="S28" s="2682"/>
      <c r="T28" s="2683"/>
      <c r="U28" s="2719"/>
      <c r="V28" s="67"/>
      <c r="W28" s="102"/>
      <c r="X28" s="102"/>
      <c r="Y28" s="102"/>
      <c r="Z28" s="102"/>
      <c r="AA28" s="102"/>
      <c r="AB28" s="102"/>
      <c r="AC28" s="102"/>
      <c r="AD28" s="102"/>
      <c r="AE28" s="102"/>
      <c r="AF28" s="67"/>
      <c r="AG28" s="67"/>
      <c r="AH28" s="67"/>
      <c r="AI28" s="67"/>
      <c r="AJ28" s="67"/>
      <c r="AK28" s="3017"/>
      <c r="AL28" s="1812"/>
      <c r="AM28" s="3101"/>
      <c r="AN28" s="2716"/>
      <c r="AO28" s="2716"/>
      <c r="AP28" s="2716"/>
    </row>
    <row r="29" spans="1:46" ht="12" customHeight="1" thickBot="1" x14ac:dyDescent="0.25">
      <c r="A29" s="45"/>
      <c r="B29" s="2385"/>
      <c r="C29" s="3381"/>
      <c r="D29" s="3382"/>
      <c r="E29" s="67"/>
      <c r="F29" s="3385" t="s">
        <v>1734</v>
      </c>
      <c r="G29" s="3386"/>
      <c r="H29" s="3386"/>
      <c r="I29" s="3386"/>
      <c r="J29" s="2530">
        <f>VLOOKUP(G13+G11,Tabla_NumAcciones,2)</f>
        <v>1</v>
      </c>
      <c r="K29" s="1786"/>
      <c r="L29" s="3309" t="s">
        <v>1732</v>
      </c>
      <c r="M29" s="3296" t="s">
        <v>1733</v>
      </c>
      <c r="N29" s="3296"/>
      <c r="O29" s="3306"/>
      <c r="P29" s="3306"/>
      <c r="Q29" s="1578">
        <f>IF(Estilo_final="-","-",Estilo_final+O29)</f>
        <v>-30</v>
      </c>
      <c r="R29" s="1794"/>
      <c r="S29" s="2682"/>
      <c r="T29" s="2683"/>
      <c r="U29" s="2719"/>
      <c r="V29" s="3172" t="s">
        <v>1736</v>
      </c>
      <c r="W29" s="3172"/>
      <c r="X29" s="3172"/>
      <c r="Y29" s="3172"/>
      <c r="Z29" s="3172"/>
      <c r="AA29" s="3172"/>
      <c r="AB29" s="3172"/>
      <c r="AC29" s="3172"/>
      <c r="AD29" s="3172"/>
      <c r="AE29" s="3172"/>
      <c r="AF29" s="3426" t="s">
        <v>1737</v>
      </c>
      <c r="AG29" s="3426"/>
      <c r="AH29" s="3426"/>
      <c r="AI29" s="3426"/>
      <c r="AJ29" s="3426"/>
      <c r="AK29" s="3017"/>
      <c r="AL29" s="1812"/>
      <c r="AM29" s="3099"/>
      <c r="AO29" s="2716"/>
      <c r="AP29" s="2716"/>
    </row>
    <row r="30" spans="1:46" ht="12" customHeight="1" thickBot="1" x14ac:dyDescent="0.25">
      <c r="A30" s="45"/>
      <c r="B30" s="2385"/>
      <c r="C30" s="67"/>
      <c r="D30" s="67"/>
      <c r="E30" s="67"/>
      <c r="F30" s="67"/>
      <c r="G30" s="67"/>
      <c r="H30" s="67"/>
      <c r="I30" s="67"/>
      <c r="J30" s="67"/>
      <c r="K30" s="1786"/>
      <c r="L30" s="3309"/>
      <c r="M30" s="3296" t="s">
        <v>1735</v>
      </c>
      <c r="N30" s="3296"/>
      <c r="O30" s="3306"/>
      <c r="P30" s="3306"/>
      <c r="Q30" s="1578">
        <f>IF(Intimidar_final="-","-",Intimidar_final+O30)</f>
        <v>-30</v>
      </c>
      <c r="R30" s="1794"/>
      <c r="S30" s="2682"/>
      <c r="T30" s="2683"/>
      <c r="U30" s="2719"/>
      <c r="V30" s="3268" t="str">
        <f>IF(Raza="","",VLOOKUP(Raza,Tabla_Razas,20,FALSE))</f>
        <v/>
      </c>
      <c r="W30" s="3269"/>
      <c r="X30" s="3269"/>
      <c r="Y30" s="3269"/>
      <c r="Z30" s="3269"/>
      <c r="AA30" s="3269"/>
      <c r="AB30" s="3269"/>
      <c r="AC30" s="3269"/>
      <c r="AD30" s="3269"/>
      <c r="AE30" s="3270"/>
      <c r="AF30" s="3387" t="str">
        <f>Tablas!R262</f>
        <v/>
      </c>
      <c r="AG30" s="3269"/>
      <c r="AH30" s="3269"/>
      <c r="AI30" s="3269"/>
      <c r="AJ30" s="3388"/>
      <c r="AK30" s="3018">
        <f>IF($G$45=0,0,VLOOKUP($G$45,Tabla_LegadosSangre,7,FALSE))</f>
        <v>0</v>
      </c>
      <c r="AL30" s="1812"/>
      <c r="AM30" s="3113"/>
      <c r="AO30" s="2716"/>
      <c r="AP30" s="2716"/>
    </row>
    <row r="31" spans="1:46" ht="12" customHeight="1" x14ac:dyDescent="0.2">
      <c r="A31" s="45"/>
      <c r="B31" s="2385"/>
      <c r="C31" s="3377" t="s">
        <v>1739</v>
      </c>
      <c r="D31" s="3378"/>
      <c r="E31" s="3378"/>
      <c r="F31" s="3378"/>
      <c r="G31" s="3378"/>
      <c r="H31" s="3378"/>
      <c r="I31" s="3379"/>
      <c r="J31" s="1899">
        <f>IF(Raza="Criatura",0,3)+TRUNC((PDs!S5+PDs!S7+PDs!S9+PDs!S11+PDs!S13)/2,0)-Tablas!C234+IF(Y23="PDs",0,IF($AB$13=0,0,VLOOKUP($AB$13,Tabla_Gnosis,3,FALSE)))</f>
        <v>3</v>
      </c>
      <c r="K31" s="1786"/>
      <c r="L31" s="3309"/>
      <c r="M31" s="3296" t="s">
        <v>1738</v>
      </c>
      <c r="N31" s="3296"/>
      <c r="O31" s="3306"/>
      <c r="P31" s="3306"/>
      <c r="Q31" s="1578">
        <f>IF(Liderazgo_final="-","-",Liderazgo_final+O31)</f>
        <v>-30</v>
      </c>
      <c r="R31" s="1794"/>
      <c r="S31" s="2682"/>
      <c r="T31" s="2683"/>
      <c r="U31" s="2719"/>
      <c r="V31" s="3271"/>
      <c r="W31" s="3272"/>
      <c r="X31" s="3272"/>
      <c r="Y31" s="3272"/>
      <c r="Z31" s="3272"/>
      <c r="AA31" s="3272"/>
      <c r="AB31" s="3272"/>
      <c r="AC31" s="3272"/>
      <c r="AD31" s="3272"/>
      <c r="AE31" s="3273"/>
      <c r="AF31" s="3389"/>
      <c r="AG31" s="3272"/>
      <c r="AH31" s="3272"/>
      <c r="AI31" s="3272"/>
      <c r="AJ31" s="3390"/>
      <c r="AK31" s="3018"/>
      <c r="AL31" s="1812"/>
      <c r="AM31" s="2715" t="s">
        <v>8812</v>
      </c>
      <c r="AO31" s="2716"/>
      <c r="AP31" s="2716"/>
    </row>
    <row r="32" spans="1:46" ht="12" customHeight="1" x14ac:dyDescent="0.2">
      <c r="A32" s="45"/>
      <c r="B32" s="2385"/>
      <c r="C32" s="3319"/>
      <c r="D32" s="3317"/>
      <c r="E32" s="3317"/>
      <c r="F32" s="3318"/>
      <c r="G32" s="3394"/>
      <c r="H32" s="3395"/>
      <c r="I32" s="3396"/>
      <c r="J32" s="3397"/>
      <c r="K32" s="1786"/>
      <c r="L32" s="3309"/>
      <c r="M32" s="3296" t="s">
        <v>1740</v>
      </c>
      <c r="N32" s="3296"/>
      <c r="O32" s="3306"/>
      <c r="P32" s="3306"/>
      <c r="Q32" s="1578">
        <f>IF(Persuasión_final="-","-",Persuasión_final+O32)</f>
        <v>-30</v>
      </c>
      <c r="R32" s="1794"/>
      <c r="S32" s="2682"/>
      <c r="T32" s="2683"/>
      <c r="U32" s="2719"/>
      <c r="V32" s="3271"/>
      <c r="W32" s="3272"/>
      <c r="X32" s="3272"/>
      <c r="Y32" s="3272"/>
      <c r="Z32" s="3272"/>
      <c r="AA32" s="3272"/>
      <c r="AB32" s="3272"/>
      <c r="AC32" s="3272"/>
      <c r="AD32" s="3272"/>
      <c r="AE32" s="3273"/>
      <c r="AF32" s="3389"/>
      <c r="AG32" s="3272"/>
      <c r="AH32" s="3272"/>
      <c r="AI32" s="3272"/>
      <c r="AJ32" s="3390"/>
      <c r="AK32" s="3018"/>
      <c r="AL32" s="1812"/>
      <c r="AM32" s="3101" t="s">
        <v>8070</v>
      </c>
      <c r="AN32" s="2716" t="str">
        <f>IF(AND(Raza="Criatura",AB13&lt;30),"$AO$36","Lista_VentajasComun")</f>
        <v>Lista_VentajasComun</v>
      </c>
      <c r="AO32" s="2716"/>
      <c r="AP32" s="2716"/>
    </row>
    <row r="33" spans="1:51" ht="12" customHeight="1" x14ac:dyDescent="0.2">
      <c r="A33" s="45"/>
      <c r="B33" s="2385"/>
      <c r="C33" s="3319"/>
      <c r="D33" s="3317"/>
      <c r="E33" s="3317"/>
      <c r="F33" s="3318"/>
      <c r="G33" s="3280"/>
      <c r="H33" s="3281"/>
      <c r="I33" s="3282"/>
      <c r="J33" s="3283"/>
      <c r="K33" s="1786"/>
      <c r="L33" s="3309"/>
      <c r="M33" s="3296" t="s">
        <v>1085</v>
      </c>
      <c r="N33" s="3296"/>
      <c r="O33" s="3306"/>
      <c r="P33" s="3306"/>
      <c r="Q33" s="1578">
        <f>IF(Comercio_final="-","-",Comercio_final+O33)</f>
        <v>-30</v>
      </c>
      <c r="R33" s="1794"/>
      <c r="S33" s="2682"/>
      <c r="T33" s="2683"/>
      <c r="U33" s="2719"/>
      <c r="V33" s="3271"/>
      <c r="W33" s="3272"/>
      <c r="X33" s="3272"/>
      <c r="Y33" s="3272"/>
      <c r="Z33" s="3272"/>
      <c r="AA33" s="3272"/>
      <c r="AB33" s="3272"/>
      <c r="AC33" s="3272"/>
      <c r="AD33" s="3272"/>
      <c r="AE33" s="3273"/>
      <c r="AF33" s="3389"/>
      <c r="AG33" s="3272"/>
      <c r="AH33" s="3272"/>
      <c r="AI33" s="3272"/>
      <c r="AJ33" s="3390"/>
      <c r="AK33" s="3018"/>
      <c r="AL33" s="1812"/>
      <c r="AM33" s="3101" t="s">
        <v>8071</v>
      </c>
      <c r="AN33" s="2716" t="str">
        <f>IF(AND(Raza="Criatura",AB13&lt;30),"$AO$36",IF($AN$38,"Lista_VentajasDonYPsi",IF($AN$36,"Lista_VentajasDon",IF($AN$37,"Lista_VentajasPsi","$AO$37"))))</f>
        <v>$AO$37</v>
      </c>
      <c r="AP33" s="2716"/>
    </row>
    <row r="34" spans="1:51" ht="12" customHeight="1" x14ac:dyDescent="0.2">
      <c r="A34" s="45"/>
      <c r="B34" s="2385"/>
      <c r="C34" s="3319"/>
      <c r="D34" s="3317"/>
      <c r="E34" s="3317"/>
      <c r="F34" s="3318"/>
      <c r="G34" s="3280"/>
      <c r="H34" s="3281"/>
      <c r="I34" s="3282"/>
      <c r="J34" s="3283"/>
      <c r="K34" s="1897"/>
      <c r="L34" s="3309"/>
      <c r="M34" s="3296" t="s">
        <v>1086</v>
      </c>
      <c r="N34" s="3296"/>
      <c r="O34" s="3399"/>
      <c r="P34" s="3399"/>
      <c r="Q34" s="1578">
        <f>IF(Callejeo_final="-","-",Callejeo_final+O34)</f>
        <v>-30</v>
      </c>
      <c r="R34" s="1794"/>
      <c r="S34" s="2682"/>
      <c r="T34" s="2683"/>
      <c r="U34" s="2719"/>
      <c r="V34" s="3271"/>
      <c r="W34" s="3272"/>
      <c r="X34" s="3272"/>
      <c r="Y34" s="3272"/>
      <c r="Z34" s="3272"/>
      <c r="AA34" s="3272"/>
      <c r="AB34" s="3272"/>
      <c r="AC34" s="3272"/>
      <c r="AD34" s="3272"/>
      <c r="AE34" s="3273"/>
      <c r="AF34" s="3391"/>
      <c r="AG34" s="3392"/>
      <c r="AH34" s="3392"/>
      <c r="AI34" s="3392"/>
      <c r="AJ34" s="3393"/>
      <c r="AK34" s="3018">
        <f>IF($G$45=0,0,VLOOKUP($G$45,Tabla_LegadosSangre,10,FALSE))</f>
        <v>0</v>
      </c>
      <c r="AL34" s="1812"/>
      <c r="AM34" s="3101" t="s">
        <v>8072</v>
      </c>
      <c r="AN34" s="2321" t="str">
        <f>IF(AND(Raza="Criatura",AB13&lt;30),"$AO$36","Lista_VentajasTrasfondo")</f>
        <v>Lista_VentajasTrasfondo</v>
      </c>
      <c r="AO34" s="2716"/>
      <c r="AP34" s="2716"/>
    </row>
    <row r="35" spans="1:51" ht="12" customHeight="1" thickBot="1" x14ac:dyDescent="0.25">
      <c r="A35" s="45"/>
      <c r="B35" s="2385"/>
      <c r="C35" s="3319"/>
      <c r="D35" s="3317"/>
      <c r="E35" s="3317"/>
      <c r="F35" s="3318"/>
      <c r="G35" s="3280"/>
      <c r="H35" s="3281"/>
      <c r="I35" s="3282"/>
      <c r="J35" s="3283"/>
      <c r="K35" s="1897"/>
      <c r="L35" s="3309"/>
      <c r="M35" s="3296" t="s">
        <v>1087</v>
      </c>
      <c r="N35" s="3296"/>
      <c r="O35" s="3399"/>
      <c r="P35" s="3399"/>
      <c r="Q35" s="1578">
        <f>IF(Etiqueta_final="-","-",Etiqueta_final+O35)</f>
        <v>-30</v>
      </c>
      <c r="R35" s="1794"/>
      <c r="S35" s="2682"/>
      <c r="T35" s="2683"/>
      <c r="U35" s="2719"/>
      <c r="V35" s="3274"/>
      <c r="W35" s="3275"/>
      <c r="X35" s="3275"/>
      <c r="Y35" s="3275"/>
      <c r="Z35" s="3275"/>
      <c r="AA35" s="3275"/>
      <c r="AB35" s="3275"/>
      <c r="AC35" s="3275"/>
      <c r="AD35" s="3275"/>
      <c r="AE35" s="3276"/>
      <c r="AF35" s="3398" t="str">
        <f>IF(ISNUMBER(SEARCH("Afinidad Elemental",AF30)),"+10 Daño base ataques elemento afín","")</f>
        <v/>
      </c>
      <c r="AG35" s="3398"/>
      <c r="AH35" s="3398"/>
      <c r="AI35" s="3398"/>
      <c r="AJ35" s="3398"/>
      <c r="AK35" s="3018">
        <f>IF($G$45=0,0,VLOOKUP($G$45,Tabla_LegadosSangre,13,FALSE))</f>
        <v>0</v>
      </c>
      <c r="AL35" s="1812"/>
      <c r="AM35" s="3101" t="s">
        <v>8073</v>
      </c>
      <c r="AN35" s="2716" t="str">
        <f>IF(AND(Raza="Criatura",AB13&lt;30),"$AO$36","Lista_LegadosSangre")</f>
        <v>Lista_LegadosSangre</v>
      </c>
      <c r="AO35" s="2716"/>
      <c r="AP35" s="2716"/>
    </row>
    <row r="36" spans="1:51" ht="12" customHeight="1" x14ac:dyDescent="0.2">
      <c r="A36" s="45"/>
      <c r="B36" s="2385"/>
      <c r="C36" s="3319"/>
      <c r="D36" s="3317"/>
      <c r="E36" s="3317"/>
      <c r="F36" s="3318"/>
      <c r="G36" s="3280"/>
      <c r="H36" s="3281"/>
      <c r="I36" s="3282"/>
      <c r="J36" s="3283"/>
      <c r="K36" s="1897"/>
      <c r="L36" s="3308" t="s">
        <v>1741</v>
      </c>
      <c r="M36" s="3312" t="s">
        <v>1742</v>
      </c>
      <c r="N36" s="3312"/>
      <c r="O36" s="3316">
        <f>IF(Combate!E15=0,0,VLOOKUP(Combate!E15,Tablas!$D$613:$Q$620,3))</f>
        <v>0</v>
      </c>
      <c r="P36" s="3316"/>
      <c r="Q36" s="1577">
        <f>IF(Advertir_final="-","-",Advertir_final+O36)</f>
        <v>-30</v>
      </c>
      <c r="R36" s="1794"/>
      <c r="S36" s="2682"/>
      <c r="T36" s="2683"/>
      <c r="U36" s="2719"/>
      <c r="V36" s="3130" t="s">
        <v>8671</v>
      </c>
      <c r="W36" s="3131"/>
      <c r="X36" s="3131"/>
      <c r="Y36" s="3131"/>
      <c r="Z36" s="3131"/>
      <c r="AA36" s="3131"/>
      <c r="AB36" s="3131"/>
      <c r="AC36" s="3131"/>
      <c r="AD36" s="3131"/>
      <c r="AE36" s="3131"/>
      <c r="AF36" s="3131"/>
      <c r="AG36" s="3131"/>
      <c r="AH36" s="3131"/>
      <c r="AI36" s="3131"/>
      <c r="AJ36" s="3132"/>
      <c r="AK36" s="3018">
        <f>IF($G$41=0,0,VLOOKUP($G$41,Tabla_LegadosSangre,7,FALSE))</f>
        <v>0</v>
      </c>
      <c r="AL36" s="1812"/>
      <c r="AM36" s="3101" t="s">
        <v>8074</v>
      </c>
      <c r="AN36" s="2716" t="b">
        <f>OR(ISNUMBER(SEARCH("Don",$C32&amp;$C33&amp;$C34&amp;$C35&amp;$C36&amp;$C37&amp;$C38&amp;$C39)),Tablas!H1194&gt;0)</f>
        <v>0</v>
      </c>
      <c r="AO36" s="2716" t="s">
        <v>10017</v>
      </c>
      <c r="AP36" s="2716"/>
    </row>
    <row r="37" spans="1:51" ht="12" customHeight="1" x14ac:dyDescent="0.2">
      <c r="A37" s="45"/>
      <c r="B37" s="2385"/>
      <c r="C37" s="3319"/>
      <c r="D37" s="3317"/>
      <c r="E37" s="3317"/>
      <c r="F37" s="3318"/>
      <c r="G37" s="3280"/>
      <c r="H37" s="3281"/>
      <c r="I37" s="3282"/>
      <c r="J37" s="3283"/>
      <c r="K37" s="1897"/>
      <c r="L37" s="3309"/>
      <c r="M37" s="3296" t="s">
        <v>1743</v>
      </c>
      <c r="N37" s="3296"/>
      <c r="O37" s="3306">
        <f>IF(Combate!E15=0,0,VLOOKUP(Combate!E15,Tablas!$D$613:$Q$620,3))</f>
        <v>0</v>
      </c>
      <c r="P37" s="3306"/>
      <c r="Q37" s="1578">
        <f>IF(Buscar_final="-","-",Buscar_final+O37)</f>
        <v>-30</v>
      </c>
      <c r="R37" s="1794"/>
      <c r="S37" s="2682"/>
      <c r="T37" s="2683"/>
      <c r="U37" s="2719"/>
      <c r="V37" s="3262" t="str">
        <f>IF(Nephilim="","",VLOOKUP(Nephilim,Tabla_Razas,20,FALSE))</f>
        <v/>
      </c>
      <c r="W37" s="3263"/>
      <c r="X37" s="3263"/>
      <c r="Y37" s="3263"/>
      <c r="Z37" s="3263"/>
      <c r="AA37" s="3263"/>
      <c r="AB37" s="3263"/>
      <c r="AC37" s="3263"/>
      <c r="AD37" s="3263"/>
      <c r="AE37" s="3263"/>
      <c r="AF37" s="3263"/>
      <c r="AG37" s="3263"/>
      <c r="AH37" s="3263"/>
      <c r="AI37" s="3263"/>
      <c r="AJ37" s="3264"/>
      <c r="AK37" s="3018">
        <f>IF($G$41=0,0,VLOOKUP($G$41,Tabla_LegadosSangre,10,FALSE))</f>
        <v>0</v>
      </c>
      <c r="AL37" s="1812"/>
      <c r="AM37" s="3101" t="s">
        <v>8075</v>
      </c>
      <c r="AN37" s="2716" t="b">
        <f>OR(ISNUMBER(SEARCH("psiquica",$C32&amp;$C33&amp;$C34&amp;$C35&amp;$C36&amp;$C37&amp;$C38&amp;$C39)),Tablas!H1195&gt;0,Tablas!H1196&gt;0)</f>
        <v>0</v>
      </c>
      <c r="AO37" s="2716" t="s">
        <v>8811</v>
      </c>
      <c r="AP37" s="2716"/>
    </row>
    <row r="38" spans="1:51" ht="12" customHeight="1" thickBot="1" x14ac:dyDescent="0.25">
      <c r="A38" s="45"/>
      <c r="B38" s="1498"/>
      <c r="C38" s="3319"/>
      <c r="D38" s="3317"/>
      <c r="E38" s="3317"/>
      <c r="F38" s="3318"/>
      <c r="G38" s="3280"/>
      <c r="H38" s="3281"/>
      <c r="I38" s="3282"/>
      <c r="J38" s="3283"/>
      <c r="K38" s="1897"/>
      <c r="L38" s="3310"/>
      <c r="M38" s="3311" t="s">
        <v>1744</v>
      </c>
      <c r="N38" s="3311"/>
      <c r="O38" s="3307"/>
      <c r="P38" s="3307"/>
      <c r="Q38" s="1579">
        <f>IF(Rastrear_final="-","-",Rastrear_final+O38)</f>
        <v>-30</v>
      </c>
      <c r="R38" s="1794"/>
      <c r="S38" s="2682"/>
      <c r="T38" s="2683"/>
      <c r="U38" s="2719"/>
      <c r="V38" s="3265"/>
      <c r="W38" s="3266"/>
      <c r="X38" s="3266"/>
      <c r="Y38" s="3266"/>
      <c r="Z38" s="3266"/>
      <c r="AA38" s="3266"/>
      <c r="AB38" s="3266"/>
      <c r="AC38" s="3266"/>
      <c r="AD38" s="3266"/>
      <c r="AE38" s="3266"/>
      <c r="AF38" s="3266"/>
      <c r="AG38" s="3266"/>
      <c r="AH38" s="3266"/>
      <c r="AI38" s="3266"/>
      <c r="AJ38" s="3267"/>
      <c r="AK38" s="2004"/>
      <c r="AL38" s="1812"/>
      <c r="AM38" s="3101" t="s">
        <v>8076</v>
      </c>
      <c r="AN38" s="2716" t="b">
        <f>AND($AN$37,$AN$36)</f>
        <v>0</v>
      </c>
      <c r="AO38" s="2716"/>
      <c r="AP38" s="2716"/>
    </row>
    <row r="39" spans="1:51" ht="12" customHeight="1" x14ac:dyDescent="0.2">
      <c r="A39" s="45"/>
      <c r="B39" s="1498"/>
      <c r="C39" s="3319"/>
      <c r="D39" s="3317"/>
      <c r="E39" s="3317"/>
      <c r="F39" s="3318"/>
      <c r="G39" s="3280"/>
      <c r="H39" s="3281"/>
      <c r="I39" s="3282"/>
      <c r="J39" s="3283"/>
      <c r="K39" s="1897"/>
      <c r="L39" s="3309" t="s">
        <v>1745</v>
      </c>
      <c r="M39" s="3296" t="s">
        <v>1746</v>
      </c>
      <c r="N39" s="3296"/>
      <c r="O39" s="3306"/>
      <c r="P39" s="3306"/>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1812"/>
      <c r="AM39" s="3101"/>
      <c r="AN39" s="2716"/>
      <c r="AO39" s="2716"/>
      <c r="AP39" s="2716"/>
    </row>
    <row r="40" spans="1:51" ht="12" customHeight="1" x14ac:dyDescent="0.2">
      <c r="A40" s="45"/>
      <c r="B40" s="1498"/>
      <c r="C40" s="3371"/>
      <c r="D40" s="3289"/>
      <c r="E40" s="3289"/>
      <c r="F40" s="3290"/>
      <c r="G40" s="3303"/>
      <c r="H40" s="3304"/>
      <c r="I40" s="3304"/>
      <c r="J40" s="3305"/>
      <c r="K40" s="1897"/>
      <c r="L40" s="3309"/>
      <c r="M40" s="3296" t="s">
        <v>1747</v>
      </c>
      <c r="N40" s="3296"/>
      <c r="O40" s="3306"/>
      <c r="P40" s="3306"/>
      <c r="Q40" s="1578" t="str">
        <f>IF(Ciencia_final="-","-",Ciencia_final+O40)</f>
        <v>-</v>
      </c>
      <c r="R40" s="1794"/>
      <c r="S40" s="2682"/>
      <c r="T40" s="2683"/>
      <c r="U40" s="2719"/>
      <c r="V40" s="3291" t="s">
        <v>1749</v>
      </c>
      <c r="W40" s="3292"/>
      <c r="X40" s="3292"/>
      <c r="Y40" s="3292"/>
      <c r="Z40" s="3292"/>
      <c r="AA40" s="3292"/>
      <c r="AB40" s="3292"/>
      <c r="AC40" s="3292"/>
      <c r="AD40" s="3292"/>
      <c r="AE40" s="3292"/>
      <c r="AF40" s="3292"/>
      <c r="AG40" s="3293"/>
      <c r="AH40" s="3294" t="s">
        <v>1681</v>
      </c>
      <c r="AI40" s="3295"/>
      <c r="AJ40" s="2660">
        <f>IF(ISNUMBER(SUM(AJ42:AJ69)+AJ70),SUM(AJ42:AJ69)+AJ70,0)</f>
        <v>0</v>
      </c>
      <c r="AK40" s="3017"/>
      <c r="AL40" s="1812"/>
      <c r="AM40" s="3101"/>
      <c r="AN40" s="2716"/>
      <c r="AO40" s="2716"/>
      <c r="AP40" s="3114"/>
    </row>
    <row r="41" spans="1:51" ht="12" customHeight="1" x14ac:dyDescent="0.2">
      <c r="A41" s="45"/>
      <c r="B41" s="1498"/>
      <c r="C41" s="3319"/>
      <c r="D41" s="3317"/>
      <c r="E41" s="3317"/>
      <c r="F41" s="3317"/>
      <c r="G41" s="3313"/>
      <c r="H41" s="3314"/>
      <c r="I41" s="3314"/>
      <c r="J41" s="3315"/>
      <c r="K41" s="1897"/>
      <c r="L41" s="3309"/>
      <c r="M41" s="3296" t="s">
        <v>2993</v>
      </c>
      <c r="N41" s="3296"/>
      <c r="O41" s="3306"/>
      <c r="P41" s="3306"/>
      <c r="Q41" s="1578">
        <f>IF(Ley_final="-","-",Ley_final+O41)</f>
        <v>-30</v>
      </c>
      <c r="R41" s="1794"/>
      <c r="S41" s="2684"/>
      <c r="T41" s="2683"/>
      <c r="U41" s="2719"/>
      <c r="V41" s="3301" t="s">
        <v>10009</v>
      </c>
      <c r="W41" s="3301"/>
      <c r="X41" s="3301"/>
      <c r="Y41" s="3301"/>
      <c r="Z41" s="3301"/>
      <c r="AA41" s="3302"/>
      <c r="AB41" s="3285" t="s">
        <v>1752</v>
      </c>
      <c r="AC41" s="3286"/>
      <c r="AD41" s="3286"/>
      <c r="AE41" s="3287"/>
      <c r="AF41" s="3286" t="s">
        <v>8957</v>
      </c>
      <c r="AG41" s="3286"/>
      <c r="AH41" s="3288"/>
      <c r="AI41" s="2659" t="s">
        <v>1685</v>
      </c>
      <c r="AJ41" s="2518" t="s">
        <v>1686</v>
      </c>
      <c r="AK41" s="3017"/>
      <c r="AL41" s="1812"/>
      <c r="AM41" s="3101" t="s">
        <v>10007</v>
      </c>
      <c r="AN41" s="2716"/>
      <c r="AO41" s="2716" t="s">
        <v>10008</v>
      </c>
      <c r="AP41" s="3107"/>
    </row>
    <row r="42" spans="1:51" ht="12" customHeight="1" x14ac:dyDescent="0.2">
      <c r="A42" s="45"/>
      <c r="B42" s="1498"/>
      <c r="C42" s="3319"/>
      <c r="D42" s="3317"/>
      <c r="E42" s="3317"/>
      <c r="F42" s="3317"/>
      <c r="G42" s="3313"/>
      <c r="H42" s="3314"/>
      <c r="I42" s="3314"/>
      <c r="J42" s="3315"/>
      <c r="K42" s="1897"/>
      <c r="L42" s="3309"/>
      <c r="M42" s="3296" t="s">
        <v>1748</v>
      </c>
      <c r="N42" s="3296"/>
      <c r="O42" s="3306"/>
      <c r="P42" s="3306"/>
      <c r="Q42" s="1578">
        <f>IF(Herbolaria_final="-","-",Herbolaria_final+O42)</f>
        <v>-30</v>
      </c>
      <c r="R42" s="1794"/>
      <c r="S42" s="2684">
        <f>IF(V42="",MAX($S$41:S41)+1,0)</f>
        <v>1</v>
      </c>
      <c r="T42" s="2683">
        <f>IF(V42="",0,MAX($T$41:T41)+1)</f>
        <v>0</v>
      </c>
      <c r="U42" s="2720">
        <f>IF(V42="",Tablas!A1,V42&amp;1)</f>
        <v>1</v>
      </c>
      <c r="V42" s="3297"/>
      <c r="W42" s="3298"/>
      <c r="X42" s="3298"/>
      <c r="Y42" s="3298"/>
      <c r="Z42" s="3298"/>
      <c r="AA42" s="3298"/>
      <c r="AB42" s="3284"/>
      <c r="AC42" s="3279"/>
      <c r="AD42" s="3279"/>
      <c r="AE42" s="3279"/>
      <c r="AF42" s="3289"/>
      <c r="AG42" s="3289"/>
      <c r="AH42" s="3290"/>
      <c r="AI42" s="2495" t="str">
        <f t="shared" ref="AI42:AI69" si="7">IF(AB42="","",VLOOKUP(AB42&amp;IF(AF42="",""," "&amp;AF42),Tabla_PodCriatura,2,FALSE))</f>
        <v/>
      </c>
      <c r="AJ42" s="253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7" t="str">
        <f>SUBSTITUTE(IF(AB42="","",VLOOKUP(AB42,Tabla_Listas_PodHabMonstruo,3,FALSE)),".","")</f>
        <v/>
      </c>
      <c r="AL42" s="1812"/>
      <c r="AM42" s="3101" t="str">
        <f>AB42&amp;IF(AF42="",""," "&amp;AF42)</f>
        <v/>
      </c>
      <c r="AN42" s="2716"/>
      <c r="AO42" s="1707">
        <f>COUNTIF($AB$41:AB41,AB42&amp;"*")</f>
        <v>1</v>
      </c>
      <c r="AP42" s="3107"/>
      <c r="AQ42" s="3101" t="s">
        <v>8069</v>
      </c>
      <c r="AS42" s="3101" t="s">
        <v>8069</v>
      </c>
    </row>
    <row r="43" spans="1:51" ht="12" customHeight="1" x14ac:dyDescent="0.2">
      <c r="A43" s="45"/>
      <c r="B43" s="1498"/>
      <c r="C43" s="3319"/>
      <c r="D43" s="3317"/>
      <c r="E43" s="3317"/>
      <c r="F43" s="3317"/>
      <c r="G43" s="3320"/>
      <c r="H43" s="3321"/>
      <c r="I43" s="3321"/>
      <c r="J43" s="3322"/>
      <c r="K43" s="1897"/>
      <c r="L43" s="3309"/>
      <c r="M43" s="3296" t="s">
        <v>1750</v>
      </c>
      <c r="N43" s="3296"/>
      <c r="O43" s="3306"/>
      <c r="P43" s="3306"/>
      <c r="Q43" s="1578" t="str">
        <f>IF(Historia_final="-","-",Historia_final+O43)</f>
        <v>-</v>
      </c>
      <c r="R43" s="1794"/>
      <c r="S43" s="2684">
        <f>IF(V43="",MAX($S$41:S42)+1,0)</f>
        <v>2</v>
      </c>
      <c r="T43" s="2683">
        <f>IF(V43="",0,MAX($T$41:T42)+1)</f>
        <v>0</v>
      </c>
      <c r="U43" s="2720">
        <f>IF(V43="",Tablas!A2,IF(COUNTIF(V$42:V42,V43)&gt;0,V43&amp;COUNTIF(V$42:V42,V43)+1,V43&amp;1))</f>
        <v>2</v>
      </c>
      <c r="V43" s="3299"/>
      <c r="W43" s="3300"/>
      <c r="X43" s="3300"/>
      <c r="Y43" s="3300"/>
      <c r="Z43" s="3300"/>
      <c r="AA43" s="3300"/>
      <c r="AB43" s="3258"/>
      <c r="AC43" s="3259"/>
      <c r="AD43" s="3259"/>
      <c r="AE43" s="3259"/>
      <c r="AF43" s="3254"/>
      <c r="AG43" s="3254"/>
      <c r="AH43" s="3255"/>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1812"/>
      <c r="AM43" s="3101" t="str">
        <f t="shared" ref="AM43:AM69" si="8">AB43&amp;IF(AF43="",""," "&amp;AF43)</f>
        <v/>
      </c>
      <c r="AN43" s="2716"/>
      <c r="AO43" s="1707">
        <f>COUNTIF($AB$41:AB42,AB43&amp;"*")</f>
        <v>1</v>
      </c>
      <c r="AP43" s="3107"/>
      <c r="AQ43" s="3099" t="str">
        <f>IF(A48="","",VLOOKUP(A48,Tablas!$E$491:$J$557,6,FALSE))</f>
        <v/>
      </c>
      <c r="AS43" s="3099" t="str">
        <f>IF(C48="","",VLOOKUP(C48,Tablas!$E$491:$J$557,6,FALSE))</f>
        <v/>
      </c>
    </row>
    <row r="44" spans="1:51" ht="12" customHeight="1" x14ac:dyDescent="0.2">
      <c r="A44" s="45"/>
      <c r="B44" s="1498"/>
      <c r="C44" s="3319"/>
      <c r="D44" s="3317"/>
      <c r="E44" s="3317"/>
      <c r="F44" s="3317"/>
      <c r="G44" s="3303"/>
      <c r="H44" s="3304"/>
      <c r="I44" s="3304"/>
      <c r="J44" s="3305"/>
      <c r="K44" s="1789"/>
      <c r="L44" s="3309"/>
      <c r="M44" s="3296" t="s">
        <v>1088</v>
      </c>
      <c r="N44" s="3296"/>
      <c r="O44" s="3306"/>
      <c r="P44" s="3306"/>
      <c r="Q44" s="1578">
        <f>IF(Tactica_final="-","-",Tactica_final+O44)</f>
        <v>-30</v>
      </c>
      <c r="R44" s="1794"/>
      <c r="S44" s="2684">
        <f>IF(V44="",MAX($S$41:S43)+1,0)</f>
        <v>3</v>
      </c>
      <c r="T44" s="2683">
        <f>IF(V44="",0,MAX($T$41:T43)+1)</f>
        <v>0</v>
      </c>
      <c r="U44" s="2720">
        <f>IF(V44="",Tablas!A3,IF(COUNTIF(V$42:V43,V44)&gt;0,V44&amp;COUNTIF(V$42:V43,V44)+1,V44&amp;1))</f>
        <v>3</v>
      </c>
      <c r="V44" s="3299"/>
      <c r="W44" s="3300"/>
      <c r="X44" s="3300"/>
      <c r="Y44" s="3300"/>
      <c r="Z44" s="3300"/>
      <c r="AA44" s="3300"/>
      <c r="AB44" s="3258"/>
      <c r="AC44" s="3259"/>
      <c r="AD44" s="3259"/>
      <c r="AE44" s="3259"/>
      <c r="AF44" s="3317"/>
      <c r="AG44" s="3317"/>
      <c r="AH44" s="3318"/>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1812"/>
      <c r="AM44" s="3101" t="str">
        <f t="shared" si="8"/>
        <v/>
      </c>
      <c r="AN44" s="2716"/>
      <c r="AO44" s="1707">
        <f>COUNTIF($AB$41:AB43,AB44&amp;"*")</f>
        <v>1</v>
      </c>
      <c r="AP44" s="2716"/>
      <c r="AQ44" s="3099" t="str">
        <f>IF(A49="","",VLOOKUP(A49,Tablas!$E$491:$J$557,6,FALSE))</f>
        <v/>
      </c>
      <c r="AS44" s="3099" t="str">
        <f>IF(C49="","",VLOOKUP(C49,Tablas!$E$491:$J$557,6,FALSE))</f>
        <v/>
      </c>
      <c r="AY44" s="1884"/>
    </row>
    <row r="45" spans="1:51" ht="12" customHeight="1" x14ac:dyDescent="0.2">
      <c r="A45" s="45"/>
      <c r="B45" s="2385"/>
      <c r="C45" s="3319"/>
      <c r="D45" s="3317"/>
      <c r="E45" s="3317"/>
      <c r="F45" s="3317"/>
      <c r="G45" s="3323"/>
      <c r="H45" s="3324"/>
      <c r="I45" s="3324"/>
      <c r="J45" s="3325"/>
      <c r="K45" s="1789"/>
      <c r="L45" s="3309"/>
      <c r="M45" s="3296" t="s">
        <v>1753</v>
      </c>
      <c r="N45" s="3296"/>
      <c r="O45" s="3306"/>
      <c r="P45" s="3306"/>
      <c r="Q45" s="1578" t="str">
        <f>IF(Medicina_final="-","-",Medicina_final+O45)</f>
        <v>-</v>
      </c>
      <c r="R45" s="1794"/>
      <c r="S45" s="2684">
        <f>IF(V45="",MAX($S$41:S44)+1,0)</f>
        <v>4</v>
      </c>
      <c r="T45" s="2683">
        <f>IF(V45="",0,MAX($T$41:T44)+1)</f>
        <v>0</v>
      </c>
      <c r="U45" s="2720">
        <f>IF(V45="",Tablas!A4,IF(COUNTIF(V$42:V44,V45)&gt;0,V45&amp;COUNTIF(V$42:V44,V45)+1,V45&amp;1))</f>
        <v>4</v>
      </c>
      <c r="V45" s="3299"/>
      <c r="W45" s="3300"/>
      <c r="X45" s="3300"/>
      <c r="Y45" s="3300"/>
      <c r="Z45" s="3300"/>
      <c r="AA45" s="3300"/>
      <c r="AB45" s="3258"/>
      <c r="AC45" s="3259"/>
      <c r="AD45" s="3259"/>
      <c r="AE45" s="3259"/>
      <c r="AF45" s="3254"/>
      <c r="AG45" s="3254"/>
      <c r="AH45" s="3255"/>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1812"/>
      <c r="AM45" s="3101" t="str">
        <f t="shared" si="8"/>
        <v/>
      </c>
      <c r="AN45" s="2716"/>
      <c r="AO45" s="1707">
        <f>COUNTIF($AB$41:AB44,AB45&amp;"*")</f>
        <v>1</v>
      </c>
      <c r="AP45" s="2716"/>
      <c r="AS45" s="3099" t="str">
        <f>IF(C50="","",VLOOKUP(C50,Tablas!$E$491:$J$557,6,FALSE))</f>
        <v/>
      </c>
      <c r="AY45" s="1884"/>
    </row>
    <row r="46" spans="1:51" ht="12" customHeight="1" x14ac:dyDescent="0.2">
      <c r="A46" s="45"/>
      <c r="B46" s="2385"/>
      <c r="C46" s="3369"/>
      <c r="D46" s="3370"/>
      <c r="E46" s="3370"/>
      <c r="F46" s="3370"/>
      <c r="G46" s="3323"/>
      <c r="H46" s="3324"/>
      <c r="I46" s="3324"/>
      <c r="J46" s="3325"/>
      <c r="K46" s="1789"/>
      <c r="L46" s="3309"/>
      <c r="M46" s="3296" t="s">
        <v>1754</v>
      </c>
      <c r="N46" s="3296"/>
      <c r="O46" s="3306"/>
      <c r="P46" s="3306"/>
      <c r="Q46" s="1578">
        <f>IF(Memorizar_final="-","-",Memorizar_final+O46)</f>
        <v>-30</v>
      </c>
      <c r="R46" s="1794"/>
      <c r="S46" s="2684">
        <f>IF(V46="",MAX($S$41:S45)+1,0)</f>
        <v>5</v>
      </c>
      <c r="T46" s="2683">
        <f>IF(V46="",0,MAX($T$41:T45)+1)</f>
        <v>0</v>
      </c>
      <c r="U46" s="2720">
        <f>IF(V46="",Tablas!A5,IF(COUNTIF(V$42:V45,V46)&gt;0,V46&amp;COUNTIF(V$42:V45,V46)+1,V46&amp;1))</f>
        <v>5</v>
      </c>
      <c r="V46" s="3299"/>
      <c r="W46" s="3300"/>
      <c r="X46" s="3300"/>
      <c r="Y46" s="3300"/>
      <c r="Z46" s="3300"/>
      <c r="AA46" s="3300"/>
      <c r="AB46" s="3258"/>
      <c r="AC46" s="3259"/>
      <c r="AD46" s="3259"/>
      <c r="AE46" s="3259"/>
      <c r="AF46" s="3254"/>
      <c r="AG46" s="3254"/>
      <c r="AH46" s="3255"/>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1812"/>
      <c r="AM46" s="3101" t="str">
        <f t="shared" si="8"/>
        <v/>
      </c>
      <c r="AN46" s="2716"/>
      <c r="AO46" s="2716"/>
      <c r="AP46" s="2716"/>
    </row>
    <row r="47" spans="1:51" ht="12" customHeight="1" x14ac:dyDescent="0.2">
      <c r="A47" s="45"/>
      <c r="B47" s="2385"/>
      <c r="C47" s="3372" t="s">
        <v>3301</v>
      </c>
      <c r="D47" s="3373"/>
      <c r="E47" s="3373"/>
      <c r="F47" s="3373"/>
      <c r="G47" s="3323"/>
      <c r="H47" s="3324"/>
      <c r="I47" s="3324"/>
      <c r="J47" s="3325"/>
      <c r="K47" s="1787"/>
      <c r="L47" s="3309"/>
      <c r="M47" s="3296" t="s">
        <v>1755</v>
      </c>
      <c r="N47" s="3296"/>
      <c r="O47" s="3306"/>
      <c r="P47" s="3306"/>
      <c r="Q47" s="1578">
        <f>IF(Navegación_final="-","-",Navegación_final+O47)</f>
        <v>-30</v>
      </c>
      <c r="R47" s="1794"/>
      <c r="S47" s="2684">
        <f>IF(V47="",MAX($S$41:S46)+1,0)</f>
        <v>6</v>
      </c>
      <c r="T47" s="2683">
        <f>IF(V47="",0,MAX($T$41:T46)+1)</f>
        <v>0</v>
      </c>
      <c r="U47" s="2720">
        <f>IF(V47="",Tablas!A6,IF(COUNTIF(V$42:V46,V47)&gt;0,V47&amp;COUNTIF(V$42:V46,V47)+1,V47&amp;1))</f>
        <v>6</v>
      </c>
      <c r="V47" s="3299"/>
      <c r="W47" s="3300"/>
      <c r="X47" s="3300"/>
      <c r="Y47" s="3300"/>
      <c r="Z47" s="3300"/>
      <c r="AA47" s="3300"/>
      <c r="AB47" s="3258"/>
      <c r="AC47" s="3259"/>
      <c r="AD47" s="3259"/>
      <c r="AE47" s="3259"/>
      <c r="AF47" s="3254"/>
      <c r="AG47" s="3254"/>
      <c r="AH47" s="3255"/>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1812"/>
      <c r="AM47" s="3101" t="str">
        <f t="shared" si="8"/>
        <v/>
      </c>
      <c r="AN47" s="2717"/>
      <c r="AP47" s="2716"/>
    </row>
    <row r="48" spans="1:51" ht="12" customHeight="1" x14ac:dyDescent="0.2">
      <c r="A48" s="45"/>
      <c r="B48" s="2385"/>
      <c r="C48" s="3374"/>
      <c r="D48" s="3375"/>
      <c r="E48" s="3375"/>
      <c r="F48" s="3375"/>
      <c r="G48" s="3323"/>
      <c r="H48" s="3324"/>
      <c r="I48" s="3324"/>
      <c r="J48" s="3325"/>
      <c r="K48" s="1789"/>
      <c r="L48" s="3309"/>
      <c r="M48" s="3296" t="s">
        <v>1756</v>
      </c>
      <c r="N48" s="3296"/>
      <c r="O48" s="3306"/>
      <c r="P48" s="3306"/>
      <c r="Q48" s="1578">
        <f>IF(Ocultismo_final="-","-",Ocultismo_final+O48)</f>
        <v>-30</v>
      </c>
      <c r="R48" s="1794"/>
      <c r="S48" s="2684">
        <f>IF(V48="",MAX($S$41:S47)+1,0)</f>
        <v>7</v>
      </c>
      <c r="T48" s="2683">
        <f>IF(V48="",0,MAX($T$41:T47)+1)</f>
        <v>0</v>
      </c>
      <c r="U48" s="2720">
        <f>IF(V48="",Tablas!A7,IF(COUNTIF(V$42:V47,V48)&gt;0,V48&amp;COUNTIF(V$42:V47,V48)+1,V48&amp;1))</f>
        <v>7</v>
      </c>
      <c r="V48" s="3299"/>
      <c r="W48" s="3300"/>
      <c r="X48" s="3300"/>
      <c r="Y48" s="3300"/>
      <c r="Z48" s="3300"/>
      <c r="AA48" s="3300"/>
      <c r="AB48" s="3258"/>
      <c r="AC48" s="3259"/>
      <c r="AD48" s="3259"/>
      <c r="AE48" s="3259"/>
      <c r="AF48" s="3254"/>
      <c r="AG48" s="3254"/>
      <c r="AH48" s="3255"/>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1812"/>
      <c r="AM48" s="3101" t="str">
        <f t="shared" si="8"/>
        <v/>
      </c>
      <c r="AN48" s="2717"/>
      <c r="AP48" s="2716"/>
    </row>
    <row r="49" spans="1:51" ht="12" customHeight="1" x14ac:dyDescent="0.2">
      <c r="A49" s="45"/>
      <c r="B49" s="2385"/>
      <c r="C49" s="3360"/>
      <c r="D49" s="3361"/>
      <c r="E49" s="3361"/>
      <c r="F49" s="3361"/>
      <c r="G49" s="3323"/>
      <c r="H49" s="3324"/>
      <c r="I49" s="3324"/>
      <c r="J49" s="3325"/>
      <c r="K49" s="1786"/>
      <c r="L49" s="3309"/>
      <c r="M49" s="3296" t="s">
        <v>1757</v>
      </c>
      <c r="N49" s="3296"/>
      <c r="O49" s="3306"/>
      <c r="P49" s="3306"/>
      <c r="Q49" s="1578" t="str">
        <f>IF(Tasación_final="-","-",Tasación_final+O49)</f>
        <v>-</v>
      </c>
      <c r="R49" s="1794"/>
      <c r="S49" s="2684">
        <f>IF(V49="",MAX($S$41:S48)+1,0)</f>
        <v>8</v>
      </c>
      <c r="T49" s="2683">
        <f>IF(V49="",0,MAX($T$41:T48)+1)</f>
        <v>0</v>
      </c>
      <c r="U49" s="2720">
        <f>IF(V49="",Tablas!A8,IF(COUNTIF(V$42:V48,V49)&gt;0,V49&amp;COUNTIF(V$42:V48,V49)+1,V49&amp;1))</f>
        <v>8</v>
      </c>
      <c r="V49" s="3299"/>
      <c r="W49" s="3300"/>
      <c r="X49" s="3300"/>
      <c r="Y49" s="3300"/>
      <c r="Z49" s="3300"/>
      <c r="AA49" s="3300"/>
      <c r="AB49" s="3258"/>
      <c r="AC49" s="3259"/>
      <c r="AD49" s="3259"/>
      <c r="AE49" s="3259"/>
      <c r="AF49" s="3254"/>
      <c r="AG49" s="3254"/>
      <c r="AH49" s="3255"/>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1812"/>
      <c r="AM49" s="3101" t="str">
        <f t="shared" si="8"/>
        <v/>
      </c>
      <c r="AN49" s="2716"/>
      <c r="AP49" s="2716"/>
    </row>
    <row r="50" spans="1:51" ht="12" customHeight="1" thickBot="1" x14ac:dyDescent="0.25">
      <c r="A50" s="45"/>
      <c r="B50" s="2385"/>
      <c r="C50" s="3362"/>
      <c r="D50" s="3363"/>
      <c r="E50" s="3363"/>
      <c r="F50" s="3363"/>
      <c r="G50" s="3366"/>
      <c r="H50" s="3367"/>
      <c r="I50" s="3367"/>
      <c r="J50" s="3368"/>
      <c r="K50" s="1786"/>
      <c r="L50" s="3309"/>
      <c r="M50" s="3296" t="s">
        <v>1758</v>
      </c>
      <c r="N50" s="3296"/>
      <c r="O50" s="3306"/>
      <c r="P50" s="3306"/>
      <c r="Q50" s="1578" t="str">
        <f>IF(V.Mágica_final="-","-",V.Mágica_final+O50)</f>
        <v>-</v>
      </c>
      <c r="R50" s="1794"/>
      <c r="S50" s="2684">
        <f>IF(V50="",MAX($S$41:S49)+1,0)</f>
        <v>9</v>
      </c>
      <c r="T50" s="2683">
        <f>IF(V50="",0,MAX($T$41:T49)+1)</f>
        <v>0</v>
      </c>
      <c r="U50" s="2720">
        <f>IF(V50="",Tablas!A9,IF(COUNTIF(V$42:V49,V50)&gt;0,V50&amp;COUNTIF(V$42:V49,V50)+1,V50&amp;1))</f>
        <v>9</v>
      </c>
      <c r="V50" s="3299"/>
      <c r="W50" s="3300"/>
      <c r="X50" s="3300"/>
      <c r="Y50" s="3300"/>
      <c r="Z50" s="3300"/>
      <c r="AA50" s="3300"/>
      <c r="AB50" s="3258"/>
      <c r="AC50" s="3259"/>
      <c r="AD50" s="3259"/>
      <c r="AE50" s="3259"/>
      <c r="AF50" s="3254"/>
      <c r="AG50" s="3254"/>
      <c r="AH50" s="3255"/>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1812"/>
      <c r="AM50" s="3101" t="str">
        <f t="shared" si="8"/>
        <v/>
      </c>
      <c r="AN50" s="2716"/>
      <c r="AP50" s="2716"/>
    </row>
    <row r="51" spans="1:51" ht="12" customHeight="1" x14ac:dyDescent="0.2">
      <c r="A51" s="45"/>
      <c r="B51" s="2385"/>
      <c r="C51" s="3355" t="str">
        <f>IF(COUNTIF(Principal!$AS$43:$AS$45,"Trasfondo")&gt;0,"PC exclusivos trasfondo","")</f>
        <v/>
      </c>
      <c r="D51" s="3355"/>
      <c r="E51" s="3355"/>
      <c r="F51" s="2341">
        <f>-Tablas!$F$234</f>
        <v>0</v>
      </c>
      <c r="G51" s="3356" t="str">
        <f>IF(AND(COUNTIF(Principal!$AS$43:$AS$45,"Don")&gt;0,COUNTIF(Principal!$AS$43:$AS$45,"Psiquicos")&gt;0),"PC exclusivos Don/Psíquicos",IF(COUNTIF(Principal!$AS$43:$AS$45,"Don")&gt;0,"PC exclusivos Don",IF(COUNTIF(Principal!$AS$43:$AS$45,"Psiquicos")&gt;0,"PC exclusivos Psíquica","")))</f>
        <v/>
      </c>
      <c r="H51" s="3357"/>
      <c r="I51" s="3357"/>
      <c r="J51" s="1898">
        <f>-Tablas!E234</f>
        <v>0</v>
      </c>
      <c r="K51" s="1786"/>
      <c r="L51" s="3308" t="s">
        <v>1759</v>
      </c>
      <c r="M51" s="3312" t="s">
        <v>1760</v>
      </c>
      <c r="N51" s="3312"/>
      <c r="O51" s="3316"/>
      <c r="P51" s="3316"/>
      <c r="Q51" s="1577">
        <f>IF(Frialdad_final="-","-",Frialdad_final+O51)</f>
        <v>-30</v>
      </c>
      <c r="R51" s="1794"/>
      <c r="S51" s="2684">
        <f>IF(V51="",MAX($S$41:S50)+1,0)</f>
        <v>10</v>
      </c>
      <c r="T51" s="2683">
        <f>IF(V51="",0,MAX($T$41:T50)+1)</f>
        <v>0</v>
      </c>
      <c r="U51" s="2720">
        <f>IF(V51="",Tablas!A10,IF(COUNTIF(V$42:V50,V51)&gt;0,V51&amp;COUNTIF(V$42:V50,V51)+1,V51&amp;1))</f>
        <v>10</v>
      </c>
      <c r="V51" s="3299"/>
      <c r="W51" s="3300"/>
      <c r="X51" s="3300"/>
      <c r="Y51" s="3300"/>
      <c r="Z51" s="3300"/>
      <c r="AA51" s="3300"/>
      <c r="AB51" s="3258"/>
      <c r="AC51" s="3259"/>
      <c r="AD51" s="3259"/>
      <c r="AE51" s="3259"/>
      <c r="AF51" s="3254"/>
      <c r="AG51" s="3254"/>
      <c r="AH51" s="3255"/>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1812"/>
      <c r="AM51" s="3101" t="str">
        <f t="shared" si="8"/>
        <v/>
      </c>
      <c r="AN51" s="2716"/>
      <c r="AO51" s="2716"/>
      <c r="AP51" s="2716"/>
    </row>
    <row r="52" spans="1:51" ht="12" customHeight="1" x14ac:dyDescent="0.2">
      <c r="A52" s="45"/>
      <c r="B52" s="2385"/>
      <c r="C52" s="67"/>
      <c r="D52" s="67"/>
      <c r="E52" s="67"/>
      <c r="F52" s="67"/>
      <c r="G52" s="67"/>
      <c r="H52" s="67"/>
      <c r="I52" s="67"/>
      <c r="J52" s="67"/>
      <c r="K52" s="2161"/>
      <c r="L52" s="3309"/>
      <c r="M52" s="3296" t="s">
        <v>1761</v>
      </c>
      <c r="N52" s="3296"/>
      <c r="O52" s="3306">
        <f>Combate!$U$17</f>
        <v>0</v>
      </c>
      <c r="P52" s="3306"/>
      <c r="Q52" s="1578">
        <f>IF(P.Fuerza_final="-","-",P.Fuerza_final+O52)</f>
        <v>-30</v>
      </c>
      <c r="R52" s="1794"/>
      <c r="S52" s="2684">
        <f>IF(V52="",MAX($S$41:S51)+1,0)</f>
        <v>11</v>
      </c>
      <c r="T52" s="2683">
        <f>IF(V52="",0,MAX($T$41:T51)+1)</f>
        <v>0</v>
      </c>
      <c r="U52" s="2720">
        <f>IF(V52="",Tablas!A11,IF(COUNTIF(V$42:V51,V52)&gt;0,V52&amp;COUNTIF(V$42:V51,V52)+1,V52&amp;1))</f>
        <v>11</v>
      </c>
      <c r="V52" s="3299"/>
      <c r="W52" s="3300"/>
      <c r="X52" s="3300"/>
      <c r="Y52" s="3300"/>
      <c r="Z52" s="3300"/>
      <c r="AA52" s="3300"/>
      <c r="AB52" s="3258"/>
      <c r="AC52" s="3259"/>
      <c r="AD52" s="3259"/>
      <c r="AE52" s="3259"/>
      <c r="AF52" s="3254"/>
      <c r="AG52" s="3254"/>
      <c r="AH52" s="3255"/>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1812"/>
      <c r="AM52" s="3101" t="str">
        <f t="shared" si="8"/>
        <v/>
      </c>
      <c r="AN52" s="2716"/>
      <c r="AO52" s="2716"/>
      <c r="AP52" s="2716"/>
    </row>
    <row r="53" spans="1:51" ht="12" customHeight="1" thickBot="1" x14ac:dyDescent="0.25">
      <c r="A53" s="45"/>
      <c r="B53" s="2385"/>
      <c r="C53" s="67"/>
      <c r="D53" s="67"/>
      <c r="E53" s="67"/>
      <c r="F53" s="67"/>
      <c r="G53" s="67"/>
      <c r="H53" s="67"/>
      <c r="I53" s="67"/>
      <c r="J53" s="67"/>
      <c r="K53" s="2161"/>
      <c r="L53" s="3310"/>
      <c r="M53" s="3311" t="s">
        <v>1764</v>
      </c>
      <c r="N53" s="3311"/>
      <c r="O53" s="3307"/>
      <c r="P53" s="3307"/>
      <c r="Q53" s="1579">
        <f>IF(Res.Dolor_final="-","-",Res.Dolor_final+O53)</f>
        <v>-30</v>
      </c>
      <c r="R53" s="1794"/>
      <c r="S53" s="2684">
        <f>IF(V53="",MAX($S$41:S52)+1,0)</f>
        <v>12</v>
      </c>
      <c r="T53" s="2683">
        <f>IF(V53="",0,MAX($T$41:T52)+1)</f>
        <v>0</v>
      </c>
      <c r="U53" s="2720">
        <f>IF(V53="",Tablas!A12,IF(COUNTIF(V$42:V52,V53)&gt;0,V53&amp;COUNTIF(V$42:V52,V53)+1,V53&amp;1))</f>
        <v>12</v>
      </c>
      <c r="V53" s="3299"/>
      <c r="W53" s="3300"/>
      <c r="X53" s="3300"/>
      <c r="Y53" s="3300"/>
      <c r="Z53" s="3300"/>
      <c r="AA53" s="3300"/>
      <c r="AB53" s="3258"/>
      <c r="AC53" s="3259"/>
      <c r="AD53" s="3259"/>
      <c r="AE53" s="3259"/>
      <c r="AF53" s="3254"/>
      <c r="AG53" s="3254"/>
      <c r="AH53" s="3255"/>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1812"/>
      <c r="AM53" s="3101" t="str">
        <f t="shared" si="8"/>
        <v/>
      </c>
    </row>
    <row r="54" spans="1:51" ht="12" customHeight="1" thickBot="1" x14ac:dyDescent="0.25">
      <c r="A54" s="45"/>
      <c r="B54" s="2385"/>
      <c r="C54" s="3358" t="s">
        <v>1762</v>
      </c>
      <c r="D54" s="3219"/>
      <c r="E54" s="3219"/>
      <c r="F54" s="2536" t="s">
        <v>1674</v>
      </c>
      <c r="G54" s="2536" t="s">
        <v>1676</v>
      </c>
      <c r="H54" s="2536" t="s">
        <v>1763</v>
      </c>
      <c r="I54" s="2536" t="s">
        <v>1728</v>
      </c>
      <c r="J54" s="21" t="s">
        <v>1658</v>
      </c>
      <c r="K54" s="1786"/>
      <c r="L54" s="3309" t="s">
        <v>1767</v>
      </c>
      <c r="M54" s="3296" t="s">
        <v>1768</v>
      </c>
      <c r="N54" s="3296"/>
      <c r="O54" s="3306"/>
      <c r="P54" s="3306"/>
      <c r="Q54" s="1578">
        <f>IF(Cerrajería_final="-","-",Cerrajería_final+O54)</f>
        <v>-30</v>
      </c>
      <c r="R54" s="1794"/>
      <c r="S54" s="2684">
        <f>IF(V54="",MAX($S$41:S53)+1,0)</f>
        <v>13</v>
      </c>
      <c r="T54" s="2683">
        <f>IF(V54="",0,MAX($T$41:T53)+1)</f>
        <v>0</v>
      </c>
      <c r="U54" s="2720">
        <f>IF(V54="",Tablas!A13,IF(COUNTIF(V$42:V53,V54)&gt;0,V54&amp;COUNTIF(V$42:V53,V54)+1,V54&amp;1))</f>
        <v>13</v>
      </c>
      <c r="V54" s="3299"/>
      <c r="W54" s="3300"/>
      <c r="X54" s="3300"/>
      <c r="Y54" s="3300"/>
      <c r="Z54" s="3300"/>
      <c r="AA54" s="3300"/>
      <c r="AB54" s="3258"/>
      <c r="AC54" s="3259"/>
      <c r="AD54" s="3259"/>
      <c r="AE54" s="3259"/>
      <c r="AF54" s="3254"/>
      <c r="AG54" s="3254"/>
      <c r="AH54" s="3255"/>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1812"/>
      <c r="AM54" s="3101" t="str">
        <f t="shared" si="8"/>
        <v/>
      </c>
    </row>
    <row r="55" spans="1:51" ht="12" customHeight="1" thickBot="1" x14ac:dyDescent="0.25">
      <c r="A55" s="45"/>
      <c r="B55" s="2385"/>
      <c r="C55" s="3358"/>
      <c r="D55" s="3359" t="s">
        <v>1765</v>
      </c>
      <c r="E55" s="3359"/>
      <c r="F55" s="2526">
        <f>IF(SUM(PDs!$S$5:$S$14)=0,20,25+(SUM(PDs!$S$5:$S$14)*5))</f>
        <v>20</v>
      </c>
      <c r="G55" s="2526" t="s">
        <v>1766</v>
      </c>
      <c r="H55" s="2526" t="s">
        <v>1766</v>
      </c>
      <c r="I55" s="107"/>
      <c r="J55" s="95">
        <f>F55+I55</f>
        <v>20</v>
      </c>
      <c r="K55" s="1786"/>
      <c r="L55" s="3309"/>
      <c r="M55" s="3296" t="s">
        <v>1770</v>
      </c>
      <c r="N55" s="3296"/>
      <c r="O55" s="3306"/>
      <c r="P55" s="3306"/>
      <c r="Q55" s="1578">
        <f>IF(Disfraz_final="-","-",Disfraz_final+O55)</f>
        <v>-30</v>
      </c>
      <c r="R55" s="1794"/>
      <c r="S55" s="2684">
        <f>IF(V55="",MAX($S$41:S54)+1,0)</f>
        <v>14</v>
      </c>
      <c r="T55" s="2683">
        <f>IF(V55="",0,MAX($T$41:T54)+1)</f>
        <v>0</v>
      </c>
      <c r="U55" s="2720">
        <f>IF(V55="",Tablas!A14,IF(COUNTIF(V$42:V54,V55)&gt;0,V55&amp;COUNTIF(V$42:V54,V55)+1,V55&amp;1))</f>
        <v>14</v>
      </c>
      <c r="V55" s="3299"/>
      <c r="W55" s="3300"/>
      <c r="X55" s="3300"/>
      <c r="Y55" s="3300"/>
      <c r="Z55" s="3300"/>
      <c r="AA55" s="3300"/>
      <c r="AB55" s="3258"/>
      <c r="AC55" s="3259"/>
      <c r="AD55" s="3259"/>
      <c r="AE55" s="3259"/>
      <c r="AF55" s="3254"/>
      <c r="AG55" s="3254"/>
      <c r="AH55" s="3255"/>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1812"/>
      <c r="AM55" s="3101" t="str">
        <f t="shared" si="8"/>
        <v/>
      </c>
    </row>
    <row r="56" spans="1:51" ht="12" customHeight="1" thickBot="1" x14ac:dyDescent="0.25">
      <c r="A56" s="45"/>
      <c r="B56" s="2385"/>
      <c r="C56" s="3358"/>
      <c r="D56" s="3359" t="s">
        <v>1769</v>
      </c>
      <c r="E56" s="3359"/>
      <c r="F56" s="2526">
        <f>$F$55</f>
        <v>20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86"/>
      <c r="L56" s="3309"/>
      <c r="M56" s="3296" t="s">
        <v>1772</v>
      </c>
      <c r="N56" s="3296"/>
      <c r="O56" s="3306">
        <f>Combate!$U$17</f>
        <v>0</v>
      </c>
      <c r="P56" s="3306"/>
      <c r="Q56" s="1578">
        <f>IF(Ocultarse_final="-","-",Ocultarse_final+O56)</f>
        <v>-30</v>
      </c>
      <c r="R56" s="1794"/>
      <c r="S56" s="2684">
        <f>IF(V56="",MAX($S$41:S55)+1,0)</f>
        <v>15</v>
      </c>
      <c r="T56" s="2683">
        <f>IF(V56="",0,MAX($T$41:T55)+1)</f>
        <v>0</v>
      </c>
      <c r="U56" s="2720">
        <f>IF(V56="",Tablas!A15,IF(COUNTIF(V$42:V55,V56)&gt;0,V56&amp;COUNTIF(V$42:V55,V56)+1,V56&amp;1))</f>
        <v>15</v>
      </c>
      <c r="V56" s="3299"/>
      <c r="W56" s="3300"/>
      <c r="X56" s="3300"/>
      <c r="Y56" s="3300"/>
      <c r="Z56" s="3300"/>
      <c r="AA56" s="3300"/>
      <c r="AB56" s="3258"/>
      <c r="AC56" s="3259"/>
      <c r="AD56" s="3259"/>
      <c r="AE56" s="3259"/>
      <c r="AF56" s="3254"/>
      <c r="AG56" s="3254"/>
      <c r="AH56" s="3255"/>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1812"/>
      <c r="AM56" s="3101" t="str">
        <f t="shared" si="8"/>
        <v/>
      </c>
    </row>
    <row r="57" spans="1:51" ht="12" customHeight="1" thickBot="1" x14ac:dyDescent="0.25">
      <c r="A57" s="45"/>
      <c r="B57" s="2385"/>
      <c r="C57" s="3358"/>
      <c r="D57" s="3359" t="s">
        <v>1771</v>
      </c>
      <c r="E57" s="3359"/>
      <c r="F57" s="2526">
        <f>$F$55</f>
        <v>20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61"/>
      <c r="L57" s="3309"/>
      <c r="M57" s="3296" t="s">
        <v>1774</v>
      </c>
      <c r="N57" s="3296"/>
      <c r="O57" s="3306"/>
      <c r="P57" s="3306"/>
      <c r="Q57" s="1578">
        <f>IF(Robo_final="-","-",Robo_final+O57)</f>
        <v>-30</v>
      </c>
      <c r="R57" s="1794"/>
      <c r="S57" s="2684">
        <f>IF(V57="",MAX($S$41:S56)+1,0)</f>
        <v>16</v>
      </c>
      <c r="T57" s="2683">
        <f>IF(V57="",0,MAX($T$41:T56)+1)</f>
        <v>0</v>
      </c>
      <c r="U57" s="2720">
        <f>IF(V57="",Tablas!A16,IF(COUNTIF(V$42:V56,V57)&gt;0,V57&amp;COUNTIF(V$42:V56,V57)+1,V57&amp;1))</f>
        <v>16</v>
      </c>
      <c r="V57" s="3299"/>
      <c r="W57" s="3300"/>
      <c r="X57" s="3300"/>
      <c r="Y57" s="3300"/>
      <c r="Z57" s="3300"/>
      <c r="AA57" s="3300"/>
      <c r="AB57" s="3258"/>
      <c r="AC57" s="3259"/>
      <c r="AD57" s="3259"/>
      <c r="AE57" s="3259"/>
      <c r="AF57" s="3254"/>
      <c r="AG57" s="3254"/>
      <c r="AH57" s="3255"/>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1812"/>
      <c r="AM57" s="3101" t="str">
        <f t="shared" si="8"/>
        <v/>
      </c>
    </row>
    <row r="58" spans="1:51" ht="12" customHeight="1" thickBot="1" x14ac:dyDescent="0.25">
      <c r="A58" s="45"/>
      <c r="B58" s="2385"/>
      <c r="C58" s="3358"/>
      <c r="D58" s="3359" t="s">
        <v>1773</v>
      </c>
      <c r="E58" s="3359"/>
      <c r="F58" s="2526">
        <f>$F$55</f>
        <v>20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86"/>
      <c r="L58" s="3309"/>
      <c r="M58" s="3296" t="s">
        <v>1776</v>
      </c>
      <c r="N58" s="3296"/>
      <c r="O58" s="3306">
        <f>MIN(MAX(Combate!J17-Combate!J16+Principal!H25,Combate!J17),TRUNC(Combate!J17/2,0))+MAX(MIN(-20*IF(OR(Combate!E12=0,Combate!B12="Natural"),0,1)-20*IF(OR(Combate!E13=0,Combate!B13="Natural"),0,1)-20*IF(OR(Combate!E14=0,Combate!B14="Natural"),0,1)+20,0),-40)</f>
        <v>0</v>
      </c>
      <c r="P58" s="3306"/>
      <c r="Q58" s="1578">
        <f>IF(Sigilo_final="-","-",Sigilo_final+O58)</f>
        <v>-30</v>
      </c>
      <c r="R58" s="1794"/>
      <c r="S58" s="2684">
        <f>IF(V58="",MAX($S$41:S57)+1,0)</f>
        <v>17</v>
      </c>
      <c r="T58" s="2683">
        <f>IF(V58="",0,MAX($T$41:T57)+1)</f>
        <v>0</v>
      </c>
      <c r="U58" s="2720">
        <f>IF(V58="",Tablas!A17,IF(COUNTIF(V$42:V57,V58)&gt;0,V58&amp;COUNTIF(V$42:V57,V58)+1,V58&amp;1))</f>
        <v>17</v>
      </c>
      <c r="V58" s="3299"/>
      <c r="W58" s="3300"/>
      <c r="X58" s="3300"/>
      <c r="Y58" s="3300"/>
      <c r="Z58" s="3300"/>
      <c r="AA58" s="3300"/>
      <c r="AB58" s="3258"/>
      <c r="AC58" s="3259"/>
      <c r="AD58" s="3259"/>
      <c r="AE58" s="3259"/>
      <c r="AF58" s="3254"/>
      <c r="AG58" s="3254"/>
      <c r="AH58" s="3255"/>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1812"/>
      <c r="AM58" s="3101" t="str">
        <f t="shared" si="8"/>
        <v/>
      </c>
    </row>
    <row r="59" spans="1:51" ht="12" customHeight="1" thickBot="1" x14ac:dyDescent="0.25">
      <c r="A59" s="45"/>
      <c r="B59" s="2385"/>
      <c r="C59" s="3358"/>
      <c r="D59" s="3359" t="s">
        <v>1775</v>
      </c>
      <c r="E59" s="3359"/>
      <c r="F59" s="2526">
        <f>$F$55</f>
        <v>20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86"/>
      <c r="L59" s="3309"/>
      <c r="M59" s="3296" t="s">
        <v>1778</v>
      </c>
      <c r="N59" s="3296"/>
      <c r="O59" s="3306"/>
      <c r="P59" s="3306"/>
      <c r="Q59" s="1578">
        <f>IF(Trampería_final="-","-",Trampería_final+O59)</f>
        <v>-30</v>
      </c>
      <c r="R59" s="1794"/>
      <c r="S59" s="2684">
        <f>IF(V59="",MAX($S$41:S58)+1,0)</f>
        <v>18</v>
      </c>
      <c r="T59" s="2683">
        <f>IF(V59="",0,MAX($T$41:T58)+1)</f>
        <v>0</v>
      </c>
      <c r="U59" s="2720">
        <f>IF(V59="",Tablas!A18,IF(COUNTIF(V$42:V58,V59)&gt;0,V59&amp;COUNTIF(V$42:V58,V59)+1,V59&amp;1))</f>
        <v>18</v>
      </c>
      <c r="V59" s="3299"/>
      <c r="W59" s="3300"/>
      <c r="X59" s="3300"/>
      <c r="Y59" s="3300"/>
      <c r="Z59" s="3300"/>
      <c r="AA59" s="3300"/>
      <c r="AB59" s="3258"/>
      <c r="AC59" s="3259"/>
      <c r="AD59" s="3259"/>
      <c r="AE59" s="3259"/>
      <c r="AF59" s="3254"/>
      <c r="AG59" s="3254"/>
      <c r="AH59" s="3255"/>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1812"/>
      <c r="AM59" s="3101" t="str">
        <f t="shared" si="8"/>
        <v/>
      </c>
    </row>
    <row r="60" spans="1:51" ht="12" customHeight="1" thickBot="1" x14ac:dyDescent="0.25">
      <c r="A60" s="45"/>
      <c r="B60" s="2385"/>
      <c r="C60" s="3358"/>
      <c r="D60" s="3364" t="s">
        <v>1777</v>
      </c>
      <c r="E60" s="3364"/>
      <c r="F60" s="2526">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20</v>
      </c>
      <c r="K60" s="1786"/>
      <c r="L60" s="3309"/>
      <c r="M60" s="3296" t="s">
        <v>1779</v>
      </c>
      <c r="N60" s="3296"/>
      <c r="O60" s="3306"/>
      <c r="P60" s="3306"/>
      <c r="Q60" s="1578">
        <f>IF(Venenos_final="-","-",Venenos_final+O60)</f>
        <v>-30</v>
      </c>
      <c r="R60" s="1794"/>
      <c r="S60" s="2684">
        <f>IF(V60="",MAX($S$41:S59)+1,0)</f>
        <v>19</v>
      </c>
      <c r="T60" s="2683">
        <f>IF(V60="",0,MAX($T$41:T59)+1)</f>
        <v>0</v>
      </c>
      <c r="U60" s="2720">
        <f>IF(V60="",Tablas!A19,IF(COUNTIF(V$42:V59,V60)&gt;0,V60&amp;COUNTIF(V$42:V59,V60)+1,V60&amp;1))</f>
        <v>19</v>
      </c>
      <c r="V60" s="3299"/>
      <c r="W60" s="3300"/>
      <c r="X60" s="3300"/>
      <c r="Y60" s="3300"/>
      <c r="Z60" s="3300"/>
      <c r="AA60" s="3300"/>
      <c r="AB60" s="3258"/>
      <c r="AC60" s="3259"/>
      <c r="AD60" s="3259"/>
      <c r="AE60" s="3259"/>
      <c r="AF60" s="3254"/>
      <c r="AG60" s="3254"/>
      <c r="AH60" s="3255"/>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1812"/>
      <c r="AM60" s="3101" t="str">
        <f t="shared" si="8"/>
        <v/>
      </c>
    </row>
    <row r="61" spans="1:51" ht="12" customHeight="1" thickBot="1" x14ac:dyDescent="0.25">
      <c r="A61" s="45"/>
      <c r="B61" s="2385"/>
      <c r="C61" s="3358"/>
      <c r="D61" s="2525" t="s">
        <v>1688</v>
      </c>
      <c r="E61" s="3365"/>
      <c r="F61" s="3365"/>
      <c r="G61" s="3365"/>
      <c r="H61" s="3365"/>
      <c r="I61" s="3365"/>
      <c r="J61" s="3365"/>
      <c r="K61" s="1786"/>
      <c r="L61" s="3308" t="s">
        <v>1780</v>
      </c>
      <c r="M61" s="3312" t="s">
        <v>1781</v>
      </c>
      <c r="N61" s="3312"/>
      <c r="O61" s="3316"/>
      <c r="P61" s="3316"/>
      <c r="Q61" s="1577">
        <f>IF(Arte_final="-","-",Arte_final+O61)</f>
        <v>-30</v>
      </c>
      <c r="R61" s="1794"/>
      <c r="S61" s="2684">
        <f>IF(V61="",MAX($S$41:S60)+1,0)</f>
        <v>20</v>
      </c>
      <c r="T61" s="2683">
        <f>IF(V61="",0,MAX($T$41:T60)+1)</f>
        <v>0</v>
      </c>
      <c r="U61" s="2720">
        <f>IF(V61="",Tablas!A20,IF(COUNTIF(V$42:V60,V61)&gt;0,V61&amp;COUNTIF(V$42:V60,V61)+1,V61&amp;1))</f>
        <v>20</v>
      </c>
      <c r="V61" s="3299"/>
      <c r="W61" s="3300"/>
      <c r="X61" s="3300"/>
      <c r="Y61" s="3300"/>
      <c r="Z61" s="3300"/>
      <c r="AA61" s="3300"/>
      <c r="AB61" s="3258"/>
      <c r="AC61" s="3259"/>
      <c r="AD61" s="3259"/>
      <c r="AE61" s="3259"/>
      <c r="AF61" s="3254"/>
      <c r="AG61" s="3254"/>
      <c r="AH61" s="3255"/>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1812"/>
      <c r="AM61" s="3101" t="str">
        <f t="shared" si="8"/>
        <v/>
      </c>
    </row>
    <row r="62" spans="1:51" ht="12" customHeight="1" thickBot="1" x14ac:dyDescent="0.25">
      <c r="A62" s="45"/>
      <c r="B62" s="2385"/>
      <c r="C62" s="3358"/>
      <c r="D62" s="56"/>
      <c r="E62" s="3365"/>
      <c r="F62" s="3365"/>
      <c r="G62" s="3365"/>
      <c r="H62" s="3365"/>
      <c r="I62" s="3365"/>
      <c r="J62" s="3365"/>
      <c r="K62" s="1786"/>
      <c r="L62" s="3309"/>
      <c r="M62" s="3296" t="s">
        <v>1782</v>
      </c>
      <c r="N62" s="3296"/>
      <c r="O62" s="3306">
        <f>Combate!$U$17</f>
        <v>0</v>
      </c>
      <c r="P62" s="3306"/>
      <c r="Q62" s="1578">
        <f>IF(Baile_final="-","-",Baile_final+O62)</f>
        <v>-30</v>
      </c>
      <c r="R62" s="1794"/>
      <c r="S62" s="2684">
        <f>IF(V62="",MAX($S$41:S61)+1,0)</f>
        <v>21</v>
      </c>
      <c r="T62" s="2683">
        <f>IF(V62="",0,MAX($T$41:T61)+1)</f>
        <v>0</v>
      </c>
      <c r="U62" s="2720">
        <f>IF(V62="",Tablas!A21,IF(COUNTIF(V$42:V61,V62)&gt;0,V62&amp;COUNTIF(V$42:V61,V62)+1,V62&amp;1))</f>
        <v>21</v>
      </c>
      <c r="V62" s="3299"/>
      <c r="W62" s="3300"/>
      <c r="X62" s="3300"/>
      <c r="Y62" s="3300"/>
      <c r="Z62" s="3300"/>
      <c r="AA62" s="3300"/>
      <c r="AB62" s="3258"/>
      <c r="AC62" s="3259"/>
      <c r="AD62" s="3259"/>
      <c r="AE62" s="3259"/>
      <c r="AF62" s="3254"/>
      <c r="AG62" s="3254"/>
      <c r="AH62" s="3255"/>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1812"/>
      <c r="AM62" s="3101" t="str">
        <f t="shared" si="8"/>
        <v/>
      </c>
    </row>
    <row r="63" spans="1:51" ht="12" customHeight="1" thickBot="1" x14ac:dyDescent="0.25">
      <c r="A63" s="45"/>
      <c r="B63" s="2385"/>
      <c r="C63" s="3358"/>
      <c r="D63" s="3488"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3" s="3488"/>
      <c r="F63" s="3488"/>
      <c r="G63" s="3488"/>
      <c r="H63" s="3488"/>
      <c r="I63" s="3488"/>
      <c r="J63" s="3488"/>
      <c r="K63" s="1786"/>
      <c r="L63" s="3309"/>
      <c r="M63" s="3296" t="s">
        <v>1783</v>
      </c>
      <c r="N63" s="3296"/>
      <c r="O63" s="3306"/>
      <c r="P63" s="3306"/>
      <c r="Q63" s="1578" t="str">
        <f>IF(Forja_final="-","-",Forja_final+O63)</f>
        <v>-</v>
      </c>
      <c r="R63" s="1794"/>
      <c r="S63" s="2684">
        <f>IF(V63="",MAX($S$41:S62)+1,0)</f>
        <v>22</v>
      </c>
      <c r="T63" s="2683">
        <f>IF(V63="",0,MAX($T$41:T62)+1)</f>
        <v>0</v>
      </c>
      <c r="U63" s="2720">
        <f>IF(V63="",Tablas!A22,IF(COUNTIF(V$42:V62,V63)&gt;0,V63&amp;COUNTIF(V$42:V62,V63)+1,V63&amp;1))</f>
        <v>22</v>
      </c>
      <c r="V63" s="3299"/>
      <c r="W63" s="3300"/>
      <c r="X63" s="3300"/>
      <c r="Y63" s="3300"/>
      <c r="Z63" s="3300"/>
      <c r="AA63" s="3300"/>
      <c r="AB63" s="3258"/>
      <c r="AC63" s="3259"/>
      <c r="AD63" s="3259"/>
      <c r="AE63" s="3259"/>
      <c r="AF63" s="3254"/>
      <c r="AG63" s="3254"/>
      <c r="AH63" s="3255"/>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1812"/>
      <c r="AM63" s="3101" t="str">
        <f t="shared" si="8"/>
        <v/>
      </c>
      <c r="AW63" s="3064"/>
      <c r="AX63" s="1884"/>
      <c r="AY63" s="1884"/>
    </row>
    <row r="64" spans="1:51" ht="12" customHeight="1" x14ac:dyDescent="0.2">
      <c r="A64" s="45"/>
      <c r="B64" s="2385"/>
      <c r="C64" s="67"/>
      <c r="D64" s="67"/>
      <c r="E64" s="67"/>
      <c r="F64" s="67"/>
      <c r="G64" s="67"/>
      <c r="H64" s="67"/>
      <c r="I64" s="67"/>
      <c r="J64" s="67"/>
      <c r="K64" s="1786"/>
      <c r="L64" s="3309"/>
      <c r="M64" s="3296" t="s">
        <v>1082</v>
      </c>
      <c r="N64" s="3296"/>
      <c r="O64" s="3306"/>
      <c r="P64" s="3306"/>
      <c r="Q64" s="1578" t="str">
        <f>IF(Runas_final="-","-",Runas_final+O64)</f>
        <v>-</v>
      </c>
      <c r="R64" s="1794"/>
      <c r="S64" s="2684">
        <f>IF(V64="",MAX($S$41:S63)+1,0)</f>
        <v>23</v>
      </c>
      <c r="T64" s="2683">
        <f>IF(V64="",0,MAX($T$41:T63)+1)</f>
        <v>0</v>
      </c>
      <c r="U64" s="2720">
        <f>IF(V64="",Tablas!A23,IF(COUNTIF(V$42:V63,V64)&gt;0,V64&amp;COUNTIF(V$42:V63,V64)+1,V64&amp;1))</f>
        <v>23</v>
      </c>
      <c r="V64" s="3299"/>
      <c r="W64" s="3300"/>
      <c r="X64" s="3300"/>
      <c r="Y64" s="3300"/>
      <c r="Z64" s="3300"/>
      <c r="AA64" s="3300"/>
      <c r="AB64" s="3258"/>
      <c r="AC64" s="3259"/>
      <c r="AD64" s="3259"/>
      <c r="AE64" s="3259"/>
      <c r="AF64" s="3254"/>
      <c r="AG64" s="3254"/>
      <c r="AH64" s="3255"/>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1812"/>
      <c r="AM64" s="3101" t="str">
        <f t="shared" si="8"/>
        <v/>
      </c>
      <c r="AW64" s="3064"/>
      <c r="AX64" s="1884"/>
      <c r="AY64" s="1884"/>
    </row>
    <row r="65" spans="1:59" ht="12" customHeight="1" thickBot="1" x14ac:dyDescent="0.25">
      <c r="A65" s="45"/>
      <c r="B65" s="2385"/>
      <c r="C65" s="67"/>
      <c r="D65" s="67"/>
      <c r="E65" s="67"/>
      <c r="F65" s="67"/>
      <c r="G65" s="67"/>
      <c r="H65" s="67"/>
      <c r="I65" s="67"/>
      <c r="J65" s="67"/>
      <c r="K65" s="1786"/>
      <c r="L65" s="3309"/>
      <c r="M65" s="3296" t="s">
        <v>1083</v>
      </c>
      <c r="N65" s="3296"/>
      <c r="O65" s="3306"/>
      <c r="P65" s="3306"/>
      <c r="Q65" s="1578" t="str">
        <f>IF(Alquimia_final="-","-",Alquimia_final+O65)</f>
        <v>-</v>
      </c>
      <c r="R65" s="1794"/>
      <c r="S65" s="2684">
        <f>IF(V65="",MAX($S$41:S64)+1,0)</f>
        <v>24</v>
      </c>
      <c r="T65" s="2683">
        <f>IF(V65="",0,MAX($T$41:T64)+1)</f>
        <v>0</v>
      </c>
      <c r="U65" s="2720">
        <f>IF(V65="",Tablas!A24,IF(COUNTIF(V$42:V64,V65)&gt;0,V65&amp;COUNTIF(V$42:V64,V65)+1,V65&amp;1))</f>
        <v>24</v>
      </c>
      <c r="V65" s="3299"/>
      <c r="W65" s="3300"/>
      <c r="X65" s="3300"/>
      <c r="Y65" s="3300"/>
      <c r="Z65" s="3300"/>
      <c r="AA65" s="3300"/>
      <c r="AB65" s="3258"/>
      <c r="AC65" s="3259"/>
      <c r="AD65" s="3259"/>
      <c r="AE65" s="3259"/>
      <c r="AF65" s="3254"/>
      <c r="AG65" s="3254"/>
      <c r="AH65" s="3255"/>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1812"/>
      <c r="AM65" s="3101" t="str">
        <f t="shared" si="8"/>
        <v/>
      </c>
      <c r="AW65" s="3064"/>
      <c r="AX65" s="1884"/>
      <c r="AY65" s="1884"/>
      <c r="AZ65" s="3015"/>
      <c r="BA65" s="3015"/>
      <c r="BB65" s="3016"/>
      <c r="BC65" s="3016"/>
      <c r="BD65" s="2977"/>
      <c r="BE65" s="2977"/>
      <c r="BF65" s="2977"/>
      <c r="BG65" s="2977"/>
    </row>
    <row r="66" spans="1:59" ht="12" customHeight="1" thickBot="1" x14ac:dyDescent="0.25">
      <c r="A66" s="45"/>
      <c r="B66" s="2385"/>
      <c r="C66" s="3333" t="s">
        <v>1785</v>
      </c>
      <c r="D66" s="3333"/>
      <c r="E66" s="110">
        <f>IF(INT=0,0,VLOOKUP(INT,Tabla_Idiomas,2))</f>
        <v>0</v>
      </c>
      <c r="F66" s="67"/>
      <c r="G66" s="3334" t="s">
        <v>1786</v>
      </c>
      <c r="H66" s="3334"/>
      <c r="I66" s="3334"/>
      <c r="J66" s="3334"/>
      <c r="K66" s="1786"/>
      <c r="L66" s="3309"/>
      <c r="M66" s="3296" t="s">
        <v>1084</v>
      </c>
      <c r="N66" s="3296"/>
      <c r="O66" s="3306"/>
      <c r="P66" s="3306"/>
      <c r="Q66" s="1578" t="str">
        <f>IF(Animismo_final="-","-",Animismo_final+O66)</f>
        <v>-</v>
      </c>
      <c r="R66" s="1794"/>
      <c r="S66" s="2684">
        <f>IF(V66="",MAX($S$41:S65)+1,0)</f>
        <v>25</v>
      </c>
      <c r="T66" s="2683">
        <f>IF(V66="",0,MAX($T$41:T65)+1)</f>
        <v>0</v>
      </c>
      <c r="U66" s="2720">
        <f>IF(V66="",Tablas!A25,IF(COUNTIF(V$42:V65,V66)&gt;0,V66&amp;COUNTIF(V$42:V65,V66)+1,V66&amp;1))</f>
        <v>25</v>
      </c>
      <c r="V66" s="3299"/>
      <c r="W66" s="3300"/>
      <c r="X66" s="3300"/>
      <c r="Y66" s="3300"/>
      <c r="Z66" s="3300"/>
      <c r="AA66" s="3300"/>
      <c r="AB66" s="3258"/>
      <c r="AC66" s="3259"/>
      <c r="AD66" s="3259"/>
      <c r="AE66" s="3259"/>
      <c r="AF66" s="3254"/>
      <c r="AG66" s="3254"/>
      <c r="AH66" s="3255"/>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1812"/>
      <c r="AM66" s="3101" t="str">
        <f t="shared" si="8"/>
        <v/>
      </c>
      <c r="AW66" s="3064"/>
      <c r="AX66" s="1884"/>
      <c r="AY66" s="1884"/>
      <c r="AZ66" s="3015"/>
      <c r="BA66" s="3015"/>
      <c r="BB66" s="3016"/>
      <c r="BC66" s="3016"/>
      <c r="BD66" s="2977"/>
      <c r="BE66" s="2977"/>
      <c r="BF66" s="2977"/>
      <c r="BG66" s="2977"/>
    </row>
    <row r="67" spans="1:59" ht="12" customHeight="1" thickBot="1" x14ac:dyDescent="0.25">
      <c r="A67" s="45"/>
      <c r="B67" s="2385"/>
      <c r="C67" s="91" t="s">
        <v>1674</v>
      </c>
      <c r="D67" s="3337"/>
      <c r="E67" s="3337"/>
      <c r="F67" s="67"/>
      <c r="G67" s="3326"/>
      <c r="H67" s="3326"/>
      <c r="I67" s="3326"/>
      <c r="J67" s="3326"/>
      <c r="K67" s="1786"/>
      <c r="L67" s="3309"/>
      <c r="M67" s="3296" t="s">
        <v>1784</v>
      </c>
      <c r="N67" s="3296"/>
      <c r="O67" s="3306"/>
      <c r="P67" s="3306"/>
      <c r="Q67" s="1578" t="str">
        <f>IF(Música_final="-","-",Música_final+O67)</f>
        <v>-</v>
      </c>
      <c r="R67" s="1794"/>
      <c r="S67" s="2684">
        <f>IF(V67="",MAX($S$41:S66)+1,0)</f>
        <v>26</v>
      </c>
      <c r="T67" s="2683">
        <f>IF(V67="",0,MAX($T$41:T66)+1)</f>
        <v>0</v>
      </c>
      <c r="U67" s="2720">
        <f>IF(V67="",Tablas!A26,IF(COUNTIF(V$42:V66,V67)&gt;0,V67&amp;COUNTIF(V$42:V66,V67)+1,V67&amp;1))</f>
        <v>26</v>
      </c>
      <c r="V67" s="3299"/>
      <c r="W67" s="3300"/>
      <c r="X67" s="3300"/>
      <c r="Y67" s="3300"/>
      <c r="Z67" s="3300"/>
      <c r="AA67" s="3300"/>
      <c r="AB67" s="3258"/>
      <c r="AC67" s="3259"/>
      <c r="AD67" s="3259"/>
      <c r="AE67" s="3259"/>
      <c r="AF67" s="3254"/>
      <c r="AG67" s="3254"/>
      <c r="AH67" s="3255"/>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1812"/>
      <c r="AM67" s="3101" t="str">
        <f t="shared" si="8"/>
        <v/>
      </c>
      <c r="AW67" s="3064"/>
      <c r="AX67" s="1884"/>
      <c r="AY67" s="1884"/>
      <c r="AZ67" s="3015"/>
      <c r="BA67" s="3015"/>
      <c r="BB67" s="3016"/>
      <c r="BC67" s="3016"/>
      <c r="BD67" s="2977"/>
      <c r="BE67" s="2977"/>
      <c r="BF67" s="2977"/>
      <c r="BG67" s="2977"/>
    </row>
    <row r="68" spans="1:59" ht="12" customHeight="1" thickBot="1" x14ac:dyDescent="0.25">
      <c r="A68" s="45"/>
      <c r="B68" s="2385"/>
      <c r="C68" s="111" t="s">
        <v>1789</v>
      </c>
      <c r="D68" s="3327"/>
      <c r="E68" s="3327"/>
      <c r="F68" s="67"/>
      <c r="G68" s="3326"/>
      <c r="H68" s="3326"/>
      <c r="I68" s="3326"/>
      <c r="J68" s="3326"/>
      <c r="K68" s="1786"/>
      <c r="L68" s="3309"/>
      <c r="M68" s="3296" t="s">
        <v>1787</v>
      </c>
      <c r="N68" s="3296"/>
      <c r="O68" s="3306"/>
      <c r="P68" s="3306"/>
      <c r="Q68" s="1578">
        <f>IF(T.Manos_final="-","-",T.Manos_final+O68)</f>
        <v>-30</v>
      </c>
      <c r="R68" s="1794"/>
      <c r="S68" s="2684">
        <f>IF(V68="",MAX($S$41:S67)+1,0)</f>
        <v>27</v>
      </c>
      <c r="T68" s="2683">
        <f>IF(V68="",0,MAX($T$41:T67)+1)</f>
        <v>0</v>
      </c>
      <c r="U68" s="2720">
        <f>IF(V68="",Tablas!A27,IF(COUNTIF(V$42:V67,V68)&gt;0,V68&amp;COUNTIF(V$42:V67,V68)+1,V68&amp;1))</f>
        <v>27</v>
      </c>
      <c r="V68" s="3299"/>
      <c r="W68" s="3300"/>
      <c r="X68" s="3300"/>
      <c r="Y68" s="3300"/>
      <c r="Z68" s="3300"/>
      <c r="AA68" s="3300"/>
      <c r="AB68" s="3258"/>
      <c r="AC68" s="3259"/>
      <c r="AD68" s="3259"/>
      <c r="AE68" s="3259"/>
      <c r="AF68" s="3254"/>
      <c r="AG68" s="3254"/>
      <c r="AH68" s="3255"/>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1812"/>
      <c r="AM68" s="3101" t="str">
        <f t="shared" si="8"/>
        <v/>
      </c>
      <c r="AW68" s="3064"/>
      <c r="AX68" s="1884"/>
      <c r="AY68" s="1884"/>
      <c r="AZ68" s="3015"/>
      <c r="BA68" s="3015"/>
      <c r="BB68" s="3016"/>
      <c r="BC68" s="3016"/>
      <c r="BD68" s="2977"/>
      <c r="BE68" s="2977"/>
      <c r="BF68" s="2977"/>
      <c r="BG68" s="2977"/>
    </row>
    <row r="69" spans="1:59" ht="12" customHeight="1" thickBot="1" x14ac:dyDescent="0.25">
      <c r="A69" s="45"/>
      <c r="B69" s="2385"/>
      <c r="C69" s="94" t="s">
        <v>1790</v>
      </c>
      <c r="D69" s="3327"/>
      <c r="E69" s="3327"/>
      <c r="F69" s="67"/>
      <c r="G69" s="3326"/>
      <c r="H69" s="3326"/>
      <c r="I69" s="3326"/>
      <c r="J69" s="3326"/>
      <c r="K69" s="1786"/>
      <c r="L69" s="3309"/>
      <c r="M69" s="3296" t="s">
        <v>7755</v>
      </c>
      <c r="N69" s="3296"/>
      <c r="O69" s="3306"/>
      <c r="P69" s="3306"/>
      <c r="Q69" s="1578" t="str">
        <f>IF(Caligrafíaritual_final="-","-",Caligrafíaritual_final+O69)</f>
        <v>-</v>
      </c>
      <c r="R69" s="1794"/>
      <c r="S69" s="2684">
        <f>IF(V69="",MAX($S$41:S68)+1,0)</f>
        <v>28</v>
      </c>
      <c r="T69" s="2683">
        <f>IF(V69="",0,MAX($T$41:T68)+1)</f>
        <v>0</v>
      </c>
      <c r="U69" s="2720">
        <f>IF(V69="",Tablas!A28,IF(COUNTIF(V$42:V68,V69)&gt;0,V69&amp;COUNTIF(V$42:V68,V69)+1,V69&amp;1))</f>
        <v>28</v>
      </c>
      <c r="V69" s="3343"/>
      <c r="W69" s="3344"/>
      <c r="X69" s="3344"/>
      <c r="Y69" s="3344"/>
      <c r="Z69" s="3344"/>
      <c r="AA69" s="3344"/>
      <c r="AB69" s="3260"/>
      <c r="AC69" s="3261"/>
      <c r="AD69" s="3261"/>
      <c r="AE69" s="3261"/>
      <c r="AF69" s="3256"/>
      <c r="AG69" s="3256"/>
      <c r="AH69" s="3257"/>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1812"/>
      <c r="AM69" s="3101" t="str">
        <f t="shared" si="8"/>
        <v/>
      </c>
      <c r="AW69" s="3064"/>
      <c r="AX69" s="1884"/>
      <c r="AY69" s="1884"/>
      <c r="AZ69" s="3015"/>
      <c r="BA69" s="3015"/>
      <c r="BB69" s="3016"/>
      <c r="BC69" s="3016"/>
      <c r="BD69" s="2977"/>
      <c r="BE69" s="2977"/>
      <c r="BF69" s="2977"/>
      <c r="BG69" s="2977"/>
    </row>
    <row r="70" spans="1:59" ht="12" customHeight="1" thickBot="1" x14ac:dyDescent="0.25">
      <c r="A70" s="45"/>
      <c r="B70" s="2385"/>
      <c r="C70" s="94" t="s">
        <v>1791</v>
      </c>
      <c r="D70" s="3327"/>
      <c r="E70" s="3327"/>
      <c r="F70" s="67"/>
      <c r="G70" s="3326"/>
      <c r="H70" s="3326"/>
      <c r="I70" s="3326"/>
      <c r="J70" s="3326"/>
      <c r="K70" s="1790"/>
      <c r="L70" s="3309"/>
      <c r="M70" s="3296" t="s">
        <v>7756</v>
      </c>
      <c r="N70" s="3296"/>
      <c r="O70" s="3306"/>
      <c r="P70" s="3306"/>
      <c r="Q70" s="1578">
        <f>IF(Orfebrería_final="-","-",Orfebrería_final+O70)</f>
        <v>-30</v>
      </c>
      <c r="R70" s="2390"/>
      <c r="S70" s="2682"/>
      <c r="T70" s="2683"/>
      <c r="U70" s="2719"/>
      <c r="V70" s="3345"/>
      <c r="W70" s="3346"/>
      <c r="X70" s="3346"/>
      <c r="Y70" s="3346"/>
      <c r="Z70" s="3346"/>
      <c r="AA70" s="3346"/>
      <c r="AB70" s="3349"/>
      <c r="AC70" s="3350"/>
      <c r="AD70" s="3350"/>
      <c r="AE70" s="3350"/>
      <c r="AF70" s="3350"/>
      <c r="AG70" s="3350"/>
      <c r="AH70" s="3351"/>
      <c r="AI70" s="3341"/>
      <c r="AJ70" s="3339"/>
      <c r="AK70" s="3017"/>
      <c r="AL70" s="1812"/>
      <c r="AW70" s="3064"/>
      <c r="AX70" s="1884"/>
      <c r="AY70" s="1884"/>
      <c r="AZ70" s="3015"/>
      <c r="BA70" s="3015"/>
      <c r="BB70" s="3016"/>
      <c r="BC70" s="3016"/>
      <c r="BD70" s="2977"/>
      <c r="BE70" s="2977"/>
      <c r="BF70" s="2977"/>
      <c r="BG70" s="2977"/>
    </row>
    <row r="71" spans="1:59" ht="12" customHeight="1" thickBot="1" x14ac:dyDescent="0.25">
      <c r="A71" s="45"/>
      <c r="B71" s="2385"/>
      <c r="C71" s="94" t="s">
        <v>1792</v>
      </c>
      <c r="D71" s="3327"/>
      <c r="E71" s="3327"/>
      <c r="F71" s="67"/>
      <c r="G71" s="3326"/>
      <c r="H71" s="3326"/>
      <c r="I71" s="3326"/>
      <c r="J71" s="3326"/>
      <c r="K71" s="1790"/>
      <c r="L71" s="3309"/>
      <c r="M71" s="3296" t="s">
        <v>7757</v>
      </c>
      <c r="N71" s="3296"/>
      <c r="O71" s="3306"/>
      <c r="P71" s="3306"/>
      <c r="Q71" s="1578" t="str">
        <f>IF(Confección_final="-","-",Confección_final+O71)</f>
        <v>-</v>
      </c>
      <c r="R71" s="2390"/>
      <c r="S71" s="2682"/>
      <c r="T71" s="2683"/>
      <c r="U71" s="2719"/>
      <c r="V71" s="3347"/>
      <c r="W71" s="3348"/>
      <c r="X71" s="3348"/>
      <c r="Y71" s="3348"/>
      <c r="Z71" s="3348"/>
      <c r="AA71" s="3348"/>
      <c r="AB71" s="3352"/>
      <c r="AC71" s="3353"/>
      <c r="AD71" s="3353"/>
      <c r="AE71" s="3353"/>
      <c r="AF71" s="3353"/>
      <c r="AG71" s="3353"/>
      <c r="AH71" s="3354"/>
      <c r="AI71" s="3342"/>
      <c r="AJ71" s="3340"/>
      <c r="AK71" s="3017"/>
      <c r="AL71" s="1812"/>
      <c r="AW71" s="3064"/>
      <c r="AX71" s="1884"/>
      <c r="AY71" s="1884"/>
      <c r="AZ71" s="3015"/>
      <c r="BA71" s="3015"/>
      <c r="BB71" s="3016"/>
      <c r="BC71" s="3016"/>
      <c r="BD71" s="2977"/>
      <c r="BE71" s="2977"/>
      <c r="BF71" s="2977"/>
      <c r="BG71" s="2977"/>
    </row>
    <row r="72" spans="1:59" ht="12" customHeight="1" thickBot="1" x14ac:dyDescent="0.25">
      <c r="A72" s="45"/>
      <c r="B72" s="2385"/>
      <c r="C72" s="94" t="s">
        <v>1793</v>
      </c>
      <c r="D72" s="3327"/>
      <c r="E72" s="3327"/>
      <c r="F72" s="63"/>
      <c r="G72" s="3326"/>
      <c r="H72" s="3326"/>
      <c r="I72" s="3326"/>
      <c r="J72" s="3326"/>
      <c r="K72" s="1786"/>
      <c r="L72" s="3310"/>
      <c r="M72" s="3329" t="s">
        <v>7758</v>
      </c>
      <c r="N72" s="3329"/>
      <c r="O72" s="3307"/>
      <c r="P72" s="3307"/>
      <c r="Q72" s="1579" t="str">
        <f>IF(Conf.marionetas_final="-","-",Conf.marionetas_final+O72)</f>
        <v>-</v>
      </c>
      <c r="R72" s="1794"/>
      <c r="S72" s="2682"/>
      <c r="T72" s="2683"/>
      <c r="U72" s="2719"/>
      <c r="V72" s="3338" t="str">
        <f>IF(SUM(AJ42:AJ69)&gt;PDs!T5/2,"Exceso de PDs en Poderes","")</f>
        <v/>
      </c>
      <c r="W72" s="3338"/>
      <c r="X72" s="3338"/>
      <c r="Y72" s="3338"/>
      <c r="Z72" s="3338"/>
      <c r="AA72" s="3338"/>
      <c r="AB72" s="3338"/>
      <c r="AC72" s="3338"/>
      <c r="AD72" s="3338"/>
      <c r="AE72" s="3338"/>
      <c r="AF72" s="3338"/>
      <c r="AG72" s="3338"/>
      <c r="AH72" s="3338"/>
      <c r="AI72" s="3338"/>
      <c r="AJ72" s="3338"/>
      <c r="AK72" s="3017"/>
      <c r="AL72" s="1812"/>
      <c r="AW72" s="3064"/>
      <c r="AX72" s="1884"/>
      <c r="AY72" s="1884"/>
      <c r="AZ72" s="3015"/>
      <c r="BA72" s="3015"/>
      <c r="BB72" s="3016"/>
      <c r="BC72" s="3016"/>
      <c r="BD72" s="2977"/>
      <c r="BE72" s="2977"/>
      <c r="BF72" s="2977"/>
      <c r="BG72" s="2977"/>
    </row>
    <row r="73" spans="1:59" ht="12" customHeight="1" x14ac:dyDescent="0.2">
      <c r="A73" s="45"/>
      <c r="B73" s="2385"/>
      <c r="C73" s="94" t="s">
        <v>1794</v>
      </c>
      <c r="D73" s="3327"/>
      <c r="E73" s="3327"/>
      <c r="F73" s="63"/>
      <c r="G73" s="3328" t="s">
        <v>1795</v>
      </c>
      <c r="H73" s="3328"/>
      <c r="I73" s="3328"/>
      <c r="J73" s="2158" t="str">
        <f>IF(TipoDeCriatura="Natural",IF(AB14&gt;19,9,IF(AB14&gt;14,6,IF(AB14&gt;9,3,0))),"")</f>
        <v/>
      </c>
      <c r="K73" s="1786"/>
      <c r="L73" s="3309" t="s">
        <v>1788</v>
      </c>
      <c r="M73" s="3296" t="str">
        <f>IF(PDs!E177="","-",PDs!E177)</f>
        <v>-</v>
      </c>
      <c r="N73" s="3296"/>
      <c r="O73" s="3306"/>
      <c r="P73" s="3306"/>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1812"/>
      <c r="AW73" s="3064"/>
      <c r="AX73" s="1884"/>
      <c r="AY73" s="1884"/>
      <c r="AZ73" s="3015"/>
      <c r="BA73" s="3015"/>
      <c r="BB73" s="3016"/>
      <c r="BC73" s="3016"/>
      <c r="BD73" s="2977"/>
      <c r="BE73" s="2977"/>
      <c r="BF73" s="2977"/>
      <c r="BG73" s="2977"/>
    </row>
    <row r="74" spans="1:59" ht="12" customHeight="1" thickBot="1" x14ac:dyDescent="0.25">
      <c r="A74" s="45"/>
      <c r="B74" s="2385"/>
      <c r="C74" s="94" t="s">
        <v>1796</v>
      </c>
      <c r="D74" s="3327"/>
      <c r="E74" s="3327"/>
      <c r="F74" s="63"/>
      <c r="G74" s="3331" t="s">
        <v>8668</v>
      </c>
      <c r="H74" s="3331"/>
      <c r="I74" s="3331"/>
      <c r="J74" s="24"/>
      <c r="K74" s="1786"/>
      <c r="L74" s="3309"/>
      <c r="M74" s="3296" t="str">
        <f>IF(PDs!E178="","-",PDs!E178)</f>
        <v>-</v>
      </c>
      <c r="N74" s="3296"/>
      <c r="O74" s="3306"/>
      <c r="P74" s="3306"/>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1812"/>
    </row>
    <row r="75" spans="1:59" ht="12" customHeight="1" x14ac:dyDescent="0.2">
      <c r="A75" s="45"/>
      <c r="B75" s="2385"/>
      <c r="C75" s="94" t="s">
        <v>1797</v>
      </c>
      <c r="D75" s="3327"/>
      <c r="E75" s="3327"/>
      <c r="F75" s="63"/>
      <c r="G75" s="63"/>
      <c r="H75" s="63"/>
      <c r="I75" s="63"/>
      <c r="J75" s="63"/>
      <c r="K75" s="1786"/>
      <c r="L75" s="3309"/>
      <c r="M75" s="3296" t="str">
        <f>IF(PDs!E179="","-",PDs!E179)</f>
        <v>-</v>
      </c>
      <c r="N75" s="3296"/>
      <c r="O75" s="3306"/>
      <c r="P75" s="3306"/>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1812"/>
    </row>
    <row r="76" spans="1:59" ht="12" customHeight="1" thickBot="1" x14ac:dyDescent="0.25">
      <c r="A76" s="45"/>
      <c r="B76" s="2385"/>
      <c r="C76" s="113" t="s">
        <v>1798</v>
      </c>
      <c r="D76" s="3332"/>
      <c r="E76" s="3332"/>
      <c r="F76" s="63"/>
      <c r="G76" s="63"/>
      <c r="H76" s="63"/>
      <c r="I76" s="63"/>
      <c r="J76" s="63"/>
      <c r="K76" s="1786"/>
      <c r="L76" s="3309"/>
      <c r="M76" s="3296" t="str">
        <f>IF(PDs!E180="","-",PDs!E180)</f>
        <v>-</v>
      </c>
      <c r="N76" s="3296"/>
      <c r="O76" s="3306"/>
      <c r="P76" s="3306"/>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1812"/>
    </row>
    <row r="77" spans="1:59" ht="12" customHeight="1" thickBot="1" x14ac:dyDescent="0.25">
      <c r="A77" s="45"/>
      <c r="B77" s="2385"/>
      <c r="C77" s="63"/>
      <c r="D77" s="63"/>
      <c r="E77" s="63"/>
      <c r="F77" s="63"/>
      <c r="G77" s="63"/>
      <c r="H77" s="63"/>
      <c r="I77" s="63"/>
      <c r="J77" s="63"/>
      <c r="K77" s="1786"/>
      <c r="L77" s="3335"/>
      <c r="M77" s="3336" t="str">
        <f>IF(PDs!E181="","-",PDs!E181)</f>
        <v>-</v>
      </c>
      <c r="N77" s="3336"/>
      <c r="O77" s="3330"/>
      <c r="P77" s="3330"/>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1812"/>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1812"/>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1812"/>
    </row>
  </sheetData>
  <sheetProtection selectLockedCells="1"/>
  <mergeCells count="396">
    <mergeCell ref="M53:N53"/>
    <mergeCell ref="M55:N55"/>
    <mergeCell ref="O52:P52"/>
    <mergeCell ref="O55:P55"/>
    <mergeCell ref="O56:P56"/>
    <mergeCell ref="M59:N59"/>
    <mergeCell ref="D63:J63"/>
    <mergeCell ref="O63:P63"/>
    <mergeCell ref="O64:P64"/>
    <mergeCell ref="F27:H27"/>
    <mergeCell ref="I27:J28"/>
    <mergeCell ref="M27:N27"/>
    <mergeCell ref="C34:F34"/>
    <mergeCell ref="O34:P34"/>
    <mergeCell ref="C33:F33"/>
    <mergeCell ref="M29:N29"/>
    <mergeCell ref="M30:N30"/>
    <mergeCell ref="O30:P30"/>
    <mergeCell ref="C32:F32"/>
    <mergeCell ref="O27:P27"/>
    <mergeCell ref="G34:H34"/>
    <mergeCell ref="I34:J34"/>
    <mergeCell ref="M33:N33"/>
    <mergeCell ref="O32:P32"/>
    <mergeCell ref="O31:P31"/>
    <mergeCell ref="M32:N32"/>
    <mergeCell ref="M31:N31"/>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M25:N25"/>
    <mergeCell ref="O26:P26"/>
    <mergeCell ref="O29:P29"/>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K17:L17"/>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C39:F39"/>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G35:H35"/>
    <mergeCell ref="I35:J35"/>
    <mergeCell ref="AF35:AJ35"/>
    <mergeCell ref="L29:L35"/>
    <mergeCell ref="O35:P35"/>
    <mergeCell ref="G36:H36"/>
    <mergeCell ref="I36:J36"/>
    <mergeCell ref="G37:H37"/>
    <mergeCell ref="I37:J37"/>
    <mergeCell ref="O36:P36"/>
    <mergeCell ref="C37:F37"/>
    <mergeCell ref="C38:F38"/>
    <mergeCell ref="L51:L53"/>
    <mergeCell ref="L54:L60"/>
    <mergeCell ref="G48:J48"/>
    <mergeCell ref="C36:F36"/>
    <mergeCell ref="M40:N40"/>
    <mergeCell ref="M37:N37"/>
    <mergeCell ref="G45:J45"/>
    <mergeCell ref="C42:F42"/>
    <mergeCell ref="C43:F43"/>
    <mergeCell ref="C44:F44"/>
    <mergeCell ref="C46:F46"/>
    <mergeCell ref="C40:F40"/>
    <mergeCell ref="C41:F41"/>
    <mergeCell ref="C47:F47"/>
    <mergeCell ref="C48:F48"/>
    <mergeCell ref="G49:J49"/>
    <mergeCell ref="G44:J44"/>
    <mergeCell ref="G39:H39"/>
    <mergeCell ref="I39:J39"/>
    <mergeCell ref="M43:N43"/>
    <mergeCell ref="O39:P39"/>
    <mergeCell ref="L39:L50"/>
    <mergeCell ref="M39:N39"/>
    <mergeCell ref="G50:J50"/>
    <mergeCell ref="O46:P46"/>
    <mergeCell ref="O48:P48"/>
    <mergeCell ref="O49:P49"/>
    <mergeCell ref="M46:N46"/>
    <mergeCell ref="M48:N48"/>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E61:J62"/>
    <mergeCell ref="M69:N69"/>
    <mergeCell ref="M67:N67"/>
    <mergeCell ref="M62:N62"/>
    <mergeCell ref="M63:N63"/>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1:E71"/>
    <mergeCell ref="M71:N71"/>
    <mergeCell ref="M60:N60"/>
    <mergeCell ref="O75:P75"/>
    <mergeCell ref="G74:I74"/>
    <mergeCell ref="O74:P74"/>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4:AE44"/>
    <mergeCell ref="AF44:AH44"/>
    <mergeCell ref="V46:AA46"/>
    <mergeCell ref="O42:P42"/>
    <mergeCell ref="C45:F45"/>
    <mergeCell ref="G43:J43"/>
    <mergeCell ref="G42:J42"/>
    <mergeCell ref="G47:J47"/>
    <mergeCell ref="G46:J46"/>
    <mergeCell ref="O47:P47"/>
    <mergeCell ref="O44:P44"/>
    <mergeCell ref="O43:P43"/>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AF48:AH48"/>
    <mergeCell ref="AF49:AH49"/>
    <mergeCell ref="AF45:AH45"/>
    <mergeCell ref="AB50:AE50"/>
    <mergeCell ref="AB51:AE51"/>
    <mergeCell ref="AB52:AE52"/>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M45:N45"/>
    <mergeCell ref="V45:AA45"/>
    <mergeCell ref="M56:N56"/>
    <mergeCell ref="M52:N52"/>
    <mergeCell ref="G38:H38"/>
    <mergeCell ref="I38:J38"/>
    <mergeCell ref="AB42:AE42"/>
    <mergeCell ref="AB41:AE41"/>
    <mergeCell ref="AF41:AH41"/>
    <mergeCell ref="AB43:AE43"/>
    <mergeCell ref="AF42:AH42"/>
    <mergeCell ref="AF43:AH43"/>
    <mergeCell ref="V40:AG40"/>
    <mergeCell ref="AH40:AI40"/>
    <mergeCell ref="M42:N42"/>
    <mergeCell ref="V42:AA42"/>
    <mergeCell ref="V43:AA43"/>
    <mergeCell ref="V41:AA41"/>
    <mergeCell ref="G40:J40"/>
    <mergeCell ref="O40:P40"/>
    <mergeCell ref="O38:P38"/>
    <mergeCell ref="L36:L38"/>
    <mergeCell ref="M38:N38"/>
    <mergeCell ref="M36:N36"/>
    <mergeCell ref="O37:P37"/>
    <mergeCell ref="O41:P41"/>
    <mergeCell ref="G41:J41"/>
    <mergeCell ref="M41:N41"/>
    <mergeCell ref="AD11:AF11"/>
    <mergeCell ref="AG11:AH11"/>
    <mergeCell ref="AD12:AF12"/>
    <mergeCell ref="AG12:AH12"/>
    <mergeCell ref="AD13:AF13"/>
    <mergeCell ref="AG13:AH13"/>
    <mergeCell ref="AD14:AF14"/>
    <mergeCell ref="AG14:AH14"/>
    <mergeCell ref="AD15:AF15"/>
    <mergeCell ref="AG15:AH15"/>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V36:AJ36"/>
    <mergeCell ref="V37:AJ38"/>
    <mergeCell ref="V30:AE35"/>
  </mergeCells>
  <phoneticPr fontId="10" type="noConversion"/>
  <conditionalFormatting sqref="C36 C38:C39 D43:F44 C46:F46">
    <cfRule type="expression" dxfId="839" priority="57" stopIfTrue="1">
      <formula>NA()</formula>
    </cfRule>
    <cfRule type="expression" dxfId="838" priority="58" stopIfTrue="1">
      <formula>NA()</formula>
    </cfRule>
  </conditionalFormatting>
  <conditionalFormatting sqref="F32">
    <cfRule type="expression" dxfId="837" priority="59" stopIfTrue="1">
      <formula>A39=1</formula>
    </cfRule>
    <cfRule type="expression" dxfId="836" priority="60" stopIfTrue="1">
      <formula>A39</formula>
    </cfRule>
  </conditionalFormatting>
  <conditionalFormatting sqref="D111:G116">
    <cfRule type="cellIs" dxfId="835" priority="61" stopIfTrue="1" operator="equal">
      <formula>0</formula>
    </cfRule>
    <cfRule type="expression" dxfId="834" priority="62" stopIfTrue="1">
      <formula>NA()</formula>
    </cfRule>
    <cfRule type="expression" dxfId="833" priority="63" stopIfTrue="1">
      <formula>NA()</formula>
    </cfRule>
  </conditionalFormatting>
  <conditionalFormatting sqref="C111:C116">
    <cfRule type="cellIs" dxfId="832" priority="64" stopIfTrue="1" operator="equal">
      <formula>0</formula>
    </cfRule>
    <cfRule type="expression" dxfId="831" priority="65" stopIfTrue="1">
      <formula>F1=1</formula>
    </cfRule>
    <cfRule type="expression" dxfId="830" priority="66" stopIfTrue="1">
      <formula>F1=2</formula>
    </cfRule>
  </conditionalFormatting>
  <conditionalFormatting sqref="AF35:AJ35">
    <cfRule type="expression" dxfId="829" priority="69" stopIfTrue="1">
      <formula>F1=1</formula>
    </cfRule>
    <cfRule type="expression" dxfId="828" priority="70" stopIfTrue="1">
      <formula>F1=2</formula>
    </cfRule>
  </conditionalFormatting>
  <conditionalFormatting sqref="AF30">
    <cfRule type="expression" dxfId="827" priority="71" stopIfTrue="1">
      <formula>F1=1</formula>
    </cfRule>
    <cfRule type="expression" dxfId="826" priority="72" stopIfTrue="1">
      <formula>F1=2</formula>
    </cfRule>
    <cfRule type="cellIs" dxfId="825" priority="73" stopIfTrue="1" operator="equal">
      <formula>0</formula>
    </cfRule>
  </conditionalFormatting>
  <conditionalFormatting sqref="AI42 AI12:AI23">
    <cfRule type="cellIs" dxfId="824" priority="74" stopIfTrue="1" operator="greaterThan">
      <formula>$AB$13</formula>
    </cfRule>
  </conditionalFormatting>
  <conditionalFormatting sqref="D36:F38">
    <cfRule type="expression" dxfId="823" priority="75" stopIfTrue="1">
      <formula>NA()</formula>
    </cfRule>
    <cfRule type="expression" dxfId="822" priority="76" stopIfTrue="1">
      <formula>NA()</formula>
    </cfRule>
  </conditionalFormatting>
  <conditionalFormatting sqref="J31">
    <cfRule type="cellIs" dxfId="821" priority="78" stopIfTrue="1" operator="lessThan">
      <formula>0</formula>
    </cfRule>
  </conditionalFormatting>
  <conditionalFormatting sqref="V30">
    <cfRule type="expression" dxfId="820" priority="89" stopIfTrue="1">
      <formula>$V$39=1</formula>
    </cfRule>
    <cfRule type="expression" dxfId="819" priority="90" stopIfTrue="1">
      <formula>$V$39=2</formula>
    </cfRule>
    <cfRule type="cellIs" dxfId="818" priority="91" stopIfTrue="1" operator="equal">
      <formula>0</formula>
    </cfRule>
  </conditionalFormatting>
  <conditionalFormatting sqref="D32:E32">
    <cfRule type="expression" dxfId="817" priority="125" stopIfTrue="1">
      <formula>NA()</formula>
    </cfRule>
    <cfRule type="expression" dxfId="816" priority="126" stopIfTrue="1">
      <formula>NA()</formula>
    </cfRule>
  </conditionalFormatting>
  <conditionalFormatting sqref="C32">
    <cfRule type="expression" dxfId="815" priority="127" stopIfTrue="1">
      <formula>NA()</formula>
    </cfRule>
    <cfRule type="expression" dxfId="814" priority="128" stopIfTrue="1">
      <formula>NA()</formula>
    </cfRule>
  </conditionalFormatting>
  <conditionalFormatting sqref="D33:F33">
    <cfRule type="expression" dxfId="813" priority="129" stopIfTrue="1">
      <formula>NA()</formula>
    </cfRule>
    <cfRule type="expression" dxfId="812" priority="130" stopIfTrue="1">
      <formula>NA()</formula>
    </cfRule>
  </conditionalFormatting>
  <conditionalFormatting sqref="C33">
    <cfRule type="expression" dxfId="811" priority="131" stopIfTrue="1">
      <formula>NA()</formula>
    </cfRule>
    <cfRule type="expression" dxfId="810" priority="132" stopIfTrue="1">
      <formula>NA()</formula>
    </cfRule>
  </conditionalFormatting>
  <conditionalFormatting sqref="C37">
    <cfRule type="expression" dxfId="809" priority="133" stopIfTrue="1">
      <formula>NA()</formula>
    </cfRule>
    <cfRule type="expression" dxfId="808" priority="134" stopIfTrue="1">
      <formula>NA()</formula>
    </cfRule>
  </conditionalFormatting>
  <conditionalFormatting sqref="D35:F35">
    <cfRule type="expression" dxfId="807" priority="135" stopIfTrue="1">
      <formula>NA()</formula>
    </cfRule>
    <cfRule type="expression" dxfId="806" priority="136" stopIfTrue="1">
      <formula>NA()</formula>
    </cfRule>
  </conditionalFormatting>
  <conditionalFormatting sqref="C34:C35">
    <cfRule type="expression" dxfId="805" priority="137" stopIfTrue="1">
      <formula>NA()</formula>
    </cfRule>
    <cfRule type="expression" dxfId="804" priority="138" stopIfTrue="1">
      <formula>NA()</formula>
    </cfRule>
  </conditionalFormatting>
  <conditionalFormatting sqref="D34:F34">
    <cfRule type="expression" dxfId="803" priority="139" stopIfTrue="1">
      <formula>NA()</formula>
    </cfRule>
    <cfRule type="expression" dxfId="802" priority="140" stopIfTrue="1">
      <formula>NA()</formula>
    </cfRule>
  </conditionalFormatting>
  <conditionalFormatting sqref="AI70">
    <cfRule type="cellIs" dxfId="801" priority="157" stopIfTrue="1" operator="greaterThan">
      <formula>$AB$13</formula>
    </cfRule>
  </conditionalFormatting>
  <conditionalFormatting sqref="V69">
    <cfRule type="cellIs" dxfId="800" priority="158" stopIfTrue="1" operator="equal">
      <formula>"Armas naturales"</formula>
    </cfRule>
  </conditionalFormatting>
  <conditionalFormatting sqref="C43">
    <cfRule type="expression" dxfId="799" priority="41" stopIfTrue="1">
      <formula>NA()</formula>
    </cfRule>
    <cfRule type="expression" dxfId="798" priority="42" stopIfTrue="1">
      <formula>NA()</formula>
    </cfRule>
  </conditionalFormatting>
  <conditionalFormatting sqref="D40:F40">
    <cfRule type="expression" dxfId="797" priority="45" stopIfTrue="1">
      <formula>NA()</formula>
    </cfRule>
    <cfRule type="expression" dxfId="796" priority="46" stopIfTrue="1">
      <formula>NA()</formula>
    </cfRule>
  </conditionalFormatting>
  <conditionalFormatting sqref="C40">
    <cfRule type="expression" dxfId="795" priority="47" stopIfTrue="1">
      <formula>NA()</formula>
    </cfRule>
    <cfRule type="expression" dxfId="794" priority="48" stopIfTrue="1">
      <formula>NA()</formula>
    </cfRule>
  </conditionalFormatting>
  <conditionalFormatting sqref="C44">
    <cfRule type="expression" dxfId="793" priority="49" stopIfTrue="1">
      <formula>NA()</formula>
    </cfRule>
    <cfRule type="expression" dxfId="792" priority="50" stopIfTrue="1">
      <formula>NA()</formula>
    </cfRule>
  </conditionalFormatting>
  <conditionalFormatting sqref="D42:F42">
    <cfRule type="expression" dxfId="791" priority="51" stopIfTrue="1">
      <formula>NA()</formula>
    </cfRule>
    <cfRule type="expression" dxfId="790" priority="52" stopIfTrue="1">
      <formula>NA()</formula>
    </cfRule>
  </conditionalFormatting>
  <conditionalFormatting sqref="C41:C42">
    <cfRule type="expression" dxfId="789" priority="53" stopIfTrue="1">
      <formula>NA()</formula>
    </cfRule>
    <cfRule type="expression" dxfId="788" priority="54" stopIfTrue="1">
      <formula>NA()</formula>
    </cfRule>
  </conditionalFormatting>
  <conditionalFormatting sqref="D41:F41">
    <cfRule type="expression" dxfId="787" priority="55" stopIfTrue="1">
      <formula>NA()</formula>
    </cfRule>
    <cfRule type="expression" dxfId="786" priority="56" stopIfTrue="1">
      <formula>NA()</formula>
    </cfRule>
  </conditionalFormatting>
  <conditionalFormatting sqref="C40:F44 C46:F46">
    <cfRule type="expression" dxfId="785" priority="1741">
      <formula>AND(NOT($AN$36),NOT($AN$37))</formula>
    </cfRule>
  </conditionalFormatting>
  <conditionalFormatting sqref="D45:F45">
    <cfRule type="expression" dxfId="784" priority="29" stopIfTrue="1">
      <formula>NA()</formula>
    </cfRule>
    <cfRule type="expression" dxfId="783" priority="30" stopIfTrue="1">
      <formula>NA()</formula>
    </cfRule>
  </conditionalFormatting>
  <conditionalFormatting sqref="C45">
    <cfRule type="expression" dxfId="782" priority="27" stopIfTrue="1">
      <formula>NA()</formula>
    </cfRule>
    <cfRule type="expression" dxfId="781" priority="28" stopIfTrue="1">
      <formula>NA()</formula>
    </cfRule>
  </conditionalFormatting>
  <conditionalFormatting sqref="C45:F45">
    <cfRule type="expression" dxfId="780" priority="31">
      <formula>AND(NOT($AN$36),NOT($AN$37))</formula>
    </cfRule>
  </conditionalFormatting>
  <conditionalFormatting sqref="J51 F51">
    <cfRule type="cellIs" dxfId="779" priority="26" operator="greaterThan">
      <formula>0</formula>
    </cfRule>
  </conditionalFormatting>
  <conditionalFormatting sqref="G51:J51">
    <cfRule type="expression" dxfId="778" priority="25">
      <formula>$J$51&lt;=0</formula>
    </cfRule>
  </conditionalFormatting>
  <conditionalFormatting sqref="C51:F51">
    <cfRule type="expression" dxfId="777" priority="24">
      <formula>$F$51&lt;=0</formula>
    </cfRule>
  </conditionalFormatting>
  <conditionalFormatting sqref="F51">
    <cfRule type="expression" dxfId="776" priority="19">
      <formula>$F$51&gt;0</formula>
    </cfRule>
    <cfRule type="expression" dxfId="775" priority="23">
      <formula>AND($C$51="",$G$51="")</formula>
    </cfRule>
  </conditionalFormatting>
  <conditionalFormatting sqref="Y23:Z23">
    <cfRule type="expression" dxfId="774" priority="22">
      <formula>$AB$13&lt;30</formula>
    </cfRule>
  </conditionalFormatting>
  <conditionalFormatting sqref="E12">
    <cfRule type="expression" dxfId="773" priority="1" stopIfTrue="1">
      <formula>OR(TipoDeCriatura="Ánima",TipoDeCriatura="Ánima, Elemental",TipoDeCriatura="No muerto, Espectro")</formula>
    </cfRule>
    <cfRule type="expression" dxfId="772" priority="2280" stopIfTrue="1">
      <formula>$D$12="-"</formula>
    </cfRule>
  </conditionalFormatting>
  <conditionalFormatting sqref="E17">
    <cfRule type="expression" dxfId="771" priority="2289" stopIfTrue="1">
      <formula>AND(OR($K$7="Ánima",$K$7="Ánima, Elemental",$K$7="No muerto, Espectro"),NOT($E$12=$E$17))</formula>
    </cfRule>
  </conditionalFormatting>
  <conditionalFormatting sqref="G51:I51">
    <cfRule type="expression" dxfId="770" priority="18">
      <formula>$J$51&gt;0</formula>
    </cfRule>
  </conditionalFormatting>
  <conditionalFormatting sqref="AI43:AI69">
    <cfRule type="cellIs" dxfId="769" priority="11" stopIfTrue="1" operator="greaterThan">
      <formula>$AB$13</formula>
    </cfRule>
  </conditionalFormatting>
  <conditionalFormatting sqref="AD13:AD23">
    <cfRule type="expression" dxfId="768" priority="6" stopIfTrue="1">
      <formula>H2=1</formula>
    </cfRule>
    <cfRule type="expression" dxfId="767" priority="7" stopIfTrue="1">
      <formula>H2=2</formula>
    </cfRule>
  </conditionalFormatting>
  <conditionalFormatting sqref="AB42:AE69">
    <cfRule type="expression" dxfId="766" priority="4766">
      <formula>AND($AK42&lt;&gt;"",$AF42="")</formula>
    </cfRule>
  </conditionalFormatting>
  <conditionalFormatting sqref="AB42:AH69">
    <cfRule type="expression" dxfId="765" priority="5">
      <formula>$AB42=""</formula>
    </cfRule>
  </conditionalFormatting>
  <conditionalFormatting sqref="AD12:AF23">
    <cfRule type="expression" dxfId="764" priority="4">
      <formula>AND($AK12&lt;&gt;"",$AG12="")</formula>
    </cfRule>
  </conditionalFormatting>
  <conditionalFormatting sqref="AG12:AH23">
    <cfRule type="expression" dxfId="763" priority="2">
      <formula>$AD12=""</formula>
    </cfRule>
  </conditionalFormatting>
  <conditionalFormatting sqref="E11:E14">
    <cfRule type="cellIs" dxfId="762" priority="4808" stopIfTrue="1" operator="greaterThan">
      <formula>$T$2</formula>
    </cfRule>
  </conditionalFormatting>
  <conditionalFormatting sqref="E15:E18">
    <cfRule type="cellIs" dxfId="76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07" customWidth="1"/>
    <col min="29" max="29" width="1.140625" style="1707" customWidth="1"/>
    <col min="30" max="30" width="3.140625" style="2715" customWidth="1"/>
    <col min="31" max="31" width="3.140625" style="3022" customWidth="1"/>
    <col min="32" max="32" width="3.140625" style="3084" customWidth="1"/>
    <col min="33" max="33" width="3.140625" style="3022" customWidth="1"/>
    <col min="34" max="34" width="3.140625" style="3085" customWidth="1"/>
    <col min="35" max="37" width="3.140625" style="3022" customWidth="1"/>
    <col min="38" max="42" width="3.140625" style="1900" customWidth="1"/>
    <col min="43" max="46" width="3.140625" style="1707" customWidth="1"/>
    <col min="47"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3083"/>
      <c r="AC1" s="1706"/>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86"/>
      <c r="AC2" s="2416"/>
      <c r="AH2" s="3087"/>
      <c r="AI2" s="3088"/>
      <c r="AJ2" s="3089"/>
      <c r="AK2" s="3089"/>
    </row>
    <row r="3" spans="1:37" ht="12" customHeight="1" thickBot="1" x14ac:dyDescent="0.25">
      <c r="A3" s="1882"/>
      <c r="B3" s="2156"/>
      <c r="AB3" s="2956"/>
      <c r="AC3" s="2416"/>
    </row>
    <row r="4" spans="1:37" ht="12" customHeight="1" x14ac:dyDescent="0.2">
      <c r="A4" s="1882"/>
      <c r="B4" s="2156"/>
      <c r="C4" s="3709"/>
      <c r="D4" s="3710"/>
      <c r="E4" s="3710"/>
      <c r="F4" s="3710"/>
      <c r="G4" s="3710"/>
      <c r="H4" s="3710"/>
      <c r="I4" s="1587"/>
      <c r="J4" s="1587"/>
      <c r="K4" s="1587"/>
      <c r="L4" s="1588"/>
      <c r="M4" s="1589"/>
      <c r="O4" s="3700" t="s">
        <v>1799</v>
      </c>
      <c r="P4" s="3548" t="s">
        <v>1800</v>
      </c>
      <c r="Q4" s="3549"/>
      <c r="R4" s="3550"/>
      <c r="S4" s="2994" t="s">
        <v>1712</v>
      </c>
      <c r="T4" s="2995" t="s">
        <v>1674</v>
      </c>
      <c r="V4" s="3532" t="s">
        <v>10074</v>
      </c>
      <c r="W4" s="3533"/>
      <c r="X4" s="3533"/>
      <c r="Y4" s="3533"/>
      <c r="Z4" s="3533"/>
      <c r="AA4" s="3534"/>
      <c r="AB4" s="3090"/>
      <c r="AC4" s="2416"/>
    </row>
    <row r="5" spans="1:37" ht="12" customHeight="1" x14ac:dyDescent="0.2">
      <c r="A5" s="1882"/>
      <c r="B5" s="2156"/>
      <c r="C5" s="3711"/>
      <c r="D5" s="3232"/>
      <c r="E5" s="3232"/>
      <c r="F5" s="3232"/>
      <c r="G5" s="3232"/>
      <c r="H5" s="3232"/>
      <c r="I5" s="12"/>
      <c r="J5" s="12"/>
      <c r="K5" s="12"/>
      <c r="L5" s="56"/>
      <c r="M5" s="1590"/>
      <c r="O5" s="3701"/>
      <c r="P5" s="3715"/>
      <c r="Q5" s="3716"/>
      <c r="R5" s="3717"/>
      <c r="S5" s="3733"/>
      <c r="T5" s="3731">
        <f>IF($S$5&gt;0,(500+100*$S$5),400)</f>
        <v>400</v>
      </c>
      <c r="V5" s="3535"/>
      <c r="W5" s="3536"/>
      <c r="X5" s="3536"/>
      <c r="Y5" s="3536"/>
      <c r="Z5" s="3536"/>
      <c r="AA5" s="3537"/>
      <c r="AB5" s="3091"/>
      <c r="AC5" s="2416"/>
      <c r="AE5" s="2715"/>
    </row>
    <row r="6" spans="1:37" ht="12" customHeight="1" x14ac:dyDescent="0.2">
      <c r="A6" s="1882"/>
      <c r="B6" s="2156"/>
      <c r="C6" s="3711"/>
      <c r="D6" s="3232"/>
      <c r="E6" s="3232"/>
      <c r="F6" s="3232"/>
      <c r="G6" s="3232"/>
      <c r="H6" s="3232"/>
      <c r="I6" s="3727" t="s">
        <v>1625</v>
      </c>
      <c r="J6" s="3727"/>
      <c r="K6" s="2980" t="str">
        <f>IF(OR(General!$G$22="",General!$G$22=0),"",General!$G$22)</f>
        <v/>
      </c>
      <c r="L6" s="356"/>
      <c r="M6" s="1590"/>
      <c r="O6" s="3701"/>
      <c r="P6" s="3718"/>
      <c r="Q6" s="3719"/>
      <c r="R6" s="3720"/>
      <c r="S6" s="3734"/>
      <c r="T6" s="3732"/>
      <c r="V6" s="3538" t="s">
        <v>10071</v>
      </c>
      <c r="W6" s="3539"/>
      <c r="X6" s="3539"/>
      <c r="Y6" s="2991" t="s">
        <v>1801</v>
      </c>
      <c r="Z6" s="2992" t="s">
        <v>10072</v>
      </c>
      <c r="AA6" s="2993" t="s">
        <v>10073</v>
      </c>
      <c r="AB6" s="2956"/>
      <c r="AC6" s="2416"/>
    </row>
    <row r="7" spans="1:37" ht="12" customHeight="1" x14ac:dyDescent="0.2">
      <c r="A7" s="1882"/>
      <c r="B7" s="2156"/>
      <c r="C7" s="3711"/>
      <c r="D7" s="3232"/>
      <c r="E7" s="3232"/>
      <c r="F7" s="3232"/>
      <c r="G7" s="3232"/>
      <c r="H7" s="3232"/>
      <c r="I7" s="3728" t="s">
        <v>1626</v>
      </c>
      <c r="J7" s="3728"/>
      <c r="K7" s="2908" t="str">
        <f>Principal!$L$5</f>
        <v/>
      </c>
      <c r="L7" s="1586"/>
      <c r="M7" s="1590"/>
      <c r="O7" s="3701"/>
      <c r="P7" s="3721"/>
      <c r="Q7" s="3722"/>
      <c r="R7" s="3723"/>
      <c r="S7" s="3737"/>
      <c r="T7" s="3551">
        <f>IF($S$7&gt;0,(100*$S$7),0)</f>
        <v>0</v>
      </c>
      <c r="V7" s="3506" t="str">
        <f>IF(AND(Categoría_1&lt;&gt;"",Categoría_2&lt;&gt;""),Categoría_1&amp;" a "&amp;Categoría_2,"-")</f>
        <v>-</v>
      </c>
      <c r="W7" s="3507"/>
      <c r="X7" s="3507"/>
      <c r="Y7" s="355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0"/>
      <c r="AA7" s="3541"/>
      <c r="AB7" s="3092"/>
      <c r="AC7" s="2416"/>
    </row>
    <row r="8" spans="1:37" ht="12" customHeight="1" x14ac:dyDescent="0.2">
      <c r="A8" s="1882"/>
      <c r="B8" s="2156"/>
      <c r="C8" s="3711"/>
      <c r="D8" s="3232"/>
      <c r="E8" s="3232"/>
      <c r="F8" s="3232"/>
      <c r="G8" s="3232"/>
      <c r="H8" s="3232"/>
      <c r="I8" s="2979" t="s">
        <v>1627</v>
      </c>
      <c r="J8" s="56"/>
      <c r="K8" s="2981" t="str">
        <f>Principal!$P$5</f>
        <v>0</v>
      </c>
      <c r="L8" s="56"/>
      <c r="M8" s="1590"/>
      <c r="O8" s="3701"/>
      <c r="P8" s="3721"/>
      <c r="Q8" s="3722"/>
      <c r="R8" s="3723"/>
      <c r="S8" s="3737"/>
      <c r="T8" s="3551"/>
      <c r="V8" s="3506"/>
      <c r="W8" s="3507"/>
      <c r="X8" s="3507"/>
      <c r="Y8" s="3553"/>
      <c r="Z8" s="3540"/>
      <c r="AA8" s="3541"/>
      <c r="AB8" s="3092"/>
      <c r="AC8" s="2416"/>
    </row>
    <row r="9" spans="1:37" ht="12" customHeight="1" x14ac:dyDescent="0.2">
      <c r="A9" s="1882"/>
      <c r="B9" s="2156"/>
      <c r="C9" s="3711"/>
      <c r="D9" s="3232"/>
      <c r="E9" s="3232"/>
      <c r="F9" s="3232"/>
      <c r="G9" s="3232"/>
      <c r="H9" s="3232"/>
      <c r="I9" s="3728" t="s">
        <v>1670</v>
      </c>
      <c r="J9" s="3728"/>
      <c r="K9" s="1551">
        <f>Tamaño</f>
        <v>1</v>
      </c>
      <c r="L9" s="2908" t="str">
        <f>Principal!M6</f>
        <v>Medio</v>
      </c>
      <c r="M9" s="2983"/>
      <c r="O9" s="3701"/>
      <c r="P9" s="3718"/>
      <c r="Q9" s="3719"/>
      <c r="R9" s="3720"/>
      <c r="S9" s="3735"/>
      <c r="T9" s="3552">
        <f>IF($S$9&gt;0,(100*$S$9),0)</f>
        <v>0</v>
      </c>
      <c r="V9" s="3508" t="str">
        <f>IF(AND(Categoría_2&lt;&gt;"",Categoría_3&lt;&gt;""),Categoría_2&amp;" a "&amp;Categoría_3,"-")</f>
        <v>-</v>
      </c>
      <c r="W9" s="3509"/>
      <c r="X9" s="3509"/>
      <c r="Y9" s="355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2"/>
      <c r="AA9" s="3543"/>
      <c r="AB9" s="3092"/>
      <c r="AC9" s="2416"/>
    </row>
    <row r="10" spans="1:37" ht="12" customHeight="1" x14ac:dyDescent="0.2">
      <c r="A10" s="1882"/>
      <c r="B10" s="2156"/>
      <c r="C10" s="3711"/>
      <c r="D10" s="3232"/>
      <c r="E10" s="3232"/>
      <c r="F10" s="3232"/>
      <c r="G10" s="3232"/>
      <c r="H10" s="3232"/>
      <c r="I10" s="58" t="s">
        <v>1672</v>
      </c>
      <c r="J10" s="2979" t="str">
        <f>Principal!K7</f>
        <v xml:space="preserve"> 10</v>
      </c>
      <c r="K10" s="2982"/>
      <c r="L10" s="2982"/>
      <c r="M10" s="2983"/>
      <c r="O10" s="3701"/>
      <c r="P10" s="3718"/>
      <c r="Q10" s="3719"/>
      <c r="R10" s="3720"/>
      <c r="S10" s="3735"/>
      <c r="T10" s="3552"/>
      <c r="V10" s="3508"/>
      <c r="W10" s="3509"/>
      <c r="X10" s="3509"/>
      <c r="Y10" s="3554"/>
      <c r="Z10" s="3542"/>
      <c r="AA10" s="3543"/>
      <c r="AB10" s="3092"/>
      <c r="AC10" s="2416"/>
    </row>
    <row r="11" spans="1:37" ht="12" customHeight="1" x14ac:dyDescent="0.2">
      <c r="A11" s="1882"/>
      <c r="B11" s="2156"/>
      <c r="C11" s="3711"/>
      <c r="D11" s="3232"/>
      <c r="E11" s="3232"/>
      <c r="F11" s="3232"/>
      <c r="G11" s="3232"/>
      <c r="H11" s="3232"/>
      <c r="I11" s="58"/>
      <c r="J11" s="2982"/>
      <c r="K11" s="2982"/>
      <c r="L11" s="2982"/>
      <c r="M11" s="2983"/>
      <c r="O11" s="3701"/>
      <c r="P11" s="3721"/>
      <c r="Q11" s="3722"/>
      <c r="R11" s="3723"/>
      <c r="S11" s="3708"/>
      <c r="T11" s="3706">
        <f>IF($S$11&gt;0,(100*$S$11),0)</f>
        <v>0</v>
      </c>
      <c r="V11" s="3506" t="str">
        <f>IF(AND(Categoría_3&lt;&gt;"",Categoría_4&lt;&gt;""),Categoría_3&amp;" a "&amp;Categoría_4,"-")</f>
        <v>-</v>
      </c>
      <c r="W11" s="3507"/>
      <c r="X11" s="3507"/>
      <c r="Y11" s="355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0"/>
      <c r="AA11" s="3541"/>
      <c r="AB11" s="2956"/>
      <c r="AC11" s="2416"/>
    </row>
    <row r="12" spans="1:37" ht="12" customHeight="1" x14ac:dyDescent="0.2">
      <c r="A12" s="1882"/>
      <c r="B12" s="2156"/>
      <c r="C12" s="3712"/>
      <c r="D12" s="3713"/>
      <c r="E12" s="3713"/>
      <c r="F12" s="3713"/>
      <c r="G12" s="3713"/>
      <c r="H12" s="3713"/>
      <c r="I12" s="1591"/>
      <c r="J12" s="1591"/>
      <c r="K12" s="1592"/>
      <c r="L12" s="1592"/>
      <c r="M12" s="1593"/>
      <c r="O12" s="3701"/>
      <c r="P12" s="3721"/>
      <c r="Q12" s="3722"/>
      <c r="R12" s="3723"/>
      <c r="S12" s="3708"/>
      <c r="T12" s="3706"/>
      <c r="V12" s="3506"/>
      <c r="W12" s="3507"/>
      <c r="X12" s="3507"/>
      <c r="Y12" s="3553"/>
      <c r="Z12" s="3540"/>
      <c r="AA12" s="3541"/>
      <c r="AB12" s="2956"/>
      <c r="AC12" s="2416"/>
    </row>
    <row r="13" spans="1:37" ht="12" customHeight="1" x14ac:dyDescent="0.2">
      <c r="A13" s="1882"/>
      <c r="B13" s="2156"/>
      <c r="C13" s="3557" t="s">
        <v>1802</v>
      </c>
      <c r="D13" s="3558"/>
      <c r="E13" s="3558"/>
      <c r="F13" s="3558"/>
      <c r="G13" s="3558"/>
      <c r="H13" s="3558"/>
      <c r="I13" s="3558"/>
      <c r="J13" s="3558"/>
      <c r="K13" s="3558"/>
      <c r="L13" s="3558"/>
      <c r="M13" s="3559"/>
      <c r="O13" s="3701"/>
      <c r="P13" s="3718"/>
      <c r="Q13" s="3719"/>
      <c r="R13" s="3720"/>
      <c r="S13" s="3735"/>
      <c r="T13" s="3552">
        <f>IF($S$13&gt;0,(100*$S$13),0)</f>
        <v>0</v>
      </c>
      <c r="V13" s="3508" t="str">
        <f>IF(AND(Categoría_4&lt;&gt;"",Categoría_5&lt;&gt;""),Categoría_4&amp;" a "&amp;Categoría_5,"-")</f>
        <v>-</v>
      </c>
      <c r="W13" s="3509"/>
      <c r="X13" s="3509"/>
      <c r="Y13" s="355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2"/>
      <c r="AA13" s="3543"/>
      <c r="AB13" s="3093" t="str">
        <f>IF(Principal!AD18=0,"",VLOOKUP(Principal!AD18,Tabla_HabEsenciales,5,FALSE))</f>
        <v/>
      </c>
      <c r="AC13" s="2416"/>
    </row>
    <row r="14" spans="1:37" ht="12" customHeight="1" thickBot="1" x14ac:dyDescent="0.25">
      <c r="A14" s="1882"/>
      <c r="B14" s="2156"/>
      <c r="C14" s="3560"/>
      <c r="D14" s="3212"/>
      <c r="E14" s="3212"/>
      <c r="F14" s="3212"/>
      <c r="G14" s="3212"/>
      <c r="H14" s="3212"/>
      <c r="I14" s="3212"/>
      <c r="J14" s="3212"/>
      <c r="K14" s="3212"/>
      <c r="L14" s="3212"/>
      <c r="M14" s="3561"/>
      <c r="O14" s="3701"/>
      <c r="P14" s="3724"/>
      <c r="Q14" s="3725"/>
      <c r="R14" s="3726"/>
      <c r="S14" s="3736"/>
      <c r="T14" s="3707"/>
      <c r="V14" s="3510"/>
      <c r="W14" s="3511"/>
      <c r="X14" s="3511"/>
      <c r="Y14" s="3565"/>
      <c r="Z14" s="3566"/>
      <c r="AA14" s="3567"/>
      <c r="AB14" s="3093" t="str">
        <f>IF(Principal!AD19=0,"",VLOOKUP(Principal!AD19,Tabla_HabEsenciales,5,FALSE))</f>
        <v/>
      </c>
      <c r="AC14" s="3094"/>
    </row>
    <row r="15" spans="1:37" ht="12" customHeight="1" thickBot="1" x14ac:dyDescent="0.25">
      <c r="A15" s="1882"/>
      <c r="B15" s="2156"/>
      <c r="C15" s="3560"/>
      <c r="D15" s="3212"/>
      <c r="E15" s="3212"/>
      <c r="F15" s="3212"/>
      <c r="G15" s="3212"/>
      <c r="H15" s="3212"/>
      <c r="I15" s="3212"/>
      <c r="J15" s="3212"/>
      <c r="K15" s="3212"/>
      <c r="L15" s="3212"/>
      <c r="M15" s="3561"/>
      <c r="O15" s="3701"/>
      <c r="P15" s="3544" t="s">
        <v>1803</v>
      </c>
      <c r="Q15" s="3545"/>
      <c r="R15" s="3555">
        <f>SUM(S5:S14)</f>
        <v>0</v>
      </c>
      <c r="S15" s="3568" t="s">
        <v>1686</v>
      </c>
      <c r="T15" s="3729">
        <f>SUM(T5:T14)</f>
        <v>400</v>
      </c>
      <c r="V15" s="2989"/>
      <c r="W15" s="2990"/>
      <c r="X15" s="2989"/>
      <c r="Y15" s="2989"/>
      <c r="Z15" s="2990"/>
      <c r="AA15" s="2989"/>
      <c r="AB15" s="3093" t="str">
        <f>IF(Principal!AD20=0,"",VLOOKUP(Principal!AD20,Tabla_HabEsenciales,5,FALSE))</f>
        <v/>
      </c>
      <c r="AC15" s="3094"/>
    </row>
    <row r="16" spans="1:37" ht="12" customHeight="1" thickBot="1" x14ac:dyDescent="0.25">
      <c r="A16" s="1882"/>
      <c r="B16" s="2156"/>
      <c r="C16" s="3562"/>
      <c r="D16" s="3563"/>
      <c r="E16" s="3563"/>
      <c r="F16" s="3563"/>
      <c r="G16" s="3563"/>
      <c r="H16" s="3563"/>
      <c r="I16" s="3563"/>
      <c r="J16" s="3563"/>
      <c r="K16" s="3563"/>
      <c r="L16" s="3563"/>
      <c r="M16" s="3564"/>
      <c r="O16" s="3702"/>
      <c r="P16" s="3546"/>
      <c r="Q16" s="3547"/>
      <c r="R16" s="3556"/>
      <c r="S16" s="3569"/>
      <c r="T16" s="3730"/>
      <c r="V16" s="3004"/>
      <c r="W16" s="3503" t="s">
        <v>10080</v>
      </c>
      <c r="X16" s="3504"/>
      <c r="Y16" s="3504"/>
      <c r="Z16" s="3505"/>
      <c r="AA16" s="2999">
        <f>MAX(Principal!AJ10+Principal!AJ40-Principal!$AB$27,0)</f>
        <v>0</v>
      </c>
      <c r="AB16" s="3093" t="str">
        <f>IF(Principal!AD21=0,"",VLOOKUP(Principal!AD21,Tabla_HabEsenciales,5,FALSE))</f>
        <v/>
      </c>
      <c r="AC16" s="3094"/>
    </row>
    <row r="17" spans="1:31" ht="12" customHeight="1" x14ac:dyDescent="0.2">
      <c r="A17" s="1882"/>
      <c r="B17" s="2156"/>
      <c r="V17" s="2631"/>
      <c r="W17" s="2996" t="s">
        <v>10075</v>
      </c>
      <c r="X17" s="2997" t="s">
        <v>10076</v>
      </c>
      <c r="Y17" s="2997" t="s">
        <v>10077</v>
      </c>
      <c r="Z17" s="2997" t="s">
        <v>10078</v>
      </c>
      <c r="AA17" s="2998" t="s">
        <v>10079</v>
      </c>
      <c r="AB17" s="3093" t="str">
        <f>IF(Principal!AD22=0,"",VLOOKUP(Principal!AD22,Tabla_HabEsenciales,5,FALSE))</f>
        <v/>
      </c>
      <c r="AC17" s="3094"/>
    </row>
    <row r="18" spans="1:31" ht="12" customHeight="1" thickBot="1" x14ac:dyDescent="0.25">
      <c r="A18" s="1882"/>
      <c r="B18" s="2156"/>
      <c r="W18" s="3005">
        <f>IF(Principal!AB13&lt;25,PDs!AA16,MAX(0,PDs!AA16-PDs!X18-PDs!Y18-PDs!Z18-PDs!AA18))</f>
        <v>0</v>
      </c>
      <c r="X18" s="3002"/>
      <c r="Y18" s="3002"/>
      <c r="Z18" s="3002"/>
      <c r="AA18" s="3003"/>
      <c r="AB18" s="3093" t="str">
        <f>IF(Principal!AD23=0,"",VLOOKUP(Principal!AD23,Tabla_HabEsenciales,5,FALSE))</f>
        <v/>
      </c>
      <c r="AC18" s="3095"/>
    </row>
    <row r="19" spans="1:31" ht="12" customHeight="1" x14ac:dyDescent="0.2">
      <c r="A19" s="1882"/>
      <c r="B19" s="2156"/>
      <c r="C19" s="67"/>
      <c r="D19" s="67"/>
      <c r="E19" s="67"/>
      <c r="F19" s="67"/>
      <c r="I19" s="67"/>
      <c r="J19" s="67"/>
      <c r="K19" s="67"/>
      <c r="L19" s="3586" t="str">
        <f>IF(Categoría_1=0,"",Categoría_1)</f>
        <v/>
      </c>
      <c r="M19" s="3587"/>
      <c r="N19" s="3590" t="str">
        <f>IF(Categoría_2=0,"",Categoría_2)</f>
        <v/>
      </c>
      <c r="O19" s="3587"/>
      <c r="P19" s="3590" t="str">
        <f>IF(Categoría_3=0,"",Categoría_3)</f>
        <v/>
      </c>
      <c r="Q19" s="3587"/>
      <c r="R19" s="3590" t="str">
        <f>IF(Categoría_4=0,"",Categoría_4)</f>
        <v/>
      </c>
      <c r="S19" s="3587"/>
      <c r="T19" s="3590" t="str">
        <f>IF(Categoría_5=0,"",Categoría_5)</f>
        <v/>
      </c>
      <c r="U19" s="3598"/>
      <c r="V19" s="67"/>
      <c r="AB19" s="3092"/>
      <c r="AC19" s="3096"/>
    </row>
    <row r="20" spans="1:31" ht="12" customHeight="1" thickBot="1" x14ac:dyDescent="0.25">
      <c r="A20" s="1882"/>
      <c r="B20" s="2156"/>
      <c r="C20" s="67"/>
      <c r="D20" s="67"/>
      <c r="E20" s="67"/>
      <c r="F20" s="67"/>
      <c r="I20" s="67"/>
      <c r="J20" s="67"/>
      <c r="K20" s="67"/>
      <c r="L20" s="3703"/>
      <c r="M20" s="3704"/>
      <c r="N20" s="3705"/>
      <c r="O20" s="3704"/>
      <c r="P20" s="3705"/>
      <c r="Q20" s="3704"/>
      <c r="R20" s="3705"/>
      <c r="S20" s="3704"/>
      <c r="T20" s="3705"/>
      <c r="U20" s="3714"/>
      <c r="V20" s="67"/>
      <c r="W20" s="67"/>
      <c r="X20" s="67"/>
      <c r="Y20" s="67"/>
      <c r="Z20" s="67"/>
      <c r="AA20" s="67"/>
      <c r="AB20" s="3092"/>
      <c r="AC20" s="3094"/>
    </row>
    <row r="21" spans="1:31" ht="12" customHeight="1" thickBot="1" x14ac:dyDescent="0.25">
      <c r="A21" s="1882"/>
      <c r="B21" s="2156"/>
      <c r="C21" s="3634" t="s">
        <v>1703</v>
      </c>
      <c r="D21" s="1594" t="s">
        <v>1708</v>
      </c>
      <c r="E21" s="3738" t="s">
        <v>1684</v>
      </c>
      <c r="F21" s="3739"/>
      <c r="G21" s="3739"/>
      <c r="H21" s="3739"/>
      <c r="I21" s="3739"/>
      <c r="J21" s="3739"/>
      <c r="K21" s="3740"/>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658" t="s">
        <v>1800</v>
      </c>
      <c r="Y21" s="3658"/>
      <c r="Z21" s="1595" t="s">
        <v>1728</v>
      </c>
      <c r="AA21" s="1597" t="s">
        <v>1658</v>
      </c>
      <c r="AB21" s="3092"/>
      <c r="AC21" s="3094"/>
      <c r="AE21" s="2715"/>
    </row>
    <row r="22" spans="1:31" ht="12" customHeight="1" x14ac:dyDescent="0.2">
      <c r="A22" s="1882"/>
      <c r="B22" s="2156"/>
      <c r="C22" s="3636"/>
      <c r="D22" s="3662" t="s">
        <v>1674</v>
      </c>
      <c r="E22" s="3741" t="s">
        <v>1804</v>
      </c>
      <c r="F22" s="3460"/>
      <c r="G22" s="3460"/>
      <c r="H22" s="3460"/>
      <c r="I22" s="3460"/>
      <c r="J22" s="3460"/>
      <c r="K22" s="3742"/>
      <c r="L22" s="1612">
        <f>IF(Categoría_1=0,0,VLOOKUP(Categoría_1,Tabla_Categorías,MATCH("Coste"&amp;$E22,Name_Tabla_Cat,FALSE),FALSE))</f>
        <v>0</v>
      </c>
      <c r="M22" s="1613"/>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0</v>
      </c>
      <c r="W22" s="1614">
        <f>Bono_Des</f>
        <v>0</v>
      </c>
      <c r="X22" s="3745">
        <f>MIN(50,HLOOKUP($E22,Bonos_Cat_Base,2,FALSE)+5*Nivel_Total*Tablas!$G$357)</f>
        <v>0</v>
      </c>
      <c r="Y22" s="3745"/>
      <c r="Z22" s="2878"/>
      <c r="AA22" s="1616">
        <f>Z22+X22+V22+W22+Bono_ATA</f>
        <v>0</v>
      </c>
      <c r="AB22" s="3092"/>
      <c r="AC22" s="3094"/>
      <c r="AD22" s="2715" t="s">
        <v>8834</v>
      </c>
    </row>
    <row r="23" spans="1:31" ht="12" customHeight="1" x14ac:dyDescent="0.2">
      <c r="A23" s="1882"/>
      <c r="B23" s="2156"/>
      <c r="C23" s="3636"/>
      <c r="D23" s="3661"/>
      <c r="E23" s="3619" t="s">
        <v>1805</v>
      </c>
      <c r="F23" s="3620"/>
      <c r="G23" s="3620"/>
      <c r="H23" s="3620"/>
      <c r="I23" s="3620"/>
      <c r="J23" s="3620"/>
      <c r="K23" s="3621"/>
      <c r="L23" s="132">
        <f>IF(Categoría_1=0,0,VLOOKUP(Categoría_1,Tabla_Categorías,MATCH("Coste"&amp;$E23,Name_Tabla_Cat,FALSE),FALSE))</f>
        <v>0</v>
      </c>
      <c r="M23" s="133"/>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0</v>
      </c>
      <c r="W23" s="1553">
        <f>Bono_Des</f>
        <v>0</v>
      </c>
      <c r="X23" s="3507">
        <f>MIN(50,HLOOKUP($E23,Bonos_Cat_Base,2,FALSE)+5*Nivel_Total*Tablas!$G$358)</f>
        <v>0</v>
      </c>
      <c r="Y23" s="3507"/>
      <c r="Z23" s="2871"/>
      <c r="AA23" s="1617">
        <f>W23+X23+V23+Z23+Bono_ATA</f>
        <v>0</v>
      </c>
      <c r="AB23" s="3092"/>
      <c r="AC23" s="3094"/>
      <c r="AD23" s="2715">
        <f>MAX(HP_final,HE_final)</f>
        <v>0</v>
      </c>
    </row>
    <row r="24" spans="1:31" ht="12" customHeight="1" x14ac:dyDescent="0.2">
      <c r="A24" s="1882"/>
      <c r="B24" s="2156"/>
      <c r="C24" s="3636"/>
      <c r="D24" s="3661"/>
      <c r="E24" s="3617" t="s">
        <v>1806</v>
      </c>
      <c r="F24" s="3296"/>
      <c r="G24" s="3296"/>
      <c r="H24" s="3296"/>
      <c r="I24" s="3296"/>
      <c r="J24" s="3296"/>
      <c r="K24" s="3618"/>
      <c r="L24" s="127">
        <f>IF(Categoría_1=0,0,VLOOKUP(Categoría_1,Tabla_Categorías,MATCH("Coste"&amp;$E24,Name_Tabla_Cat,FALSE),FALSE))</f>
        <v>0</v>
      </c>
      <c r="M24" s="128"/>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0</v>
      </c>
      <c r="W24" s="1558">
        <f>Bono_Agi</f>
        <v>0</v>
      </c>
      <c r="X24" s="3666">
        <f>MIN(50,HLOOKUP($E24,Bonos_Cat_Base,2,FALSE)+5*Nivel_Total*Tablas!$G$359)</f>
        <v>0</v>
      </c>
      <c r="Y24" s="3666"/>
      <c r="Z24" s="2873"/>
      <c r="AA24" s="1618">
        <f>V24+W24+X24+Z24+Bono_ATA</f>
        <v>0</v>
      </c>
      <c r="AB24" s="3092"/>
      <c r="AC24" s="3094"/>
    </row>
    <row r="25" spans="1:31" ht="12" customHeight="1" x14ac:dyDescent="0.2">
      <c r="A25" s="1882"/>
      <c r="B25" s="2156"/>
      <c r="C25" s="3636"/>
      <c r="D25" s="3661"/>
      <c r="E25" s="3619" t="s">
        <v>1807</v>
      </c>
      <c r="F25" s="3620"/>
      <c r="G25" s="3620"/>
      <c r="H25" s="3620"/>
      <c r="I25" s="3620"/>
      <c r="J25" s="3620"/>
      <c r="K25" s="3621"/>
      <c r="L25" s="132">
        <f>IF(Categoría_1=0,0,VLOOKUP(Categoría_1,Tabla_Categorías,MATCH("Coste"&amp;$E25,Name_Tabla_Cat,FALSE),FALSE))</f>
        <v>0</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746">
        <f>HLOOKUP($E25,Bonos_Cat_Base,2,FALSE)</f>
        <v>0</v>
      </c>
      <c r="Y25" s="3746">
        <f>HLOOKUP($E25,Bonos_Cat_Base,2,FALSE)</f>
        <v>0</v>
      </c>
      <c r="Z25" s="2871"/>
      <c r="AA25" s="1619">
        <f>V25+W25+X25+Z25</f>
        <v>0</v>
      </c>
      <c r="AB25" s="3092"/>
      <c r="AC25" s="3094"/>
    </row>
    <row r="26" spans="1:31" ht="12" customHeight="1" x14ac:dyDescent="0.2">
      <c r="A26" s="1882"/>
      <c r="B26" s="2156"/>
      <c r="C26" s="3636"/>
      <c r="D26" s="3663"/>
      <c r="E26" s="374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44"/>
      <c r="G26" s="3744"/>
      <c r="H26" s="3744"/>
      <c r="I26" s="3744"/>
      <c r="J26" s="3744"/>
      <c r="K26" s="3744"/>
      <c r="L26" s="3744"/>
      <c r="M26" s="3744"/>
      <c r="N26" s="3744"/>
      <c r="O26" s="3744"/>
      <c r="P26" s="3744"/>
      <c r="Q26" s="3744"/>
      <c r="R26" s="3744"/>
      <c r="S26" s="3744"/>
      <c r="T26" s="3744"/>
      <c r="U26" s="3744"/>
      <c r="V26" s="3744"/>
      <c r="W26" s="3744"/>
      <c r="X26" s="3744"/>
      <c r="Y26" s="3744"/>
      <c r="Z26" s="3744"/>
      <c r="AA26" s="1620" t="str">
        <f>IF((M22+M23+M24+O22+O23+O24+Q22+Q23+Q24+S22+S23+S24+U22+U23+U24)&gt;(($T$5+$T$7+$T$9+$T$11+$T$13)/2),($T$5+$T$7+$T$9+$T$11+$T$13)/2,"")</f>
        <v/>
      </c>
      <c r="AB26" s="3092"/>
      <c r="AC26" s="3094"/>
    </row>
    <row r="27" spans="1:31" ht="12" customHeight="1" x14ac:dyDescent="0.2">
      <c r="A27" s="1882"/>
      <c r="B27" s="2156"/>
      <c r="C27" s="3636"/>
      <c r="D27" s="3660" t="s">
        <v>1808</v>
      </c>
      <c r="E27" s="3689" t="s">
        <v>1682</v>
      </c>
      <c r="F27" s="3610"/>
      <c r="G27" s="3610"/>
      <c r="H27" s="3610"/>
      <c r="I27" s="3610"/>
      <c r="J27" s="3610"/>
      <c r="K27" s="3690"/>
      <c r="L27" s="1598">
        <f t="shared" ref="L27:L32" si="0">IF(Categoría_1=0,0,VLOOKUP(Categoría_1,Tabla_Categorías,MATCH("CosteKi",Name_Tabla_Cat,FALSE),FALSE))</f>
        <v>0</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0</v>
      </c>
      <c r="X27" s="3520" t="s">
        <v>1766</v>
      </c>
      <c r="Y27" s="3520"/>
      <c r="Z27" s="2879"/>
      <c r="AA27" s="1621">
        <f t="shared" ref="AA27:AA32" si="6">W27+V27+Z27</f>
        <v>0</v>
      </c>
      <c r="AB27" s="3092"/>
      <c r="AC27" s="3094"/>
    </row>
    <row r="28" spans="1:31" ht="12" customHeight="1" x14ac:dyDescent="0.2">
      <c r="A28" s="1882"/>
      <c r="B28" s="2156"/>
      <c r="C28" s="3636"/>
      <c r="D28" s="3661"/>
      <c r="E28" s="3619" t="s">
        <v>1809</v>
      </c>
      <c r="F28" s="3620"/>
      <c r="G28" s="3620"/>
      <c r="H28" s="3620"/>
      <c r="I28" s="3620"/>
      <c r="J28" s="3620"/>
      <c r="K28" s="3621"/>
      <c r="L28" s="132">
        <f t="shared" si="0"/>
        <v>0</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507" t="s">
        <v>1766</v>
      </c>
      <c r="Y28" s="3507"/>
      <c r="Z28" s="2876"/>
      <c r="AA28" s="1622">
        <f t="shared" si="6"/>
        <v>0</v>
      </c>
      <c r="AB28" s="3092"/>
      <c r="AC28" s="3094"/>
    </row>
    <row r="29" spans="1:31" ht="12" customHeight="1" x14ac:dyDescent="0.2">
      <c r="A29" s="1882"/>
      <c r="B29" s="2156"/>
      <c r="C29" s="3636"/>
      <c r="D29" s="3661"/>
      <c r="E29" s="3617" t="s">
        <v>1687</v>
      </c>
      <c r="F29" s="3296"/>
      <c r="G29" s="3296"/>
      <c r="H29" s="3296"/>
      <c r="I29" s="3296"/>
      <c r="J29" s="3296"/>
      <c r="K29" s="3618"/>
      <c r="L29" s="127">
        <f t="shared" si="0"/>
        <v>0</v>
      </c>
      <c r="M29" s="1557"/>
      <c r="N29" s="127">
        <f t="shared" si="1"/>
        <v>0</v>
      </c>
      <c r="O29" s="1557"/>
      <c r="P29" s="127">
        <f t="shared" si="2"/>
        <v>0</v>
      </c>
      <c r="Q29" s="1557"/>
      <c r="R29" s="127">
        <f t="shared" si="3"/>
        <v>0</v>
      </c>
      <c r="S29" s="1557"/>
      <c r="T29" s="1558">
        <f t="shared" si="4"/>
        <v>0</v>
      </c>
      <c r="U29" s="70"/>
      <c r="V29" s="1210">
        <f t="shared" si="5"/>
        <v>0</v>
      </c>
      <c r="W29" s="1561">
        <f>DES+IF(DES-10&gt;0,DES-10,0)</f>
        <v>0</v>
      </c>
      <c r="X29" s="3666" t="s">
        <v>1766</v>
      </c>
      <c r="Y29" s="3666"/>
      <c r="Z29" s="2875"/>
      <c r="AA29" s="1623">
        <f t="shared" si="6"/>
        <v>0</v>
      </c>
      <c r="AB29" s="3092"/>
      <c r="AC29" s="3094"/>
    </row>
    <row r="30" spans="1:31" ht="12" customHeight="1" x14ac:dyDescent="0.2">
      <c r="A30" s="1882"/>
      <c r="B30" s="2156"/>
      <c r="C30" s="3636"/>
      <c r="D30" s="3661"/>
      <c r="E30" s="3619" t="s">
        <v>1692</v>
      </c>
      <c r="F30" s="3620"/>
      <c r="G30" s="3620"/>
      <c r="H30" s="3620"/>
      <c r="I30" s="3620"/>
      <c r="J30" s="3620"/>
      <c r="K30" s="3621"/>
      <c r="L30" s="132">
        <f t="shared" si="0"/>
        <v>0</v>
      </c>
      <c r="M30" s="1556"/>
      <c r="N30" s="132">
        <f t="shared" si="1"/>
        <v>0</v>
      </c>
      <c r="O30" s="1556"/>
      <c r="P30" s="132">
        <f t="shared" si="2"/>
        <v>0</v>
      </c>
      <c r="Q30" s="1556"/>
      <c r="R30" s="132">
        <f t="shared" si="3"/>
        <v>0</v>
      </c>
      <c r="S30" s="1556"/>
      <c r="T30" s="1553">
        <f t="shared" si="4"/>
        <v>0</v>
      </c>
      <c r="U30" s="137"/>
      <c r="V30" s="1209">
        <f t="shared" si="5"/>
        <v>0</v>
      </c>
      <c r="W30" s="1560">
        <f>FUE+IF(FUE-10&gt;0,FUE-10,0)</f>
        <v>0</v>
      </c>
      <c r="X30" s="3507" t="s">
        <v>1766</v>
      </c>
      <c r="Y30" s="3507"/>
      <c r="Z30" s="2876"/>
      <c r="AA30" s="1622">
        <f t="shared" si="6"/>
        <v>0</v>
      </c>
      <c r="AB30" s="3092"/>
      <c r="AC30" s="3094"/>
    </row>
    <row r="31" spans="1:31" ht="12" customHeight="1" x14ac:dyDescent="0.2">
      <c r="A31" s="1882"/>
      <c r="B31" s="2156"/>
      <c r="C31" s="3636"/>
      <c r="D31" s="3661"/>
      <c r="E31" s="3617" t="s">
        <v>1700</v>
      </c>
      <c r="F31" s="3296"/>
      <c r="G31" s="3296"/>
      <c r="H31" s="3296"/>
      <c r="I31" s="3296"/>
      <c r="J31" s="3296"/>
      <c r="K31" s="3618"/>
      <c r="L31" s="127">
        <f t="shared" si="0"/>
        <v>0</v>
      </c>
      <c r="M31" s="1557"/>
      <c r="N31" s="127">
        <f t="shared" si="1"/>
        <v>0</v>
      </c>
      <c r="O31" s="1557"/>
      <c r="P31" s="127">
        <f t="shared" si="2"/>
        <v>0</v>
      </c>
      <c r="Q31" s="1557"/>
      <c r="R31" s="127">
        <f t="shared" si="3"/>
        <v>0</v>
      </c>
      <c r="S31" s="1557"/>
      <c r="T31" s="1558">
        <f t="shared" si="4"/>
        <v>0</v>
      </c>
      <c r="U31" s="70"/>
      <c r="V31" s="1210">
        <f t="shared" si="5"/>
        <v>0</v>
      </c>
      <c r="W31" s="1561">
        <f>POD+IF(POD-10&gt;0,POD-10,0)</f>
        <v>0</v>
      </c>
      <c r="X31" s="3666" t="s">
        <v>1766</v>
      </c>
      <c r="Y31" s="3666"/>
      <c r="Z31" s="2875"/>
      <c r="AA31" s="1623">
        <f t="shared" si="6"/>
        <v>0</v>
      </c>
      <c r="AB31" s="3092"/>
      <c r="AC31" s="3094"/>
    </row>
    <row r="32" spans="1:31" ht="12" customHeight="1" x14ac:dyDescent="0.2">
      <c r="A32" s="1882"/>
      <c r="B32" s="2156"/>
      <c r="C32" s="3636"/>
      <c r="D32" s="3661"/>
      <c r="E32" s="3619" t="s">
        <v>1701</v>
      </c>
      <c r="F32" s="3620"/>
      <c r="G32" s="3620"/>
      <c r="H32" s="3620"/>
      <c r="I32" s="3620"/>
      <c r="J32" s="3620"/>
      <c r="K32" s="3621"/>
      <c r="L32" s="139">
        <f t="shared" si="0"/>
        <v>0</v>
      </c>
      <c r="M32" s="140"/>
      <c r="N32" s="139">
        <f t="shared" si="1"/>
        <v>0</v>
      </c>
      <c r="O32" s="140"/>
      <c r="P32" s="139">
        <f t="shared" si="2"/>
        <v>0</v>
      </c>
      <c r="Q32" s="140"/>
      <c r="R32" s="139">
        <f t="shared" si="3"/>
        <v>0</v>
      </c>
      <c r="S32" s="140"/>
      <c r="T32" s="141">
        <f t="shared" si="4"/>
        <v>0</v>
      </c>
      <c r="U32" s="142"/>
      <c r="V32" s="1211">
        <f t="shared" si="5"/>
        <v>0</v>
      </c>
      <c r="W32" s="1207">
        <f>VOL+IF(VOL-10&gt;0,VOL-10,0)</f>
        <v>0</v>
      </c>
      <c r="X32" s="3746" t="s">
        <v>1766</v>
      </c>
      <c r="Y32" s="3746"/>
      <c r="Z32" s="2880"/>
      <c r="AA32" s="1624">
        <f t="shared" si="6"/>
        <v>0</v>
      </c>
      <c r="AB32" s="2956"/>
      <c r="AC32" s="1706"/>
    </row>
    <row r="33" spans="1:60" ht="12" customHeight="1" x14ac:dyDescent="0.2">
      <c r="A33" s="1882"/>
      <c r="B33" s="2156"/>
      <c r="C33" s="3636"/>
      <c r="D33" s="3664" t="s">
        <v>1810</v>
      </c>
      <c r="E33" s="3689" t="s">
        <v>1682</v>
      </c>
      <c r="F33" s="3610"/>
      <c r="G33" s="3610"/>
      <c r="H33" s="3610"/>
      <c r="I33" s="3610"/>
      <c r="J33" s="3610"/>
      <c r="K33" s="3699"/>
      <c r="L33" s="144">
        <f t="shared" ref="L33:L38" si="7">IF(Categoría_1=0,0,VLOOKUP(Categoría_1,Tabla_Categorías,MATCH("CosteAcumKi",Name_Tabla_Cat,FALSE),FALSE))</f>
        <v>0</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0</v>
      </c>
      <c r="X33" s="3750" t="s">
        <v>1766</v>
      </c>
      <c r="Y33" s="3750"/>
      <c r="Z33" s="2879"/>
      <c r="AA33" s="1625">
        <f t="shared" ref="AA33:AA38" si="12">W33+V33+Z33+IF(Bono_ATA&lt;0,TRUNC(Bono_ATA/20,0),0)</f>
        <v>0</v>
      </c>
      <c r="AB33" s="2956"/>
      <c r="AC33" s="1706"/>
    </row>
    <row r="34" spans="1:60" ht="12" customHeight="1" x14ac:dyDescent="0.2">
      <c r="A34" s="1882"/>
      <c r="B34" s="2156"/>
      <c r="C34" s="3636"/>
      <c r="D34" s="3661"/>
      <c r="E34" s="3619" t="s">
        <v>1809</v>
      </c>
      <c r="F34" s="3620"/>
      <c r="G34" s="3620"/>
      <c r="H34" s="3620"/>
      <c r="I34" s="3620"/>
      <c r="J34" s="3620"/>
      <c r="K34" s="3691"/>
      <c r="L34" s="1553">
        <f t="shared" si="7"/>
        <v>0</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507" t="s">
        <v>1766</v>
      </c>
      <c r="Y34" s="3507"/>
      <c r="Z34" s="2876"/>
      <c r="AA34" s="1622">
        <f t="shared" si="12"/>
        <v>0</v>
      </c>
      <c r="AB34" s="2956"/>
      <c r="AC34" s="1706"/>
    </row>
    <row r="35" spans="1:60" ht="12" customHeight="1" x14ac:dyDescent="0.2">
      <c r="A35" s="1882"/>
      <c r="B35" s="2156"/>
      <c r="C35" s="3636"/>
      <c r="D35" s="3661"/>
      <c r="E35" s="3617" t="s">
        <v>1687</v>
      </c>
      <c r="F35" s="3296"/>
      <c r="G35" s="3296"/>
      <c r="H35" s="3296"/>
      <c r="I35" s="3296"/>
      <c r="J35" s="3296"/>
      <c r="K35" s="3692"/>
      <c r="L35" s="1558">
        <f t="shared" si="7"/>
        <v>0</v>
      </c>
      <c r="M35" s="1557"/>
      <c r="N35" s="127">
        <f t="shared" si="8"/>
        <v>0</v>
      </c>
      <c r="O35" s="1557"/>
      <c r="P35" s="127">
        <f t="shared" si="9"/>
        <v>0</v>
      </c>
      <c r="Q35" s="1557"/>
      <c r="R35" s="127">
        <f t="shared" si="10"/>
        <v>0</v>
      </c>
      <c r="S35" s="1557"/>
      <c r="T35" s="1558">
        <f t="shared" si="11"/>
        <v>0</v>
      </c>
      <c r="U35" s="70"/>
      <c r="V35" s="1210">
        <f t="shared" si="5"/>
        <v>0</v>
      </c>
      <c r="W35" s="1561">
        <f>IF(DES=0,0,VLOOKUP(DES,Tabla_Acum,2))</f>
        <v>0</v>
      </c>
      <c r="X35" s="3666" t="s">
        <v>1766</v>
      </c>
      <c r="Y35" s="3666"/>
      <c r="Z35" s="2875"/>
      <c r="AA35" s="1623">
        <f t="shared" si="12"/>
        <v>0</v>
      </c>
      <c r="AB35" s="2956"/>
      <c r="AC35" s="1706"/>
    </row>
    <row r="36" spans="1:60" ht="12" customHeight="1" x14ac:dyDescent="0.2">
      <c r="A36" s="1882"/>
      <c r="B36" s="2156"/>
      <c r="C36" s="3636"/>
      <c r="D36" s="3661"/>
      <c r="E36" s="3619" t="s">
        <v>1692</v>
      </c>
      <c r="F36" s="3620"/>
      <c r="G36" s="3620"/>
      <c r="H36" s="3620"/>
      <c r="I36" s="3620"/>
      <c r="J36" s="3620"/>
      <c r="K36" s="3691"/>
      <c r="L36" s="1553">
        <f t="shared" si="7"/>
        <v>0</v>
      </c>
      <c r="M36" s="1556"/>
      <c r="N36" s="132">
        <f t="shared" si="8"/>
        <v>0</v>
      </c>
      <c r="O36" s="1556"/>
      <c r="P36" s="132">
        <f t="shared" si="9"/>
        <v>0</v>
      </c>
      <c r="Q36" s="1556"/>
      <c r="R36" s="132">
        <f t="shared" si="10"/>
        <v>0</v>
      </c>
      <c r="S36" s="1556"/>
      <c r="T36" s="1553">
        <f t="shared" si="11"/>
        <v>0</v>
      </c>
      <c r="U36" s="137"/>
      <c r="V36" s="1209">
        <f t="shared" si="5"/>
        <v>0</v>
      </c>
      <c r="W36" s="1560">
        <f>IF(FUE=0,0,VLOOKUP(FUE,Tabla_Acum,2))</f>
        <v>0</v>
      </c>
      <c r="X36" s="3507" t="s">
        <v>1766</v>
      </c>
      <c r="Y36" s="3507"/>
      <c r="Z36" s="2876"/>
      <c r="AA36" s="1622">
        <f t="shared" si="12"/>
        <v>0</v>
      </c>
      <c r="AB36" s="2956"/>
      <c r="AC36" s="1706"/>
      <c r="BB36" s="2957"/>
      <c r="BC36" s="2957"/>
      <c r="BD36" s="1902"/>
      <c r="BE36" s="1902"/>
      <c r="BF36" s="146"/>
      <c r="BG36" s="146"/>
      <c r="BH36" s="146"/>
    </row>
    <row r="37" spans="1:60" ht="12" customHeight="1" x14ac:dyDescent="0.2">
      <c r="A37" s="1882"/>
      <c r="B37" s="2156"/>
      <c r="C37" s="3636"/>
      <c r="D37" s="3661"/>
      <c r="E37" s="3617" t="s">
        <v>1700</v>
      </c>
      <c r="F37" s="3296"/>
      <c r="G37" s="3296"/>
      <c r="H37" s="3296"/>
      <c r="I37" s="3296"/>
      <c r="J37" s="3296"/>
      <c r="K37" s="3692"/>
      <c r="L37" s="1558">
        <f t="shared" si="7"/>
        <v>0</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666" t="s">
        <v>1766</v>
      </c>
      <c r="Y37" s="3666"/>
      <c r="Z37" s="2875"/>
      <c r="AA37" s="1623">
        <f t="shared" si="12"/>
        <v>0</v>
      </c>
      <c r="AB37" s="2956"/>
      <c r="AC37" s="1706"/>
      <c r="BB37" s="1787"/>
      <c r="BC37" s="1787"/>
      <c r="BD37" s="1787"/>
      <c r="BE37" s="1787"/>
      <c r="BF37" s="67"/>
      <c r="BG37" s="67"/>
      <c r="BH37" s="67"/>
    </row>
    <row r="38" spans="1:60" ht="12" customHeight="1" x14ac:dyDescent="0.2">
      <c r="A38" s="1882"/>
      <c r="B38" s="2156"/>
      <c r="C38" s="3636"/>
      <c r="D38" s="3665"/>
      <c r="E38" s="3693" t="s">
        <v>1701</v>
      </c>
      <c r="F38" s="3694"/>
      <c r="G38" s="3694"/>
      <c r="H38" s="3694"/>
      <c r="I38" s="3694"/>
      <c r="J38" s="3694"/>
      <c r="K38" s="3695"/>
      <c r="L38" s="141">
        <f t="shared" si="7"/>
        <v>0</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667" t="s">
        <v>1766</v>
      </c>
      <c r="Y38" s="3667"/>
      <c r="Z38" s="2880"/>
      <c r="AA38" s="1624">
        <f t="shared" si="12"/>
        <v>0</v>
      </c>
      <c r="AB38" s="2956"/>
      <c r="AC38" s="1706"/>
      <c r="BB38" s="1787"/>
      <c r="BC38" s="1787"/>
      <c r="BD38" s="1787"/>
      <c r="BE38" s="1787"/>
      <c r="BF38" s="67"/>
      <c r="BG38" s="67"/>
      <c r="BH38" s="67"/>
    </row>
    <row r="39" spans="1:60" ht="12" customHeight="1" x14ac:dyDescent="0.2">
      <c r="A39" s="1882"/>
      <c r="B39" s="2156"/>
      <c r="C39" s="3636"/>
      <c r="D39" s="1626" t="s">
        <v>1811</v>
      </c>
      <c r="E39" s="3696" t="s">
        <v>1812</v>
      </c>
      <c r="F39" s="3697"/>
      <c r="G39" s="3697"/>
      <c r="H39" s="3697"/>
      <c r="I39" s="3697"/>
      <c r="J39" s="3697"/>
      <c r="K39" s="3698"/>
      <c r="L39" s="150">
        <v>5</v>
      </c>
      <c r="M39" s="149"/>
      <c r="N39" s="148">
        <v>5</v>
      </c>
      <c r="O39" s="149"/>
      <c r="P39" s="148">
        <v>5</v>
      </c>
      <c r="Q39" s="149"/>
      <c r="R39" s="148">
        <v>5</v>
      </c>
      <c r="S39" s="149"/>
      <c r="T39" s="150">
        <v>5</v>
      </c>
      <c r="U39" s="81"/>
      <c r="V39" s="1214">
        <f>(IF(L39=0,0,TRUNC(M39/L39,0))+IF(N39=0,0,TRUNC(O39/N39,0))+IF(P39=0,0,TRUNC(Q39/P39,0))+IF(R39=0,0,TRUNC(S39/R39,0))+IF(T39=0,0,TRUNC(U39/T39,0)))*5</f>
        <v>0</v>
      </c>
      <c r="W39" s="1215">
        <f>SUM(Combate!AQ31:AQ49)+Tablas!G329*40+Tablas!G330*80+Tablas!G331*120</f>
        <v>0</v>
      </c>
      <c r="X39" s="3668">
        <f>HLOOKUP($E39,Bonos_Cat_Base,2,FALSE)</f>
        <v>0</v>
      </c>
      <c r="Y39" s="3668">
        <f>HLOOKUP($E39,Bonos_Cat_Base,2,FALSE)</f>
        <v>0</v>
      </c>
      <c r="Z39" s="2881"/>
      <c r="AA39" s="1627">
        <f>Z39+X39+W39+V39</f>
        <v>0</v>
      </c>
      <c r="AB39" s="2956"/>
      <c r="AC39" s="1706"/>
      <c r="BB39" s="1787"/>
      <c r="BC39" s="1787"/>
      <c r="BD39" s="1787"/>
      <c r="BE39" s="1787"/>
      <c r="BF39" s="67"/>
      <c r="BG39" s="67"/>
      <c r="BH39" s="67"/>
    </row>
    <row r="40" spans="1:60" ht="12" customHeight="1" x14ac:dyDescent="0.2">
      <c r="A40" s="1882"/>
      <c r="B40" s="2156"/>
      <c r="C40" s="3636"/>
      <c r="D40" s="3660" t="s">
        <v>1813</v>
      </c>
      <c r="E40" s="3651"/>
      <c r="F40" s="3652"/>
      <c r="G40" s="3652"/>
      <c r="H40" s="3652"/>
      <c r="I40" s="3652"/>
      <c r="J40" s="3652"/>
      <c r="K40" s="3653"/>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71" t="str">
        <f t="shared" ref="V40:V41" si="13">IF(E40=0,"",VLOOKUP(E40,Tabla_TablasArmas,3,FALSE))</f>
        <v/>
      </c>
      <c r="W40" s="3672"/>
      <c r="X40" s="3672"/>
      <c r="Y40" s="3675"/>
      <c r="Z40" s="3675"/>
      <c r="AA40" s="3676"/>
      <c r="AB40" s="2956"/>
      <c r="AC40" s="1706"/>
      <c r="AD40" s="2715" t="str">
        <f>IF($E40="Tabla de tipología","Lista_Tipologías",IF($E40="Tabla de armas arquetípicas","Lista_ArmasArquetipo",IF($E40="Tabla de armas improvisadas","","Lista_Armas")))</f>
        <v>Lista_Armas</v>
      </c>
      <c r="AF40" s="3085"/>
      <c r="AG40" s="3085"/>
      <c r="BB40" s="1787"/>
      <c r="BC40" s="1787"/>
      <c r="BD40" s="1787"/>
      <c r="BE40" s="1787"/>
      <c r="BF40" s="67"/>
      <c r="BG40" s="67"/>
      <c r="BH40" s="67"/>
    </row>
    <row r="41" spans="1:60" ht="12" customHeight="1" x14ac:dyDescent="0.2">
      <c r="A41" s="1882"/>
      <c r="B41" s="2156"/>
      <c r="C41" s="3636"/>
      <c r="D41" s="3661"/>
      <c r="E41" s="3654"/>
      <c r="F41" s="3655"/>
      <c r="G41" s="3655"/>
      <c r="H41" s="3655"/>
      <c r="I41" s="3655"/>
      <c r="J41" s="3655"/>
      <c r="K41" s="3656"/>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69" t="str">
        <f t="shared" si="13"/>
        <v/>
      </c>
      <c r="W41" s="3670"/>
      <c r="X41" s="3670"/>
      <c r="Y41" s="3677"/>
      <c r="Z41" s="3677"/>
      <c r="AA41" s="3678"/>
      <c r="AB41" s="2956"/>
      <c r="AC41" s="1706"/>
      <c r="AD41" s="2715"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636"/>
      <c r="D42" s="3661"/>
      <c r="E42" s="3651"/>
      <c r="F42" s="3652"/>
      <c r="G42" s="3652"/>
      <c r="H42" s="3652"/>
      <c r="I42" s="3652"/>
      <c r="J42" s="3652"/>
      <c r="K42" s="3653"/>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71" t="str">
        <f t="shared" ref="V42" si="15">IF(E42=0,"",VLOOKUP(E42,Tabla_TablasArmas,3,FALSE))</f>
        <v/>
      </c>
      <c r="W42" s="3672"/>
      <c r="X42" s="3672"/>
      <c r="Y42" s="3675"/>
      <c r="Z42" s="3675"/>
      <c r="AA42" s="3676"/>
      <c r="AB42" s="2956"/>
      <c r="AC42" s="1706"/>
      <c r="AD42" s="2715" t="str">
        <f t="shared" si="14"/>
        <v>Lista_Armas</v>
      </c>
      <c r="BB42" s="1787"/>
      <c r="BC42" s="1787"/>
      <c r="BD42" s="1787"/>
      <c r="BE42" s="1787"/>
      <c r="BF42" s="67"/>
      <c r="BG42" s="67"/>
      <c r="BH42" s="67"/>
    </row>
    <row r="43" spans="1:60" ht="12" customHeight="1" x14ac:dyDescent="0.2">
      <c r="A43" s="1882"/>
      <c r="B43" s="2156"/>
      <c r="C43" s="3636"/>
      <c r="D43" s="3661"/>
      <c r="E43" s="3654"/>
      <c r="F43" s="3655"/>
      <c r="G43" s="3655"/>
      <c r="H43" s="3655"/>
      <c r="I43" s="3655"/>
      <c r="J43" s="3655"/>
      <c r="K43" s="3656"/>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69" t="str">
        <f t="shared" ref="V43:V45" si="16">IF(E43=0,"",VLOOKUP(E43,Tabla_TablasArmas,3,FALSE))</f>
        <v/>
      </c>
      <c r="W43" s="3670"/>
      <c r="X43" s="3670"/>
      <c r="Y43" s="3677"/>
      <c r="Z43" s="3677"/>
      <c r="AA43" s="3678"/>
      <c r="AB43" s="2956"/>
      <c r="AC43" s="1706"/>
      <c r="AD43" s="2715" t="str">
        <f t="shared" si="14"/>
        <v>Lista_Armas</v>
      </c>
      <c r="BB43" s="2321"/>
      <c r="BC43" s="2321"/>
      <c r="BD43" s="2321"/>
      <c r="BE43" s="2321"/>
      <c r="BF43" s="80"/>
      <c r="BG43" s="80"/>
      <c r="BH43" s="80"/>
    </row>
    <row r="44" spans="1:60" ht="12" customHeight="1" x14ac:dyDescent="0.2">
      <c r="A44" s="1882"/>
      <c r="B44" s="2156"/>
      <c r="C44" s="3636"/>
      <c r="D44" s="3661"/>
      <c r="E44" s="3651"/>
      <c r="F44" s="3652"/>
      <c r="G44" s="3652"/>
      <c r="H44" s="3652"/>
      <c r="I44" s="3652"/>
      <c r="J44" s="3652"/>
      <c r="K44" s="3653"/>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71" t="str">
        <f t="shared" si="16"/>
        <v/>
      </c>
      <c r="W44" s="3672"/>
      <c r="X44" s="3672"/>
      <c r="Y44" s="3675"/>
      <c r="Z44" s="3675"/>
      <c r="AA44" s="3676"/>
      <c r="AB44" s="2956"/>
      <c r="AC44" s="1706"/>
      <c r="AD44" s="2715" t="str">
        <f t="shared" si="14"/>
        <v>Lista_Armas</v>
      </c>
      <c r="BB44" s="2321"/>
      <c r="BC44" s="2321"/>
      <c r="BD44" s="2321"/>
      <c r="BE44" s="2321"/>
      <c r="BF44" s="80"/>
      <c r="BG44" s="80"/>
      <c r="BH44" s="80"/>
    </row>
    <row r="45" spans="1:60" ht="12" customHeight="1" x14ac:dyDescent="0.2">
      <c r="A45" s="1882"/>
      <c r="B45" s="2156"/>
      <c r="C45" s="3636"/>
      <c r="D45" s="3663"/>
      <c r="E45" s="3654"/>
      <c r="F45" s="3655"/>
      <c r="G45" s="3655"/>
      <c r="H45" s="3655"/>
      <c r="I45" s="3655"/>
      <c r="J45" s="3655"/>
      <c r="K45" s="3656"/>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673" t="str">
        <f t="shared" si="16"/>
        <v/>
      </c>
      <c r="W45" s="3674"/>
      <c r="X45" s="3674"/>
      <c r="Y45" s="3679"/>
      <c r="Z45" s="3679"/>
      <c r="AA45" s="3680"/>
      <c r="AB45" s="2956"/>
      <c r="AC45" s="1706"/>
      <c r="AD45" s="2715" t="str">
        <f t="shared" si="14"/>
        <v>Lista_Armas</v>
      </c>
      <c r="BB45" s="2321"/>
      <c r="BC45" s="2321"/>
      <c r="BD45" s="2321"/>
      <c r="BE45" s="2321"/>
      <c r="BF45" s="80"/>
      <c r="BG45" s="80"/>
      <c r="BH45" s="80"/>
    </row>
    <row r="46" spans="1:60" ht="12" customHeight="1" x14ac:dyDescent="0.2">
      <c r="A46" s="1882"/>
      <c r="B46" s="2156"/>
      <c r="C46" s="3636"/>
      <c r="D46" s="3686" t="s">
        <v>1814</v>
      </c>
      <c r="E46" s="3681"/>
      <c r="F46" s="3682"/>
      <c r="G46" s="3682"/>
      <c r="H46" s="3682"/>
      <c r="I46" s="3682"/>
      <c r="J46" s="3682"/>
      <c r="K46" s="3683"/>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522" t="str">
        <f t="shared" ref="V46:V55" si="22">IF($E46="","",VLOOKUP($E46,Tabla_Tabla_Estilos,3,FALSE))</f>
        <v/>
      </c>
      <c r="W46" s="3522"/>
      <c r="X46" s="3522"/>
      <c r="Y46" s="3522"/>
      <c r="Z46" s="3522"/>
      <c r="AA46" s="3523"/>
      <c r="AB46" s="2956"/>
      <c r="AC46" s="1706"/>
      <c r="BB46" s="2321"/>
      <c r="BC46" s="2321"/>
      <c r="BD46" s="2321"/>
      <c r="BE46" s="2321"/>
      <c r="BF46" s="80"/>
      <c r="BG46" s="80"/>
      <c r="BH46" s="80"/>
    </row>
    <row r="47" spans="1:60" ht="12" customHeight="1" x14ac:dyDescent="0.2">
      <c r="A47" s="1882"/>
      <c r="B47" s="2156"/>
      <c r="C47" s="3636"/>
      <c r="D47" s="3687"/>
      <c r="E47" s="3684"/>
      <c r="F47" s="3655"/>
      <c r="G47" s="3655"/>
      <c r="H47" s="3655"/>
      <c r="I47" s="3655"/>
      <c r="J47" s="3655"/>
      <c r="K47" s="3656"/>
      <c r="L47" s="127" t="str">
        <f t="shared" si="17"/>
        <v/>
      </c>
      <c r="M47" s="1557"/>
      <c r="N47" s="127">
        <f t="shared" si="18"/>
        <v>0</v>
      </c>
      <c r="O47" s="1557"/>
      <c r="P47" s="127">
        <f t="shared" si="19"/>
        <v>0</v>
      </c>
      <c r="Q47" s="1557"/>
      <c r="R47" s="127">
        <f t="shared" si="20"/>
        <v>0</v>
      </c>
      <c r="S47" s="1557"/>
      <c r="T47" s="127">
        <f t="shared" si="21"/>
        <v>0</v>
      </c>
      <c r="U47" s="1606"/>
      <c r="V47" s="3525" t="str">
        <f t="shared" si="22"/>
        <v/>
      </c>
      <c r="W47" s="3525"/>
      <c r="X47" s="3525"/>
      <c r="Y47" s="3525"/>
      <c r="Z47" s="3525"/>
      <c r="AA47" s="3526"/>
      <c r="AB47" s="2956"/>
      <c r="AC47" s="1706"/>
      <c r="BB47" s="2321"/>
      <c r="BC47" s="2321"/>
      <c r="BD47" s="2321"/>
      <c r="BE47" s="2321"/>
      <c r="BF47" s="80"/>
      <c r="BG47" s="80"/>
      <c r="BH47" s="80"/>
    </row>
    <row r="48" spans="1:60" ht="12" customHeight="1" x14ac:dyDescent="0.2">
      <c r="A48" s="1882"/>
      <c r="B48" s="2156"/>
      <c r="C48" s="3636"/>
      <c r="D48" s="3687"/>
      <c r="E48" s="3685"/>
      <c r="F48" s="3652"/>
      <c r="G48" s="3652"/>
      <c r="H48" s="3652"/>
      <c r="I48" s="3652"/>
      <c r="J48" s="3652"/>
      <c r="K48" s="3653"/>
      <c r="L48" s="132" t="str">
        <f t="shared" si="17"/>
        <v/>
      </c>
      <c r="M48" s="1556"/>
      <c r="N48" s="132">
        <f t="shared" si="18"/>
        <v>0</v>
      </c>
      <c r="O48" s="1556"/>
      <c r="P48" s="132">
        <f t="shared" si="19"/>
        <v>0</v>
      </c>
      <c r="Q48" s="1556"/>
      <c r="R48" s="132">
        <f t="shared" si="20"/>
        <v>0</v>
      </c>
      <c r="S48" s="1556"/>
      <c r="T48" s="132">
        <f t="shared" si="21"/>
        <v>0</v>
      </c>
      <c r="U48" s="1607"/>
      <c r="V48" s="3528" t="str">
        <f t="shared" si="22"/>
        <v/>
      </c>
      <c r="W48" s="3528"/>
      <c r="X48" s="3528"/>
      <c r="Y48" s="3528"/>
      <c r="Z48" s="3528"/>
      <c r="AA48" s="3529"/>
      <c r="AB48" s="2956"/>
      <c r="AC48" s="1706"/>
      <c r="BB48" s="2321"/>
      <c r="BC48" s="2321"/>
      <c r="BD48" s="2321"/>
      <c r="BE48" s="2321"/>
      <c r="BF48" s="80"/>
      <c r="BG48" s="80"/>
      <c r="BH48" s="80"/>
    </row>
    <row r="49" spans="1:65" ht="12" customHeight="1" x14ac:dyDescent="0.2">
      <c r="A49" s="1882"/>
      <c r="B49" s="2156"/>
      <c r="C49" s="3636"/>
      <c r="D49" s="3687"/>
      <c r="E49" s="3684"/>
      <c r="F49" s="3655"/>
      <c r="G49" s="3655"/>
      <c r="H49" s="3655"/>
      <c r="I49" s="3655"/>
      <c r="J49" s="3655"/>
      <c r="K49" s="3656"/>
      <c r="L49" s="127" t="str">
        <f t="shared" si="17"/>
        <v/>
      </c>
      <c r="M49" s="1557"/>
      <c r="N49" s="127">
        <f t="shared" si="18"/>
        <v>0</v>
      </c>
      <c r="O49" s="1557"/>
      <c r="P49" s="127">
        <f t="shared" si="19"/>
        <v>0</v>
      </c>
      <c r="Q49" s="1557"/>
      <c r="R49" s="127">
        <f t="shared" si="20"/>
        <v>0</v>
      </c>
      <c r="S49" s="1557"/>
      <c r="T49" s="127">
        <f t="shared" si="21"/>
        <v>0</v>
      </c>
      <c r="U49" s="1606"/>
      <c r="V49" s="3525" t="str">
        <f t="shared" si="22"/>
        <v/>
      </c>
      <c r="W49" s="3525"/>
      <c r="X49" s="3525"/>
      <c r="Y49" s="3525"/>
      <c r="Z49" s="3525"/>
      <c r="AA49" s="3526"/>
      <c r="AB49" s="2956"/>
      <c r="AC49" s="1706"/>
    </row>
    <row r="50" spans="1:65" ht="12" customHeight="1" x14ac:dyDescent="0.2">
      <c r="A50" s="1882"/>
      <c r="B50" s="2156"/>
      <c r="C50" s="3636"/>
      <c r="D50" s="3687"/>
      <c r="E50" s="3685"/>
      <c r="F50" s="3652"/>
      <c r="G50" s="3652"/>
      <c r="H50" s="3652"/>
      <c r="I50" s="3652"/>
      <c r="J50" s="3652"/>
      <c r="K50" s="3653"/>
      <c r="L50" s="132" t="str">
        <f t="shared" si="17"/>
        <v/>
      </c>
      <c r="M50" s="1556"/>
      <c r="N50" s="132">
        <f t="shared" si="18"/>
        <v>0</v>
      </c>
      <c r="O50" s="1556"/>
      <c r="P50" s="132">
        <f t="shared" si="19"/>
        <v>0</v>
      </c>
      <c r="Q50" s="1556"/>
      <c r="R50" s="132">
        <f t="shared" si="20"/>
        <v>0</v>
      </c>
      <c r="S50" s="1556"/>
      <c r="T50" s="132">
        <f t="shared" si="21"/>
        <v>0</v>
      </c>
      <c r="U50" s="1607"/>
      <c r="V50" s="3528" t="str">
        <f t="shared" si="22"/>
        <v/>
      </c>
      <c r="W50" s="3528"/>
      <c r="X50" s="3528"/>
      <c r="Y50" s="3528"/>
      <c r="Z50" s="3528"/>
      <c r="AA50" s="3529"/>
      <c r="AB50" s="2956"/>
      <c r="AC50" s="1706"/>
      <c r="AD50" s="2715" t="str">
        <f>IF(PDs!$AD75=0,"",IF(PDs!$V75="FALTAN REQUISITOS",PDs!$V75,VLOOKUP(X50,Tabla_AM_Armas,9,FALSE)))</f>
        <v/>
      </c>
    </row>
    <row r="51" spans="1:65" ht="12" customHeight="1" x14ac:dyDescent="0.2">
      <c r="A51" s="1882"/>
      <c r="B51" s="2156"/>
      <c r="C51" s="3636"/>
      <c r="D51" s="3687"/>
      <c r="E51" s="3684"/>
      <c r="F51" s="3655"/>
      <c r="G51" s="3655"/>
      <c r="H51" s="3655"/>
      <c r="I51" s="3655"/>
      <c r="J51" s="3655"/>
      <c r="K51" s="3656"/>
      <c r="L51" s="127" t="str">
        <f t="shared" si="17"/>
        <v/>
      </c>
      <c r="M51" s="1557"/>
      <c r="N51" s="127">
        <f t="shared" si="18"/>
        <v>0</v>
      </c>
      <c r="O51" s="1557"/>
      <c r="P51" s="127">
        <f t="shared" si="19"/>
        <v>0</v>
      </c>
      <c r="Q51" s="1557"/>
      <c r="R51" s="127">
        <f t="shared" si="20"/>
        <v>0</v>
      </c>
      <c r="S51" s="1557"/>
      <c r="T51" s="127">
        <f t="shared" si="21"/>
        <v>0</v>
      </c>
      <c r="U51" s="1606"/>
      <c r="V51" s="3525" t="str">
        <f t="shared" si="22"/>
        <v/>
      </c>
      <c r="W51" s="3525"/>
      <c r="X51" s="3525"/>
      <c r="Y51" s="3525"/>
      <c r="Z51" s="3525"/>
      <c r="AA51" s="3526"/>
      <c r="AB51" s="2956"/>
      <c r="AC51" s="1706"/>
      <c r="AD51" s="2715" t="str">
        <f>IF(PDs!$AD76=0,"",IF(PDs!$V76="FALTAN REQUISITOS",PDs!$V76,VLOOKUP(X51,Tabla_AM_Armas,9,FALSE)))</f>
        <v/>
      </c>
    </row>
    <row r="52" spans="1:65" ht="12" customHeight="1" x14ac:dyDescent="0.2">
      <c r="A52" s="1882"/>
      <c r="B52" s="2156"/>
      <c r="C52" s="3636"/>
      <c r="D52" s="3687"/>
      <c r="E52" s="3685"/>
      <c r="F52" s="3652"/>
      <c r="G52" s="3652"/>
      <c r="H52" s="3652"/>
      <c r="I52" s="3652"/>
      <c r="J52" s="3652"/>
      <c r="K52" s="3653"/>
      <c r="L52" s="132" t="str">
        <f t="shared" si="17"/>
        <v/>
      </c>
      <c r="M52" s="155"/>
      <c r="N52" s="132">
        <f t="shared" si="18"/>
        <v>0</v>
      </c>
      <c r="O52" s="155"/>
      <c r="P52" s="132">
        <f t="shared" si="19"/>
        <v>0</v>
      </c>
      <c r="Q52" s="155"/>
      <c r="R52" s="132">
        <f t="shared" si="20"/>
        <v>0</v>
      </c>
      <c r="S52" s="155"/>
      <c r="T52" s="132">
        <f t="shared" si="21"/>
        <v>0</v>
      </c>
      <c r="U52" s="1608"/>
      <c r="V52" s="3528" t="str">
        <f t="shared" si="22"/>
        <v/>
      </c>
      <c r="W52" s="3528"/>
      <c r="X52" s="3528"/>
      <c r="Y52" s="3528"/>
      <c r="Z52" s="3528"/>
      <c r="AA52" s="3529"/>
      <c r="AB52" s="2956"/>
      <c r="AC52" s="1706"/>
      <c r="AD52" s="2715" t="str">
        <f>IF(PDs!$AD77=0,"",IF(PDs!$V77="FALTAN REQUISITOS",PDs!$V77,VLOOKUP(X52,Tabla_AM_Armas,9,FALSE)))</f>
        <v/>
      </c>
    </row>
    <row r="53" spans="1:65" ht="12" customHeight="1" x14ac:dyDescent="0.2">
      <c r="A53" s="1882"/>
      <c r="B53" s="2156"/>
      <c r="C53" s="3636"/>
      <c r="D53" s="3687"/>
      <c r="E53" s="3684"/>
      <c r="F53" s="3655"/>
      <c r="G53" s="3655"/>
      <c r="H53" s="3655"/>
      <c r="I53" s="3655"/>
      <c r="J53" s="3655"/>
      <c r="K53" s="3656"/>
      <c r="L53" s="127" t="str">
        <f t="shared" si="17"/>
        <v/>
      </c>
      <c r="M53" s="156"/>
      <c r="N53" s="127">
        <f t="shared" si="18"/>
        <v>0</v>
      </c>
      <c r="O53" s="156"/>
      <c r="P53" s="127">
        <f t="shared" si="19"/>
        <v>0</v>
      </c>
      <c r="Q53" s="156"/>
      <c r="R53" s="127">
        <f t="shared" si="20"/>
        <v>0</v>
      </c>
      <c r="S53" s="156"/>
      <c r="T53" s="127">
        <f t="shared" si="21"/>
        <v>0</v>
      </c>
      <c r="U53" s="1609"/>
      <c r="V53" s="3525" t="str">
        <f t="shared" si="22"/>
        <v/>
      </c>
      <c r="W53" s="3525"/>
      <c r="X53" s="3525"/>
      <c r="Y53" s="3525"/>
      <c r="Z53" s="3525"/>
      <c r="AA53" s="3526"/>
      <c r="AB53" s="2956"/>
      <c r="AC53" s="1706"/>
    </row>
    <row r="54" spans="1:65" ht="12" customHeight="1" x14ac:dyDescent="0.2">
      <c r="A54" s="1882"/>
      <c r="B54" s="2156"/>
      <c r="C54" s="3636"/>
      <c r="D54" s="3687"/>
      <c r="E54" s="3685"/>
      <c r="F54" s="3652"/>
      <c r="G54" s="3652"/>
      <c r="H54" s="3652"/>
      <c r="I54" s="3652"/>
      <c r="J54" s="3652"/>
      <c r="K54" s="3653"/>
      <c r="L54" s="132" t="str">
        <f t="shared" si="17"/>
        <v/>
      </c>
      <c r="M54" s="155"/>
      <c r="N54" s="132">
        <f t="shared" si="18"/>
        <v>0</v>
      </c>
      <c r="O54" s="155"/>
      <c r="P54" s="132">
        <f t="shared" si="19"/>
        <v>0</v>
      </c>
      <c r="Q54" s="155"/>
      <c r="R54" s="132">
        <f t="shared" si="20"/>
        <v>0</v>
      </c>
      <c r="S54" s="155"/>
      <c r="T54" s="132">
        <f t="shared" si="21"/>
        <v>0</v>
      </c>
      <c r="U54" s="1608"/>
      <c r="V54" s="3528" t="str">
        <f t="shared" si="22"/>
        <v/>
      </c>
      <c r="W54" s="3528"/>
      <c r="X54" s="3528"/>
      <c r="Y54" s="3528"/>
      <c r="Z54" s="3528"/>
      <c r="AA54" s="3529"/>
      <c r="AB54" s="2956"/>
      <c r="AC54" s="1706"/>
      <c r="BB54" s="1787"/>
      <c r="BC54" s="1787"/>
      <c r="BD54" s="1787"/>
      <c r="BE54" s="1787"/>
      <c r="BF54" s="67"/>
      <c r="BG54" s="67"/>
      <c r="BH54" s="67"/>
      <c r="BI54" s="67"/>
    </row>
    <row r="55" spans="1:65" ht="12" customHeight="1" x14ac:dyDescent="0.2">
      <c r="A55" s="1882"/>
      <c r="B55" s="2156"/>
      <c r="C55" s="3636"/>
      <c r="D55" s="3688"/>
      <c r="E55" s="3747"/>
      <c r="F55" s="3748"/>
      <c r="G55" s="3748"/>
      <c r="H55" s="3748"/>
      <c r="I55" s="3748"/>
      <c r="J55" s="3748"/>
      <c r="K55" s="3749"/>
      <c r="L55" s="1601" t="str">
        <f t="shared" si="17"/>
        <v/>
      </c>
      <c r="M55" s="1610"/>
      <c r="N55" s="1601">
        <f t="shared" si="18"/>
        <v>0</v>
      </c>
      <c r="O55" s="1610"/>
      <c r="P55" s="1601">
        <f t="shared" si="19"/>
        <v>0</v>
      </c>
      <c r="Q55" s="1610"/>
      <c r="R55" s="1601">
        <f t="shared" si="20"/>
        <v>0</v>
      </c>
      <c r="S55" s="1610"/>
      <c r="T55" s="1601">
        <f t="shared" si="21"/>
        <v>0</v>
      </c>
      <c r="U55" s="1611"/>
      <c r="V55" s="3751" t="str">
        <f t="shared" si="22"/>
        <v/>
      </c>
      <c r="W55" s="3751"/>
      <c r="X55" s="3751"/>
      <c r="Y55" s="3751"/>
      <c r="Z55" s="3751"/>
      <c r="AA55" s="3752"/>
      <c r="AB55" s="2956"/>
      <c r="AC55" s="1706"/>
      <c r="AE55" s="3084"/>
      <c r="BB55" s="1787"/>
      <c r="BC55" s="1787"/>
      <c r="BD55" s="1787"/>
      <c r="BE55" s="1787"/>
      <c r="BF55" s="67"/>
      <c r="BG55" s="67"/>
      <c r="BH55" s="67"/>
      <c r="BI55" s="67"/>
    </row>
    <row r="56" spans="1:65" ht="12" customHeight="1" x14ac:dyDescent="0.2">
      <c r="A56" s="1882"/>
      <c r="B56" s="2156"/>
      <c r="C56" s="3636"/>
      <c r="D56" s="3686" t="s">
        <v>1815</v>
      </c>
      <c r="E56" s="3606"/>
      <c r="F56" s="3607"/>
      <c r="G56" s="3607"/>
      <c r="H56" s="3607"/>
      <c r="I56" s="3608"/>
      <c r="J56" s="3604"/>
      <c r="K56" s="3605"/>
      <c r="L56" s="2209" t="str">
        <f t="shared" ref="L56:L74" si="23">IF($AD56=0,"",IF(Categoría_1="Tao",IF(VLOOKUP($AD56,Tabla_ArtesMarciales,19,FALSE)&lt;20,5,IF(VLOOKUP($AD56,Tabla_ArtesMarciales,19,FALSE)&gt;30,20,10)),VLOOKUP($AD56,Tabla_ArtesMarciales,19,FALSE)))</f>
        <v/>
      </c>
      <c r="M56" s="1556"/>
      <c r="N56" s="132" t="str">
        <f t="shared" ref="N56:N74" si="24">IF($AD56=0,"",IF(Categoría_2="Tao",IF(VLOOKUP($AD56,Tabla_ArtesMarciales,19,FALSE)&lt;20,5,IF(VLOOKUP($AD56,Tabla_ArtesMarciales,19,FALSE)&gt;30,20,10)),VLOOKUP($AD56,Tabla_ArtesMarciales,19,FALSE)))</f>
        <v/>
      </c>
      <c r="O56" s="1556"/>
      <c r="P56" s="132" t="str">
        <f t="shared" ref="P56:P74" si="25">IF($AD56=0,"",IF(Categoría_3="Tao",IF(VLOOKUP($AD56,Tabla_ArtesMarciales,19,FALSE)&lt;20,5,IF(VLOOKUP($AD56,Tabla_ArtesMarciales,19,FALSE)&gt;30,20,10)),VLOOKUP($AD56,Tabla_ArtesMarciales,19,FALSE)))</f>
        <v/>
      </c>
      <c r="Q56" s="2539"/>
      <c r="R56" s="132" t="str">
        <f t="shared" ref="R56:R74" si="26">IF($AD56=0,"",IF(Categoría_4="Tao",IF(VLOOKUP($AD56,Tabla_ArtesMarciales,19,FALSE)&lt;20,5,IF(VLOOKUP($AD56,Tabla_ArtesMarciales,19,FALSE)&gt;30,20,10)),VLOOKUP($AD56,Tabla_ArtesMarciales,19,FALSE)))</f>
        <v/>
      </c>
      <c r="S56" s="2539"/>
      <c r="T56" s="132" t="str">
        <f t="shared" ref="T56:T74" si="27">IF($AD56=0,"",IF(Categoría_5="Tao",IF(VLOOKUP($AD56,Tabla_ArtesMarciales,19,FALSE)&lt;20,5,IF(VLOOKUP($AD56,Tabla_ArtesMarciales,19,FALSE)&gt;30,20,10)),VLOOKUP($AD56,Tabla_ArtesMarciales,19,FALSE)))</f>
        <v/>
      </c>
      <c r="U56" s="2539"/>
      <c r="V56" s="3521" t="str">
        <f t="shared" ref="V56:V74" si="28">IF($AD56=0,"",IF(VLOOKUP($AD56,Tabla_ArtesMarciales,21,FALSE)="-",VLOOKUP($AD56,Tabla_ArtesMarciales,9,FALSE),"FALTAN REQUISITOS"))</f>
        <v/>
      </c>
      <c r="W56" s="3522"/>
      <c r="X56" s="3522"/>
      <c r="Y56" s="3522"/>
      <c r="Z56" s="3522"/>
      <c r="AA56" s="3523"/>
      <c r="AB56" s="2956"/>
      <c r="AC56" s="1706"/>
      <c r="AD56" s="2715">
        <f>IF(OR(E56="",J56=""),,E56&amp;" ("&amp;J56&amp;")")</f>
        <v>0</v>
      </c>
      <c r="AE56" s="3022">
        <f>IF(ISNUMBER(MATCH(E56,Tablas!$AC$804:$AC$822,0)),"Grado_AM_Básicas",IF(ISNUMBER(MATCH(E56,Tablas!$AC$823:$AC$840,0)),"Grado_AM_Avanzadas",))</f>
        <v>0</v>
      </c>
      <c r="BB56" s="1787"/>
      <c r="BC56" s="1787"/>
      <c r="BD56" s="1787"/>
      <c r="BE56" s="1787"/>
      <c r="BF56" s="67"/>
      <c r="BG56" s="67"/>
      <c r="BH56" s="67"/>
      <c r="BI56" s="67"/>
    </row>
    <row r="57" spans="1:65" ht="12" customHeight="1" x14ac:dyDescent="0.2">
      <c r="A57" s="1882"/>
      <c r="B57" s="2156"/>
      <c r="C57" s="3636"/>
      <c r="D57" s="3687"/>
      <c r="E57" s="3576"/>
      <c r="F57" s="3577"/>
      <c r="G57" s="3577"/>
      <c r="H57" s="3577"/>
      <c r="I57" s="3578"/>
      <c r="J57" s="3579"/>
      <c r="K57" s="3580"/>
      <c r="L57" s="2210" t="str">
        <f t="shared" si="23"/>
        <v/>
      </c>
      <c r="M57" s="1557"/>
      <c r="N57" s="127" t="str">
        <f t="shared" si="24"/>
        <v/>
      </c>
      <c r="O57" s="1557"/>
      <c r="P57" s="127" t="str">
        <f t="shared" si="25"/>
        <v/>
      </c>
      <c r="Q57" s="1557"/>
      <c r="R57" s="127" t="str">
        <f t="shared" si="26"/>
        <v/>
      </c>
      <c r="S57" s="1557"/>
      <c r="T57" s="127" t="str">
        <f t="shared" si="27"/>
        <v/>
      </c>
      <c r="U57" s="1557"/>
      <c r="V57" s="3524" t="str">
        <f t="shared" si="28"/>
        <v/>
      </c>
      <c r="W57" s="3525"/>
      <c r="X57" s="3525"/>
      <c r="Y57" s="3525"/>
      <c r="Z57" s="3525"/>
      <c r="AA57" s="3526"/>
      <c r="AB57" s="2956"/>
      <c r="AC57" s="1706"/>
      <c r="AD57" s="2715">
        <f t="shared" ref="AD57:AD58" si="29">IF(OR(E57="",J57=""),,E57&amp;" ("&amp;J57&amp;")")</f>
        <v>0</v>
      </c>
      <c r="AE57" s="3022">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636"/>
      <c r="D58" s="3687"/>
      <c r="E58" s="3571"/>
      <c r="F58" s="3572"/>
      <c r="G58" s="3572"/>
      <c r="H58" s="3572"/>
      <c r="I58" s="3573"/>
      <c r="J58" s="3574"/>
      <c r="K58" s="3575"/>
      <c r="L58" s="2209" t="str">
        <f t="shared" si="23"/>
        <v/>
      </c>
      <c r="M58" s="1556"/>
      <c r="N58" s="132" t="str">
        <f t="shared" si="24"/>
        <v/>
      </c>
      <c r="O58" s="1556"/>
      <c r="P58" s="132" t="str">
        <f t="shared" si="25"/>
        <v/>
      </c>
      <c r="Q58" s="1556"/>
      <c r="R58" s="132" t="str">
        <f t="shared" si="26"/>
        <v/>
      </c>
      <c r="S58" s="1556"/>
      <c r="T58" s="132" t="str">
        <f t="shared" si="27"/>
        <v/>
      </c>
      <c r="U58" s="1556"/>
      <c r="V58" s="3527" t="str">
        <f t="shared" si="28"/>
        <v/>
      </c>
      <c r="W58" s="3528"/>
      <c r="X58" s="3528"/>
      <c r="Y58" s="3528"/>
      <c r="Z58" s="3528"/>
      <c r="AA58" s="3529"/>
      <c r="AB58" s="2956"/>
      <c r="AC58" s="1706"/>
      <c r="AD58" s="2715">
        <f t="shared" si="29"/>
        <v>0</v>
      </c>
      <c r="AE58" s="3022">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636"/>
      <c r="D59" s="3687"/>
      <c r="E59" s="3576"/>
      <c r="F59" s="3577"/>
      <c r="G59" s="3577"/>
      <c r="H59" s="3577"/>
      <c r="I59" s="3578"/>
      <c r="J59" s="3579"/>
      <c r="K59" s="3580"/>
      <c r="L59" s="2210" t="str">
        <f t="shared" si="23"/>
        <v/>
      </c>
      <c r="M59" s="1557"/>
      <c r="N59" s="127" t="str">
        <f t="shared" si="24"/>
        <v/>
      </c>
      <c r="O59" s="1557"/>
      <c r="P59" s="127" t="str">
        <f t="shared" si="25"/>
        <v/>
      </c>
      <c r="Q59" s="1557"/>
      <c r="R59" s="127" t="str">
        <f t="shared" si="26"/>
        <v/>
      </c>
      <c r="S59" s="1557"/>
      <c r="T59" s="127" t="str">
        <f t="shared" si="27"/>
        <v/>
      </c>
      <c r="U59" s="1557"/>
      <c r="V59" s="3524" t="str">
        <f t="shared" si="28"/>
        <v/>
      </c>
      <c r="W59" s="3525"/>
      <c r="X59" s="3525"/>
      <c r="Y59" s="3525"/>
      <c r="Z59" s="3525"/>
      <c r="AA59" s="3526"/>
      <c r="AB59" s="2956"/>
      <c r="AC59" s="1706"/>
      <c r="AD59" s="2715">
        <f t="shared" ref="AD59:AD74" si="30">IF(OR(E59="",J59=""),,E59&amp;" ("&amp;J59&amp;")")</f>
        <v>0</v>
      </c>
      <c r="AE59" s="3022">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636"/>
      <c r="D60" s="3687"/>
      <c r="E60" s="3571"/>
      <c r="F60" s="3572"/>
      <c r="G60" s="3572"/>
      <c r="H60" s="3572"/>
      <c r="I60" s="3573"/>
      <c r="J60" s="3574"/>
      <c r="K60" s="3575"/>
      <c r="L60" s="2209" t="str">
        <f t="shared" si="23"/>
        <v/>
      </c>
      <c r="M60" s="1556"/>
      <c r="N60" s="132" t="str">
        <f t="shared" si="24"/>
        <v/>
      </c>
      <c r="O60" s="1556"/>
      <c r="P60" s="132" t="str">
        <f t="shared" si="25"/>
        <v/>
      </c>
      <c r="Q60" s="1556"/>
      <c r="R60" s="132" t="str">
        <f t="shared" si="26"/>
        <v/>
      </c>
      <c r="S60" s="1556"/>
      <c r="T60" s="132" t="str">
        <f t="shared" si="27"/>
        <v/>
      </c>
      <c r="U60" s="1556"/>
      <c r="V60" s="3527" t="str">
        <f t="shared" si="28"/>
        <v/>
      </c>
      <c r="W60" s="3528"/>
      <c r="X60" s="3528"/>
      <c r="Y60" s="3528"/>
      <c r="Z60" s="3528"/>
      <c r="AA60" s="3529"/>
      <c r="AB60" s="2956"/>
      <c r="AC60" s="1706"/>
      <c r="AD60" s="2715">
        <f t="shared" si="30"/>
        <v>0</v>
      </c>
      <c r="AE60" s="3022">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636"/>
      <c r="D61" s="3687"/>
      <c r="E61" s="3576"/>
      <c r="F61" s="3577"/>
      <c r="G61" s="3577"/>
      <c r="H61" s="3577"/>
      <c r="I61" s="3578"/>
      <c r="J61" s="3579"/>
      <c r="K61" s="3580"/>
      <c r="L61" s="2210" t="str">
        <f t="shared" si="23"/>
        <v/>
      </c>
      <c r="M61" s="1557"/>
      <c r="N61" s="127" t="str">
        <f t="shared" si="24"/>
        <v/>
      </c>
      <c r="O61" s="1557"/>
      <c r="P61" s="127" t="str">
        <f t="shared" si="25"/>
        <v/>
      </c>
      <c r="Q61" s="1557"/>
      <c r="R61" s="127" t="str">
        <f t="shared" si="26"/>
        <v/>
      </c>
      <c r="S61" s="1557"/>
      <c r="T61" s="127" t="str">
        <f t="shared" si="27"/>
        <v/>
      </c>
      <c r="U61" s="1557"/>
      <c r="V61" s="3524" t="str">
        <f t="shared" si="28"/>
        <v/>
      </c>
      <c r="W61" s="3525"/>
      <c r="X61" s="3525"/>
      <c r="Y61" s="3525"/>
      <c r="Z61" s="3525"/>
      <c r="AA61" s="3526"/>
      <c r="AB61" s="3093"/>
      <c r="AC61" s="3097"/>
      <c r="AD61" s="2715">
        <f t="shared" si="30"/>
        <v>0</v>
      </c>
      <c r="AE61" s="3022">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636"/>
      <c r="D62" s="3687"/>
      <c r="E62" s="3571"/>
      <c r="F62" s="3572"/>
      <c r="G62" s="3572"/>
      <c r="H62" s="3572"/>
      <c r="I62" s="3573"/>
      <c r="J62" s="3574"/>
      <c r="K62" s="3575"/>
      <c r="L62" s="2209" t="str">
        <f t="shared" si="23"/>
        <v/>
      </c>
      <c r="M62" s="1556"/>
      <c r="N62" s="132" t="str">
        <f t="shared" si="24"/>
        <v/>
      </c>
      <c r="O62" s="1556"/>
      <c r="P62" s="132" t="str">
        <f t="shared" si="25"/>
        <v/>
      </c>
      <c r="Q62" s="1556"/>
      <c r="R62" s="132" t="str">
        <f t="shared" si="26"/>
        <v/>
      </c>
      <c r="S62" s="1556"/>
      <c r="T62" s="132" t="str">
        <f t="shared" si="27"/>
        <v/>
      </c>
      <c r="U62" s="1556"/>
      <c r="V62" s="3527" t="str">
        <f t="shared" si="28"/>
        <v/>
      </c>
      <c r="W62" s="3528"/>
      <c r="X62" s="3528"/>
      <c r="Y62" s="3528"/>
      <c r="Z62" s="3528"/>
      <c r="AA62" s="3529"/>
      <c r="AB62" s="2956"/>
      <c r="AC62" s="1706"/>
      <c r="AD62" s="2715">
        <f>IF(OR(E62="",J62=""),,E62&amp;" ("&amp;J62&amp;")")</f>
        <v>0</v>
      </c>
      <c r="AE62" s="3022">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636"/>
      <c r="D63" s="3687"/>
      <c r="E63" s="3576"/>
      <c r="F63" s="3577"/>
      <c r="G63" s="3577"/>
      <c r="H63" s="3577"/>
      <c r="I63" s="3578"/>
      <c r="J63" s="3579"/>
      <c r="K63" s="3580"/>
      <c r="L63" s="2210" t="str">
        <f t="shared" si="23"/>
        <v/>
      </c>
      <c r="M63" s="1557"/>
      <c r="N63" s="127" t="str">
        <f t="shared" si="24"/>
        <v/>
      </c>
      <c r="O63" s="1557"/>
      <c r="P63" s="127" t="str">
        <f t="shared" si="25"/>
        <v/>
      </c>
      <c r="Q63" s="1557"/>
      <c r="R63" s="127" t="str">
        <f t="shared" si="26"/>
        <v/>
      </c>
      <c r="S63" s="1557"/>
      <c r="T63" s="127" t="str">
        <f t="shared" si="27"/>
        <v/>
      </c>
      <c r="U63" s="1557"/>
      <c r="V63" s="3524" t="str">
        <f t="shared" si="28"/>
        <v/>
      </c>
      <c r="W63" s="3525"/>
      <c r="X63" s="3525"/>
      <c r="Y63" s="3525"/>
      <c r="Z63" s="3525"/>
      <c r="AA63" s="3526"/>
      <c r="AB63" s="3098"/>
      <c r="AC63" s="1708"/>
      <c r="AD63" s="2715">
        <f t="shared" si="30"/>
        <v>0</v>
      </c>
      <c r="AE63" s="3022">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636"/>
      <c r="D64" s="3687"/>
      <c r="E64" s="3571"/>
      <c r="F64" s="3572"/>
      <c r="G64" s="3572"/>
      <c r="H64" s="3572"/>
      <c r="I64" s="3573"/>
      <c r="J64" s="3574"/>
      <c r="K64" s="3575"/>
      <c r="L64" s="2209" t="str">
        <f t="shared" si="23"/>
        <v/>
      </c>
      <c r="M64" s="1556"/>
      <c r="N64" s="132" t="str">
        <f t="shared" si="24"/>
        <v/>
      </c>
      <c r="O64" s="1556"/>
      <c r="P64" s="132" t="str">
        <f t="shared" si="25"/>
        <v/>
      </c>
      <c r="Q64" s="1556"/>
      <c r="R64" s="132" t="str">
        <f t="shared" si="26"/>
        <v/>
      </c>
      <c r="S64" s="1556"/>
      <c r="T64" s="132" t="str">
        <f t="shared" si="27"/>
        <v/>
      </c>
      <c r="U64" s="1556"/>
      <c r="V64" s="3527" t="str">
        <f t="shared" si="28"/>
        <v/>
      </c>
      <c r="W64" s="3528"/>
      <c r="X64" s="3528"/>
      <c r="Y64" s="3528"/>
      <c r="Z64" s="3528"/>
      <c r="AA64" s="3529"/>
      <c r="AB64" s="3098"/>
      <c r="AC64" s="1708"/>
      <c r="AD64" s="2715">
        <f t="shared" si="30"/>
        <v>0</v>
      </c>
      <c r="AE64" s="3022">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636"/>
      <c r="D65" s="3687"/>
      <c r="E65" s="3576"/>
      <c r="F65" s="3577"/>
      <c r="G65" s="3577"/>
      <c r="H65" s="3577"/>
      <c r="I65" s="3578"/>
      <c r="J65" s="3579"/>
      <c r="K65" s="3580"/>
      <c r="L65" s="2210" t="str">
        <f t="shared" si="23"/>
        <v/>
      </c>
      <c r="M65" s="1557"/>
      <c r="N65" s="127" t="str">
        <f t="shared" si="24"/>
        <v/>
      </c>
      <c r="O65" s="1557"/>
      <c r="P65" s="127" t="str">
        <f t="shared" si="25"/>
        <v/>
      </c>
      <c r="Q65" s="1557"/>
      <c r="R65" s="127" t="str">
        <f t="shared" si="26"/>
        <v/>
      </c>
      <c r="S65" s="1557"/>
      <c r="T65" s="127" t="str">
        <f t="shared" si="27"/>
        <v/>
      </c>
      <c r="U65" s="1557"/>
      <c r="V65" s="3524" t="str">
        <f t="shared" si="28"/>
        <v/>
      </c>
      <c r="W65" s="3525"/>
      <c r="X65" s="3525"/>
      <c r="Y65" s="3525"/>
      <c r="Z65" s="3525"/>
      <c r="AA65" s="3526"/>
      <c r="AB65" s="3098"/>
      <c r="AC65" s="1708"/>
      <c r="AD65" s="2715">
        <f t="shared" si="30"/>
        <v>0</v>
      </c>
      <c r="AE65" s="3022">
        <f>IF(ISNUMBER(MATCH(E65,Tablas!$AC$804:$AC$822,0)),"Grado_AM_Básicas",IF(ISNUMBER(MATCH(E65,Tablas!$AC$823:$AC$840,0)),"Grado_AM_Avanzadas",))</f>
        <v>0</v>
      </c>
    </row>
    <row r="66" spans="1:57" ht="12" customHeight="1" x14ac:dyDescent="0.2">
      <c r="A66" s="1882"/>
      <c r="B66" s="2156"/>
      <c r="C66" s="3636"/>
      <c r="D66" s="3687"/>
      <c r="E66" s="3571"/>
      <c r="F66" s="3572"/>
      <c r="G66" s="3572"/>
      <c r="H66" s="3572"/>
      <c r="I66" s="3573"/>
      <c r="J66" s="3574"/>
      <c r="K66" s="3575"/>
      <c r="L66" s="2209" t="str">
        <f t="shared" si="23"/>
        <v/>
      </c>
      <c r="M66" s="1556"/>
      <c r="N66" s="132" t="str">
        <f t="shared" si="24"/>
        <v/>
      </c>
      <c r="O66" s="1556"/>
      <c r="P66" s="132" t="str">
        <f t="shared" si="25"/>
        <v/>
      </c>
      <c r="Q66" s="1556"/>
      <c r="R66" s="132" t="str">
        <f t="shared" si="26"/>
        <v/>
      </c>
      <c r="S66" s="1556"/>
      <c r="T66" s="132" t="str">
        <f t="shared" si="27"/>
        <v/>
      </c>
      <c r="U66" s="1556"/>
      <c r="V66" s="3527" t="str">
        <f t="shared" si="28"/>
        <v/>
      </c>
      <c r="W66" s="3528"/>
      <c r="X66" s="3528"/>
      <c r="Y66" s="3528"/>
      <c r="Z66" s="3528"/>
      <c r="AA66" s="3529"/>
      <c r="AB66" s="3098"/>
      <c r="AC66" s="1708"/>
      <c r="AD66" s="2715">
        <f t="shared" si="30"/>
        <v>0</v>
      </c>
      <c r="AE66" s="3022">
        <f>IF(ISNUMBER(MATCH(E66,Tablas!$AC$804:$AC$822,0)),"Grado_AM_Básicas",IF(ISNUMBER(MATCH(E66,Tablas!$AC$823:$AC$840,0)),"Grado_AM_Avanzadas",))</f>
        <v>0</v>
      </c>
    </row>
    <row r="67" spans="1:57" ht="12" customHeight="1" x14ac:dyDescent="0.2">
      <c r="A67" s="1882"/>
      <c r="B67" s="2156"/>
      <c r="C67" s="3636"/>
      <c r="D67" s="3687"/>
      <c r="E67" s="3576"/>
      <c r="F67" s="3577"/>
      <c r="G67" s="3577"/>
      <c r="H67" s="3577"/>
      <c r="I67" s="3578"/>
      <c r="J67" s="3579"/>
      <c r="K67" s="3580"/>
      <c r="L67" s="2210" t="str">
        <f t="shared" si="23"/>
        <v/>
      </c>
      <c r="M67" s="1557"/>
      <c r="N67" s="127" t="str">
        <f t="shared" si="24"/>
        <v/>
      </c>
      <c r="O67" s="1557"/>
      <c r="P67" s="127" t="str">
        <f t="shared" si="25"/>
        <v/>
      </c>
      <c r="Q67" s="1557"/>
      <c r="R67" s="127" t="str">
        <f t="shared" si="26"/>
        <v/>
      </c>
      <c r="S67" s="1557"/>
      <c r="T67" s="127" t="str">
        <f t="shared" si="27"/>
        <v/>
      </c>
      <c r="U67" s="1557"/>
      <c r="V67" s="3524" t="str">
        <f t="shared" si="28"/>
        <v/>
      </c>
      <c r="W67" s="3525"/>
      <c r="X67" s="3525"/>
      <c r="Y67" s="3525"/>
      <c r="Z67" s="3525"/>
      <c r="AA67" s="3526"/>
      <c r="AB67" s="3098"/>
      <c r="AC67" s="1708"/>
      <c r="AD67" s="2715">
        <f t="shared" si="30"/>
        <v>0</v>
      </c>
      <c r="AE67" s="3022">
        <f>IF(ISNUMBER(MATCH(E67,Tablas!$AC$804:$AC$822,0)),"Grado_AM_Básicas",IF(ISNUMBER(MATCH(E67,Tablas!$AC$823:$AC$840,0)),"Grado_AM_Avanzadas",))</f>
        <v>0</v>
      </c>
    </row>
    <row r="68" spans="1:57" ht="12" customHeight="1" x14ac:dyDescent="0.2">
      <c r="A68" s="1882"/>
      <c r="B68" s="2156"/>
      <c r="C68" s="3636"/>
      <c r="D68" s="3687"/>
      <c r="E68" s="3571"/>
      <c r="F68" s="3572"/>
      <c r="G68" s="3572"/>
      <c r="H68" s="3572"/>
      <c r="I68" s="3573"/>
      <c r="J68" s="3574"/>
      <c r="K68" s="3575"/>
      <c r="L68" s="2209" t="str">
        <f t="shared" si="23"/>
        <v/>
      </c>
      <c r="M68" s="1556"/>
      <c r="N68" s="132" t="str">
        <f t="shared" si="24"/>
        <v/>
      </c>
      <c r="O68" s="1556"/>
      <c r="P68" s="132" t="str">
        <f t="shared" si="25"/>
        <v/>
      </c>
      <c r="Q68" s="1556"/>
      <c r="R68" s="132" t="str">
        <f t="shared" si="26"/>
        <v/>
      </c>
      <c r="S68" s="1556"/>
      <c r="T68" s="132" t="str">
        <f t="shared" si="27"/>
        <v/>
      </c>
      <c r="U68" s="1556"/>
      <c r="V68" s="3527" t="str">
        <f t="shared" si="28"/>
        <v/>
      </c>
      <c r="W68" s="3528"/>
      <c r="X68" s="3528"/>
      <c r="Y68" s="3528"/>
      <c r="Z68" s="3528"/>
      <c r="AA68" s="3529"/>
      <c r="AB68" s="3098"/>
      <c r="AC68" s="1708"/>
      <c r="AD68" s="2715">
        <f t="shared" si="30"/>
        <v>0</v>
      </c>
      <c r="AE68" s="3022">
        <f>IF(ISNUMBER(MATCH(E68,Tablas!$AC$804:$AC$822,0)),"Grado_AM_Básicas",IF(ISNUMBER(MATCH(E68,Tablas!$AC$823:$AC$840,0)),"Grado_AM_Avanzadas",))</f>
        <v>0</v>
      </c>
    </row>
    <row r="69" spans="1:57" s="23" customFormat="1" ht="12" customHeight="1" x14ac:dyDescent="0.2">
      <c r="A69" s="1882"/>
      <c r="B69" s="2156"/>
      <c r="C69" s="3636"/>
      <c r="D69" s="3687"/>
      <c r="E69" s="3576"/>
      <c r="F69" s="3577"/>
      <c r="G69" s="3577"/>
      <c r="H69" s="3577"/>
      <c r="I69" s="3578"/>
      <c r="J69" s="3579"/>
      <c r="K69" s="3580"/>
      <c r="L69" s="2210" t="str">
        <f t="shared" si="23"/>
        <v/>
      </c>
      <c r="M69" s="1557"/>
      <c r="N69" s="127" t="str">
        <f t="shared" si="24"/>
        <v/>
      </c>
      <c r="O69" s="1557"/>
      <c r="P69" s="127" t="str">
        <f t="shared" si="25"/>
        <v/>
      </c>
      <c r="Q69" s="1557"/>
      <c r="R69" s="127" t="str">
        <f t="shared" si="26"/>
        <v/>
      </c>
      <c r="S69" s="1557"/>
      <c r="T69" s="127" t="str">
        <f t="shared" si="27"/>
        <v/>
      </c>
      <c r="U69" s="1557"/>
      <c r="V69" s="3524" t="str">
        <f t="shared" si="28"/>
        <v/>
      </c>
      <c r="W69" s="3525"/>
      <c r="X69" s="3525"/>
      <c r="Y69" s="3525"/>
      <c r="Z69" s="3525"/>
      <c r="AA69" s="3526"/>
      <c r="AB69" s="3098"/>
      <c r="AC69" s="1708"/>
      <c r="AD69" s="2715">
        <f t="shared" si="30"/>
        <v>0</v>
      </c>
      <c r="AE69" s="3022">
        <f>IF(ISNUMBER(MATCH(E69,Tablas!$AC$804:$AC$822,0)),"Grado_AM_Básicas",IF(ISNUMBER(MATCH(E69,Tablas!$AC$823:$AC$840,0)),"Grado_AM_Avanzadas",))</f>
        <v>0</v>
      </c>
      <c r="AF69" s="3084"/>
      <c r="AG69" s="3022"/>
      <c r="AH69" s="3085"/>
      <c r="AI69" s="3022"/>
      <c r="AJ69" s="3022"/>
      <c r="AK69" s="3022"/>
      <c r="AL69" s="1900"/>
      <c r="AM69" s="1900"/>
      <c r="AN69" s="1900"/>
      <c r="AO69" s="2715"/>
      <c r="AP69" s="1900"/>
      <c r="AQ69" s="1707"/>
      <c r="AR69" s="1707"/>
      <c r="AS69" s="1707"/>
      <c r="AT69" s="1707"/>
      <c r="AU69" s="1707"/>
      <c r="AV69" s="1707"/>
      <c r="AW69" s="1707"/>
      <c r="AX69" s="1707"/>
      <c r="AY69" s="1707"/>
      <c r="AZ69" s="1707"/>
      <c r="BA69" s="1900"/>
      <c r="BB69" s="1900"/>
      <c r="BC69" s="1900"/>
      <c r="BD69" s="1900"/>
      <c r="BE69" s="1900"/>
    </row>
    <row r="70" spans="1:57" s="23" customFormat="1" ht="12" customHeight="1" x14ac:dyDescent="0.2">
      <c r="A70" s="5"/>
      <c r="B70" s="2412"/>
      <c r="C70" s="3636"/>
      <c r="D70" s="3687"/>
      <c r="E70" s="3571"/>
      <c r="F70" s="3572"/>
      <c r="G70" s="3572"/>
      <c r="H70" s="3572"/>
      <c r="I70" s="3573"/>
      <c r="J70" s="3574"/>
      <c r="K70" s="3575"/>
      <c r="L70" s="2209" t="str">
        <f t="shared" si="23"/>
        <v/>
      </c>
      <c r="M70" s="1556"/>
      <c r="N70" s="132" t="str">
        <f t="shared" si="24"/>
        <v/>
      </c>
      <c r="O70" s="1556"/>
      <c r="P70" s="132" t="str">
        <f t="shared" si="25"/>
        <v/>
      </c>
      <c r="Q70" s="1556"/>
      <c r="R70" s="132" t="str">
        <f t="shared" si="26"/>
        <v/>
      </c>
      <c r="S70" s="1556"/>
      <c r="T70" s="132" t="str">
        <f t="shared" si="27"/>
        <v/>
      </c>
      <c r="U70" s="1556"/>
      <c r="V70" s="3527" t="str">
        <f t="shared" si="28"/>
        <v/>
      </c>
      <c r="W70" s="3528"/>
      <c r="X70" s="3528"/>
      <c r="Y70" s="3528"/>
      <c r="Z70" s="3528"/>
      <c r="AA70" s="3529"/>
      <c r="AB70" s="3098"/>
      <c r="AC70" s="1708"/>
      <c r="AD70" s="2715">
        <f t="shared" si="30"/>
        <v>0</v>
      </c>
      <c r="AE70" s="3022">
        <f>IF(ISNUMBER(MATCH(E70,Tablas!$AC$804:$AC$822,0)),"Grado_AM_Básicas",IF(ISNUMBER(MATCH(E70,Tablas!$AC$823:$AC$840,0)),"Grado_AM_Avanzadas",))</f>
        <v>0</v>
      </c>
      <c r="AF70" s="3084"/>
      <c r="AG70" s="3022"/>
      <c r="AH70" s="3085"/>
      <c r="AI70" s="3022"/>
      <c r="AJ70" s="3022"/>
      <c r="AK70" s="3022"/>
      <c r="AL70" s="1900"/>
      <c r="AM70" s="1900"/>
      <c r="AN70" s="1900"/>
      <c r="AO70" s="2715"/>
      <c r="AP70" s="1900"/>
      <c r="AQ70" s="1900"/>
      <c r="AR70" s="1900"/>
      <c r="AS70" s="1900"/>
      <c r="AT70" s="1900"/>
      <c r="AU70" s="1900"/>
      <c r="AV70" s="1900"/>
      <c r="AW70" s="1900"/>
      <c r="AX70" s="1900"/>
      <c r="AY70" s="1900"/>
      <c r="AZ70" s="1900"/>
      <c r="BA70" s="1900"/>
      <c r="BB70" s="1900"/>
      <c r="BC70" s="1900"/>
      <c r="BD70" s="1900"/>
      <c r="BE70" s="1900"/>
    </row>
    <row r="71" spans="1:57" s="23" customFormat="1" ht="12" customHeight="1" x14ac:dyDescent="0.2">
      <c r="A71" s="5"/>
      <c r="B71" s="2412"/>
      <c r="C71" s="3636"/>
      <c r="D71" s="3687"/>
      <c r="E71" s="3576"/>
      <c r="F71" s="3577"/>
      <c r="G71" s="3577"/>
      <c r="H71" s="3577"/>
      <c r="I71" s="3578"/>
      <c r="J71" s="3579"/>
      <c r="K71" s="3580"/>
      <c r="L71" s="2210" t="str">
        <f t="shared" si="23"/>
        <v/>
      </c>
      <c r="M71" s="1557"/>
      <c r="N71" s="1558" t="str">
        <f t="shared" si="24"/>
        <v/>
      </c>
      <c r="O71" s="1557"/>
      <c r="P71" s="1558" t="str">
        <f t="shared" si="25"/>
        <v/>
      </c>
      <c r="Q71" s="1557"/>
      <c r="R71" s="1558" t="str">
        <f t="shared" si="26"/>
        <v/>
      </c>
      <c r="S71" s="1557"/>
      <c r="T71" s="1558" t="str">
        <f t="shared" si="27"/>
        <v/>
      </c>
      <c r="U71" s="1557"/>
      <c r="V71" s="3524" t="str">
        <f t="shared" si="28"/>
        <v/>
      </c>
      <c r="W71" s="3525"/>
      <c r="X71" s="3525"/>
      <c r="Y71" s="3525"/>
      <c r="Z71" s="3525"/>
      <c r="AA71" s="3526"/>
      <c r="AB71" s="3098"/>
      <c r="AC71" s="1708"/>
      <c r="AD71" s="2715">
        <f t="shared" si="30"/>
        <v>0</v>
      </c>
      <c r="AE71" s="3022">
        <f>IF(ISNUMBER(MATCH(E71,Tablas!$AC$804:$AC$822,0)),"Grado_AM_Básicas",IF(ISNUMBER(MATCH(E71,Tablas!$AC$823:$AC$840,0)),"Grado_AM_Avanzadas",))</f>
        <v>0</v>
      </c>
      <c r="AF71" s="3084"/>
      <c r="AG71" s="3022"/>
      <c r="AH71" s="3085"/>
      <c r="AI71" s="3022"/>
      <c r="AJ71" s="3022"/>
      <c r="AK71" s="3022"/>
      <c r="AL71" s="1900"/>
      <c r="AM71" s="1900"/>
      <c r="AN71" s="1900"/>
      <c r="AO71" s="1900"/>
      <c r="AP71" s="1900"/>
      <c r="AQ71" s="1900"/>
      <c r="AR71" s="1900"/>
      <c r="AS71" s="1900"/>
      <c r="AT71" s="1900"/>
      <c r="AU71" s="1900"/>
      <c r="AV71" s="1900"/>
      <c r="AW71" s="1900"/>
      <c r="AX71" s="1900"/>
      <c r="AY71" s="1900"/>
      <c r="AZ71" s="1900"/>
      <c r="BA71" s="1900"/>
      <c r="BB71" s="1900"/>
      <c r="BC71" s="1900"/>
      <c r="BD71" s="1900"/>
      <c r="BE71" s="1900"/>
    </row>
    <row r="72" spans="1:57" s="23" customFormat="1" ht="12" customHeight="1" x14ac:dyDescent="0.2">
      <c r="A72" s="5"/>
      <c r="B72" s="2412"/>
      <c r="C72" s="3636"/>
      <c r="D72" s="3687"/>
      <c r="E72" s="3571"/>
      <c r="F72" s="3572"/>
      <c r="G72" s="3572"/>
      <c r="H72" s="3572"/>
      <c r="I72" s="3573"/>
      <c r="J72" s="3574"/>
      <c r="K72" s="3575"/>
      <c r="L72" s="2209" t="str">
        <f t="shared" si="23"/>
        <v/>
      </c>
      <c r="M72" s="1556"/>
      <c r="N72" s="1553" t="str">
        <f t="shared" si="24"/>
        <v/>
      </c>
      <c r="O72" s="1556"/>
      <c r="P72" s="1553" t="str">
        <f t="shared" si="25"/>
        <v/>
      </c>
      <c r="Q72" s="1556"/>
      <c r="R72" s="1553" t="str">
        <f t="shared" si="26"/>
        <v/>
      </c>
      <c r="S72" s="1556"/>
      <c r="T72" s="1553" t="str">
        <f t="shared" si="27"/>
        <v/>
      </c>
      <c r="U72" s="1556"/>
      <c r="V72" s="3527" t="str">
        <f t="shared" si="28"/>
        <v/>
      </c>
      <c r="W72" s="3528"/>
      <c r="X72" s="3528"/>
      <c r="Y72" s="3528"/>
      <c r="Z72" s="3528"/>
      <c r="AA72" s="3529"/>
      <c r="AB72" s="3098"/>
      <c r="AC72" s="1708"/>
      <c r="AD72" s="2715">
        <f t="shared" si="30"/>
        <v>0</v>
      </c>
      <c r="AE72" s="3022">
        <f>IF(ISNUMBER(MATCH(E72,Tablas!$AC$804:$AC$822,0)),"Grado_AM_Básicas",IF(ISNUMBER(MATCH(E72,Tablas!$AC$823:$AC$840,0)),"Grado_AM_Avanzadas",))</f>
        <v>0</v>
      </c>
      <c r="AF72" s="3084"/>
      <c r="AG72" s="3022"/>
      <c r="AH72" s="3085"/>
      <c r="AI72" s="3022"/>
      <c r="AJ72" s="3022"/>
      <c r="AK72" s="3022"/>
      <c r="AL72" s="1900"/>
      <c r="AM72" s="1900"/>
      <c r="AN72" s="1900"/>
      <c r="AO72" s="1900"/>
      <c r="AP72" s="1900"/>
      <c r="AQ72" s="1900"/>
      <c r="AR72" s="1900"/>
      <c r="AS72" s="1900"/>
      <c r="AT72" s="1900"/>
      <c r="AU72" s="1900"/>
      <c r="AV72" s="1900"/>
      <c r="AW72" s="1900"/>
      <c r="AX72" s="1900"/>
      <c r="AY72" s="1900"/>
      <c r="AZ72" s="1900"/>
      <c r="BA72" s="1900"/>
      <c r="BB72" s="1900"/>
      <c r="BC72" s="1900"/>
      <c r="BD72" s="1900"/>
      <c r="BE72" s="1900"/>
    </row>
    <row r="73" spans="1:57" s="23" customFormat="1" ht="12" customHeight="1" x14ac:dyDescent="0.2">
      <c r="A73" s="5"/>
      <c r="B73" s="2412"/>
      <c r="C73" s="3636"/>
      <c r="D73" s="3687"/>
      <c r="E73" s="3576"/>
      <c r="F73" s="3577"/>
      <c r="G73" s="3577"/>
      <c r="H73" s="3577"/>
      <c r="I73" s="3578"/>
      <c r="J73" s="3579"/>
      <c r="K73" s="3580"/>
      <c r="L73" s="2210" t="str">
        <f t="shared" si="23"/>
        <v/>
      </c>
      <c r="M73" s="1557"/>
      <c r="N73" s="1558" t="str">
        <f t="shared" si="24"/>
        <v/>
      </c>
      <c r="O73" s="1557"/>
      <c r="P73" s="1558" t="str">
        <f t="shared" si="25"/>
        <v/>
      </c>
      <c r="Q73" s="1557"/>
      <c r="R73" s="1558" t="str">
        <f t="shared" si="26"/>
        <v/>
      </c>
      <c r="S73" s="1557"/>
      <c r="T73" s="1558" t="str">
        <f t="shared" si="27"/>
        <v/>
      </c>
      <c r="U73" s="1557"/>
      <c r="V73" s="3524" t="str">
        <f t="shared" si="28"/>
        <v/>
      </c>
      <c r="W73" s="3525"/>
      <c r="X73" s="3525"/>
      <c r="Y73" s="3525"/>
      <c r="Z73" s="3525"/>
      <c r="AA73" s="3526"/>
      <c r="AB73" s="3098"/>
      <c r="AC73" s="1708"/>
      <c r="AD73" s="2715">
        <f t="shared" si="30"/>
        <v>0</v>
      </c>
      <c r="AE73" s="3022">
        <f>IF(ISNUMBER(MATCH(E73,Tablas!$AC$804:$AC$822,0)),"Grado_AM_Básicas",IF(ISNUMBER(MATCH(E73,Tablas!$AC$823:$AC$840,0)),"Grado_AM_Avanzadas",))</f>
        <v>0</v>
      </c>
      <c r="AF73" s="3084"/>
      <c r="AG73" s="3022"/>
      <c r="AH73" s="3085"/>
      <c r="AI73" s="3022"/>
      <c r="AJ73" s="3022"/>
      <c r="AK73" s="3022"/>
      <c r="AL73" s="1900"/>
      <c r="AM73" s="1900"/>
      <c r="AN73" s="1900"/>
      <c r="AO73" s="1900"/>
      <c r="AP73" s="1900"/>
      <c r="AQ73" s="1900"/>
      <c r="AR73" s="1900"/>
      <c r="AS73" s="1900"/>
      <c r="AT73" s="1900"/>
      <c r="AU73" s="1900"/>
      <c r="AV73" s="1900"/>
      <c r="AW73" s="1900"/>
      <c r="AX73" s="1900"/>
      <c r="AY73" s="1900"/>
      <c r="AZ73" s="1900"/>
      <c r="BA73" s="1900"/>
      <c r="BB73" s="1900"/>
      <c r="BC73" s="1900"/>
      <c r="BD73" s="1900"/>
      <c r="BE73" s="1900"/>
    </row>
    <row r="74" spans="1:57" s="23" customFormat="1" ht="12" customHeight="1" x14ac:dyDescent="0.2">
      <c r="A74" s="5"/>
      <c r="B74" s="2412"/>
      <c r="C74" s="3636"/>
      <c r="D74" s="3687"/>
      <c r="E74" s="3581"/>
      <c r="F74" s="3582"/>
      <c r="G74" s="3582"/>
      <c r="H74" s="3582"/>
      <c r="I74" s="3583"/>
      <c r="J74" s="3584"/>
      <c r="K74" s="3585"/>
      <c r="L74" s="2209" t="str">
        <f t="shared" si="23"/>
        <v/>
      </c>
      <c r="M74" s="1556"/>
      <c r="N74" s="1553" t="str">
        <f t="shared" si="24"/>
        <v/>
      </c>
      <c r="O74" s="1556"/>
      <c r="P74" s="1553" t="str">
        <f t="shared" si="25"/>
        <v/>
      </c>
      <c r="Q74" s="1556"/>
      <c r="R74" s="1553" t="str">
        <f t="shared" si="26"/>
        <v/>
      </c>
      <c r="S74" s="1556"/>
      <c r="T74" s="1553" t="str">
        <f t="shared" si="27"/>
        <v/>
      </c>
      <c r="U74" s="1556"/>
      <c r="V74" s="3527" t="str">
        <f t="shared" si="28"/>
        <v/>
      </c>
      <c r="W74" s="3528"/>
      <c r="X74" s="3528"/>
      <c r="Y74" s="3528"/>
      <c r="Z74" s="3528"/>
      <c r="AA74" s="3529"/>
      <c r="AB74" s="3098"/>
      <c r="AC74" s="1708"/>
      <c r="AD74" s="2715">
        <f t="shared" si="30"/>
        <v>0</v>
      </c>
      <c r="AE74" s="3022">
        <f>IF(ISNUMBER(MATCH(E74,Tablas!$AC$804:$AC$822,0)),"Grado_AM_Básicas",IF(ISNUMBER(MATCH(E74,Tablas!$AC$823:$AC$840,0)),"Grado_AM_Avanzadas",))</f>
        <v>0</v>
      </c>
      <c r="AF74" s="3084"/>
      <c r="AG74" s="3022"/>
      <c r="AH74" s="3085"/>
      <c r="AI74" s="3022"/>
      <c r="AJ74" s="3022"/>
      <c r="AK74" s="3022"/>
      <c r="AL74" s="1900"/>
      <c r="AM74" s="1900"/>
      <c r="AN74" s="1900"/>
      <c r="AO74" s="1900"/>
      <c r="AP74" s="1900"/>
      <c r="AQ74" s="1900"/>
      <c r="AR74" s="1900"/>
      <c r="AS74" s="1900"/>
      <c r="AT74" s="1900"/>
      <c r="AU74" s="1900"/>
      <c r="AV74" s="1900"/>
      <c r="AW74" s="1900"/>
      <c r="AX74" s="1900"/>
      <c r="AY74" s="1900"/>
      <c r="AZ74" s="1900"/>
      <c r="BA74" s="1900"/>
      <c r="BB74" s="1900"/>
      <c r="BC74" s="1900"/>
      <c r="BD74" s="1900"/>
      <c r="BE74" s="1900"/>
    </row>
    <row r="75" spans="1:57" s="23" customFormat="1" ht="12" customHeight="1" x14ac:dyDescent="0.2">
      <c r="A75" s="5"/>
      <c r="B75" s="2412"/>
      <c r="C75" s="3636"/>
      <c r="D75" s="3687"/>
      <c r="E75" s="3684"/>
      <c r="F75" s="3655"/>
      <c r="G75" s="3655"/>
      <c r="H75" s="3655"/>
      <c r="I75" s="3655"/>
      <c r="J75" s="3655"/>
      <c r="K75" s="3656"/>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753" t="str">
        <f>IF(E75=0,"",IF(VLOOKUP(E75,Tabla_AM_Armas,4,FALSE)="-","-","FALTAN REQUISITOS"))</f>
        <v/>
      </c>
      <c r="W75" s="3754"/>
      <c r="X75" s="3754"/>
      <c r="Y75" s="3754"/>
      <c r="Z75" s="3754"/>
      <c r="AA75" s="3755"/>
      <c r="AB75" s="3098"/>
      <c r="AC75" s="1708"/>
      <c r="AD75" s="3099"/>
      <c r="AE75" s="3022"/>
      <c r="AF75" s="3084"/>
      <c r="AG75" s="3022"/>
      <c r="AH75" s="3085"/>
      <c r="AI75" s="3022"/>
      <c r="AJ75" s="3022"/>
      <c r="AK75" s="3022"/>
      <c r="AL75" s="1900"/>
      <c r="AM75" s="1900"/>
      <c r="AN75" s="1900"/>
      <c r="AO75" s="2715"/>
      <c r="AP75" s="1900"/>
      <c r="AQ75" s="1900"/>
      <c r="AR75" s="1900"/>
      <c r="AS75" s="1900"/>
      <c r="AT75" s="1900"/>
      <c r="AU75" s="1900"/>
      <c r="AV75" s="1900"/>
      <c r="AW75" s="1900"/>
      <c r="AX75" s="1900"/>
      <c r="AY75" s="1900"/>
      <c r="AZ75" s="1900"/>
      <c r="BA75" s="1900"/>
      <c r="BB75" s="1900"/>
      <c r="BC75" s="1900"/>
      <c r="BD75" s="1900"/>
      <c r="BE75" s="1900"/>
    </row>
    <row r="76" spans="1:57" s="23" customFormat="1" ht="12" customHeight="1" x14ac:dyDescent="0.2">
      <c r="A76" s="5"/>
      <c r="B76" s="2412"/>
      <c r="C76" s="3636"/>
      <c r="D76" s="3687"/>
      <c r="E76" s="3685"/>
      <c r="F76" s="3652"/>
      <c r="G76" s="3652"/>
      <c r="H76" s="3652"/>
      <c r="I76" s="3652"/>
      <c r="J76" s="3652"/>
      <c r="K76" s="3653"/>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512" t="str">
        <f>IF(E76=0,"",IF(VLOOKUP(E76,Tabla_AM_Armas,4,FALSE)="-","-","FALTAN REQUISITOS"))</f>
        <v/>
      </c>
      <c r="W76" s="3513"/>
      <c r="X76" s="3513"/>
      <c r="Y76" s="3513"/>
      <c r="Z76" s="3513"/>
      <c r="AA76" s="3756"/>
      <c r="AB76" s="3098"/>
      <c r="AC76" s="1708"/>
      <c r="AD76" s="3099"/>
      <c r="AE76" s="3022"/>
      <c r="AF76" s="3084"/>
      <c r="AG76" s="3022"/>
      <c r="AH76" s="3085"/>
      <c r="AI76" s="3022"/>
      <c r="AJ76" s="3022"/>
      <c r="AK76" s="3022"/>
      <c r="AL76" s="1900"/>
      <c r="AM76" s="1900"/>
      <c r="AN76" s="1900"/>
      <c r="AO76" s="2715"/>
      <c r="AP76" s="1900"/>
      <c r="AQ76" s="1900"/>
      <c r="AR76" s="1900"/>
      <c r="AS76" s="1900"/>
      <c r="AT76" s="1900"/>
      <c r="AU76" s="1900"/>
      <c r="AV76" s="1900"/>
      <c r="AW76" s="1900"/>
      <c r="AX76" s="1900"/>
      <c r="AY76" s="1900"/>
      <c r="AZ76" s="1900"/>
      <c r="BA76" s="1900"/>
      <c r="BB76" s="1900"/>
      <c r="BC76" s="1900"/>
      <c r="BD76" s="1900"/>
      <c r="BE76" s="1900"/>
    </row>
    <row r="77" spans="1:57" s="23" customFormat="1" ht="12" customHeight="1" x14ac:dyDescent="0.2">
      <c r="A77" s="5"/>
      <c r="B77" s="2412"/>
      <c r="C77" s="3636"/>
      <c r="D77" s="3688"/>
      <c r="E77" s="3747"/>
      <c r="F77" s="3748"/>
      <c r="G77" s="3748"/>
      <c r="H77" s="3748"/>
      <c r="I77" s="3748"/>
      <c r="J77" s="3748"/>
      <c r="K77" s="3749"/>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757" t="str">
        <f>IF(E77=0,"",IF(VLOOKUP(E77,Tabla_AM_Armas,4,FALSE)="-","-","FALTAN REQUISITOS"))</f>
        <v/>
      </c>
      <c r="W77" s="3758"/>
      <c r="X77" s="3758"/>
      <c r="Y77" s="3758"/>
      <c r="Z77" s="3758"/>
      <c r="AA77" s="3759"/>
      <c r="AB77" s="3098"/>
      <c r="AC77" s="1708"/>
      <c r="AD77" s="3099"/>
      <c r="AE77" s="3022"/>
      <c r="AF77" s="3084"/>
      <c r="AG77" s="3022"/>
      <c r="AH77" s="3085"/>
      <c r="AI77" s="3022"/>
      <c r="AJ77" s="3022"/>
      <c r="AK77" s="3022"/>
      <c r="AL77" s="1900"/>
      <c r="AM77" s="1900"/>
      <c r="AN77" s="1900"/>
      <c r="AO77" s="2715"/>
      <c r="AP77" s="1900"/>
      <c r="AQ77" s="1900"/>
      <c r="AR77" s="1900"/>
      <c r="AS77" s="1900"/>
      <c r="AT77" s="1900"/>
      <c r="AU77" s="1900"/>
      <c r="AV77" s="1900"/>
      <c r="AW77" s="1900"/>
      <c r="AX77" s="1900"/>
      <c r="AY77" s="1900"/>
      <c r="AZ77" s="1900"/>
      <c r="BA77" s="1900"/>
      <c r="BB77" s="1900"/>
      <c r="BC77" s="1900"/>
      <c r="BD77" s="1900"/>
      <c r="BE77" s="1900"/>
    </row>
    <row r="78" spans="1:57" s="23" customFormat="1" ht="12" customHeight="1" x14ac:dyDescent="0.2">
      <c r="A78" s="5"/>
      <c r="B78" s="2412"/>
      <c r="C78" s="3636"/>
      <c r="D78" s="3660" t="s">
        <v>1816</v>
      </c>
      <c r="E78" s="3627"/>
      <c r="F78" s="3628"/>
      <c r="G78" s="3628"/>
      <c r="H78" s="3628"/>
      <c r="I78" s="3628"/>
      <c r="J78" s="3628"/>
      <c r="K78" s="362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56"/>
      <c r="V78" s="3630" t="str">
        <f>IF(E78=0,"",IF(VLOOKUP(E78,Tabla_ArsMagnus,5,FALSE)="-","Ver Descripción","FALTAN REQUISITOS"))</f>
        <v/>
      </c>
      <c r="W78" s="3631"/>
      <c r="X78" s="3631"/>
      <c r="Y78" s="3631"/>
      <c r="Z78" s="159" t="s">
        <v>1817</v>
      </c>
      <c r="AA78" s="1628">
        <f>IF(E78=0,0,VLOOKUP(E78,Tabla_ArsMagnus,3,FALSE))</f>
        <v>0</v>
      </c>
      <c r="AB78" s="3098"/>
      <c r="AC78" s="1708"/>
      <c r="AD78" s="2715"/>
      <c r="AE78" s="3022"/>
      <c r="AF78" s="3084"/>
      <c r="AG78" s="3022"/>
      <c r="AH78" s="3085"/>
      <c r="AI78" s="3022"/>
      <c r="AJ78" s="3022"/>
      <c r="AK78" s="3022"/>
      <c r="AL78" s="1900"/>
      <c r="AM78" s="1900"/>
      <c r="AN78" s="1900"/>
      <c r="AO78" s="2715"/>
      <c r="AP78" s="1900"/>
      <c r="AQ78" s="1900"/>
      <c r="AR78" s="1900"/>
      <c r="AS78" s="1900"/>
      <c r="AT78" s="1900"/>
      <c r="AU78" s="1900"/>
      <c r="AV78" s="1900"/>
      <c r="AW78" s="1900"/>
      <c r="AX78" s="1900"/>
      <c r="AY78" s="1900"/>
      <c r="AZ78" s="1900"/>
      <c r="BA78" s="1900"/>
      <c r="BB78" s="1900"/>
      <c r="BC78" s="1900"/>
      <c r="BD78" s="1900"/>
      <c r="BE78" s="1900"/>
    </row>
    <row r="79" spans="1:57" s="23" customFormat="1" ht="12" customHeight="1" x14ac:dyDescent="0.2">
      <c r="A79" s="5"/>
      <c r="B79" s="2412"/>
      <c r="C79" s="3636"/>
      <c r="D79" s="3661"/>
      <c r="E79" s="3766"/>
      <c r="F79" s="3767"/>
      <c r="G79" s="3767"/>
      <c r="H79" s="3767"/>
      <c r="I79" s="3767"/>
      <c r="J79" s="3767"/>
      <c r="K79" s="376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632" t="str">
        <f>IF(E79=0,"",IF(VLOOKUP(E79,Tabla_ArsMagnus,5,FALSE)="-","Ver Descripción","FALTAN REQUISITOS"))</f>
        <v/>
      </c>
      <c r="W79" s="3633"/>
      <c r="X79" s="3633"/>
      <c r="Y79" s="3633"/>
      <c r="Z79" s="158" t="s">
        <v>1817</v>
      </c>
      <c r="AA79" s="1629">
        <f>IF(E79=0,0,VLOOKUP(E79,Tabla_ArsMagnus,3,FALSE))</f>
        <v>0</v>
      </c>
      <c r="AB79" s="3098"/>
      <c r="AC79" s="1708"/>
      <c r="AD79" s="2715"/>
      <c r="AE79" s="3022"/>
      <c r="AF79" s="3084"/>
      <c r="AG79" s="3022"/>
      <c r="AH79" s="3085"/>
      <c r="AI79" s="3022"/>
      <c r="AJ79" s="3022"/>
      <c r="AK79" s="3022"/>
      <c r="AL79" s="1900"/>
      <c r="AM79" s="1900"/>
      <c r="AN79" s="1900"/>
      <c r="AO79" s="1900"/>
      <c r="AP79" s="1900"/>
      <c r="AQ79" s="1900"/>
      <c r="AR79" s="1900"/>
      <c r="AS79" s="1900"/>
      <c r="AT79" s="1900"/>
      <c r="AU79" s="1900"/>
      <c r="AV79" s="1900"/>
      <c r="AW79" s="1900"/>
      <c r="AX79" s="1900"/>
      <c r="AY79" s="1900"/>
      <c r="AZ79" s="1900"/>
      <c r="BA79" s="1900"/>
      <c r="BB79" s="1900"/>
      <c r="BC79" s="1900"/>
      <c r="BD79" s="1900"/>
      <c r="BE79" s="1900"/>
    </row>
    <row r="80" spans="1:57" s="23" customFormat="1" ht="12" customHeight="1" x14ac:dyDescent="0.2">
      <c r="A80" s="5"/>
      <c r="B80" s="2412"/>
      <c r="C80" s="3636"/>
      <c r="D80" s="3661"/>
      <c r="E80" s="3627"/>
      <c r="F80" s="3628"/>
      <c r="G80" s="3628"/>
      <c r="H80" s="3628"/>
      <c r="I80" s="3628"/>
      <c r="J80" s="3628"/>
      <c r="K80" s="362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630" t="str">
        <f>IF(E80=0,"",IF(VLOOKUP(E80,Tabla_ArsMagnus,5,FALSE)="-","Ver Descripción","FALTAN REQUISITOS"))</f>
        <v/>
      </c>
      <c r="W80" s="3631"/>
      <c r="X80" s="3631"/>
      <c r="Y80" s="3631"/>
      <c r="Z80" s="159" t="s">
        <v>1817</v>
      </c>
      <c r="AA80" s="1628">
        <f>IF(E80=0,0,VLOOKUP(E80,Tabla_ArsMagnus,3,FALSE))</f>
        <v>0</v>
      </c>
      <c r="AB80" s="3098"/>
      <c r="AC80" s="1708"/>
      <c r="AD80" s="2715"/>
      <c r="AE80" s="3022"/>
      <c r="AF80" s="3084"/>
      <c r="AG80" s="3022"/>
      <c r="AH80" s="3085"/>
      <c r="AI80" s="3022"/>
      <c r="AJ80" s="3022"/>
      <c r="AK80" s="3022"/>
      <c r="AL80" s="1900"/>
      <c r="AM80" s="1900"/>
      <c r="AN80" s="1900"/>
      <c r="AO80" s="1900"/>
      <c r="AP80" s="1900"/>
      <c r="AQ80" s="1900"/>
      <c r="AR80" s="1900"/>
      <c r="AS80" s="1900"/>
      <c r="AT80" s="1900"/>
      <c r="AU80" s="1900"/>
      <c r="AV80" s="1900"/>
      <c r="AW80" s="1900"/>
      <c r="AX80" s="1900"/>
      <c r="AY80" s="1900"/>
      <c r="AZ80" s="1900"/>
      <c r="BA80" s="1900"/>
      <c r="BB80" s="1900"/>
      <c r="BC80" s="1900"/>
      <c r="BD80" s="1900"/>
      <c r="BE80" s="1900"/>
    </row>
    <row r="81" spans="1:57" s="23" customFormat="1" ht="12" customHeight="1" x14ac:dyDescent="0.2">
      <c r="A81" s="5"/>
      <c r="B81" s="2412"/>
      <c r="C81" s="3636"/>
      <c r="D81" s="3661"/>
      <c r="E81" s="3766"/>
      <c r="F81" s="3767"/>
      <c r="G81" s="3767"/>
      <c r="H81" s="3767"/>
      <c r="I81" s="3767"/>
      <c r="J81" s="3767"/>
      <c r="K81" s="376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632" t="str">
        <f>IF(E81=0,"",IF(VLOOKUP(E81,Tabla_ArsMagnus,5,FALSE)="-","Ver Descripción","FALTAN REQUISITOS"))</f>
        <v/>
      </c>
      <c r="W81" s="3633"/>
      <c r="X81" s="3633"/>
      <c r="Y81" s="3633"/>
      <c r="Z81" s="158" t="s">
        <v>1817</v>
      </c>
      <c r="AA81" s="1629">
        <f>IF(E81=0,0,VLOOKUP(E81,Tabla_ArsMagnus,3,FALSE))</f>
        <v>0</v>
      </c>
      <c r="AB81" s="3098"/>
      <c r="AC81" s="1708"/>
      <c r="AD81" s="2715"/>
      <c r="AE81" s="3022"/>
      <c r="AF81" s="3084"/>
      <c r="AG81" s="3022"/>
      <c r="AH81" s="3085"/>
      <c r="AI81" s="3022"/>
      <c r="AJ81" s="3022"/>
      <c r="AK81" s="3022"/>
      <c r="AL81" s="1900"/>
      <c r="AM81" s="1900"/>
      <c r="AN81" s="1900"/>
      <c r="AO81" s="1900"/>
      <c r="AP81" s="1900"/>
      <c r="AQ81" s="1900"/>
      <c r="AR81" s="1900"/>
      <c r="AS81" s="1900"/>
      <c r="AT81" s="1900"/>
      <c r="AU81" s="1900"/>
      <c r="AV81" s="1900"/>
      <c r="AW81" s="1900"/>
      <c r="AX81" s="1900"/>
      <c r="AY81" s="1900"/>
      <c r="AZ81" s="1900"/>
      <c r="BA81" s="1900"/>
      <c r="BB81" s="1900"/>
      <c r="BC81" s="1900"/>
      <c r="BD81" s="1900"/>
      <c r="BE81" s="1900"/>
    </row>
    <row r="82" spans="1:57" s="23" customFormat="1" ht="12" customHeight="1" thickBot="1" x14ac:dyDescent="0.25">
      <c r="A82" s="5"/>
      <c r="B82" s="2412"/>
      <c r="C82" s="3636"/>
      <c r="D82" s="3661"/>
      <c r="E82" s="3627"/>
      <c r="F82" s="3628"/>
      <c r="G82" s="3628"/>
      <c r="H82" s="3628"/>
      <c r="I82" s="3628"/>
      <c r="J82" s="3628"/>
      <c r="K82" s="362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630" t="str">
        <f>IF(E82=0,"",IF(VLOOKUP(E82,Tabla_ArsMagnus,5,FALSE)="-","Ver Descripción","FALTAN REQUISITOS"))</f>
        <v/>
      </c>
      <c r="W82" s="3631"/>
      <c r="X82" s="3631"/>
      <c r="Y82" s="3631"/>
      <c r="Z82" s="159" t="s">
        <v>1817</v>
      </c>
      <c r="AA82" s="1628">
        <f>IF(E82=0,0,VLOOKUP(E82,Tabla_ArsMagnus,3,FALSE))</f>
        <v>0</v>
      </c>
      <c r="AB82" s="3098"/>
      <c r="AC82" s="1708"/>
      <c r="AD82" s="2715"/>
      <c r="AE82" s="3022"/>
      <c r="AF82" s="3084"/>
      <c r="AG82" s="3022"/>
      <c r="AH82" s="3085"/>
      <c r="AI82" s="3022"/>
      <c r="AJ82" s="3022"/>
      <c r="AK82" s="3022"/>
      <c r="AL82" s="1900"/>
      <c r="AM82" s="1900"/>
      <c r="AN82" s="1900"/>
      <c r="AO82" s="1900"/>
      <c r="AP82" s="1900"/>
      <c r="AQ82" s="1900"/>
      <c r="AR82" s="1900"/>
      <c r="AS82" s="1900"/>
      <c r="AT82" s="1900"/>
      <c r="AU82" s="1900"/>
      <c r="AV82" s="1900"/>
      <c r="AW82" s="1900"/>
      <c r="AX82" s="1900"/>
      <c r="AY82" s="1900"/>
      <c r="AZ82" s="1900"/>
      <c r="BA82" s="1900"/>
      <c r="BB82" s="1900"/>
      <c r="BC82" s="1900"/>
      <c r="BD82" s="1900"/>
      <c r="BE82" s="1900"/>
    </row>
    <row r="83" spans="1:57" s="23" customFormat="1" ht="12" customHeight="1" x14ac:dyDescent="0.2">
      <c r="A83" s="5"/>
      <c r="B83" s="2412"/>
      <c r="C83" s="3636"/>
      <c r="D83" s="3760" t="s">
        <v>1818</v>
      </c>
      <c r="E83" s="3761"/>
      <c r="F83" s="3761"/>
      <c r="G83" s="3761"/>
      <c r="H83" s="3761"/>
      <c r="I83" s="3761"/>
      <c r="J83" s="3761"/>
      <c r="K83" s="3762"/>
      <c r="L83" s="3646">
        <f>T$5*IF(Categoría_1=0,0.5,VLOOKUP(Categoría_1,Tabla_Categorías,6,FALSE))</f>
        <v>200</v>
      </c>
      <c r="M83" s="3648">
        <f>SUM(M27:M82)+SUM(M22:M25)</f>
        <v>0</v>
      </c>
      <c r="N83" s="3646">
        <f>SUM(T$5:T$7)*IF(Categoría_2=0,0,VLOOKUP(Categoría_2,Tabla_Categorías,6,FALSE))</f>
        <v>0</v>
      </c>
      <c r="O83" s="3648">
        <f>(SUM(O27:O82)+SUM(O22:O25)+M83)*IF(Categoría_2=0,0,1)</f>
        <v>0</v>
      </c>
      <c r="P83" s="3646">
        <f>SUM(T$5:T$9)*IF(Categoría_3=0,0,VLOOKUP(Categoría_3,Tabla_Categorías,6,FALSE))</f>
        <v>0</v>
      </c>
      <c r="Q83" s="3645">
        <f>(SUM(Q27:Q82)+SUM(Q22:Q25)+O83)*IF(Categoría_3=0,0,1)</f>
        <v>0</v>
      </c>
      <c r="R83" s="3646">
        <f>SUM(T$5:T$11)*IF(Categoría_4=0,0,VLOOKUP(Categoría_4,Tabla_Categorías,6,FALSE))</f>
        <v>0</v>
      </c>
      <c r="S83" s="3648">
        <f>(SUM(S27:S82)+SUM(S22:S25)+Q83)*IF(Categoría_4=0,0,1)</f>
        <v>0</v>
      </c>
      <c r="T83" s="3646">
        <f>SUM(T$5:T$13)*IF(Categoría_5=0,0,VLOOKUP(Categoría_5,Tabla_Categorías,6,FALSE))</f>
        <v>0</v>
      </c>
      <c r="U83" s="3648">
        <f>(SUM(U27:U82)+SUM(U22:U25)+S83)*IF(Categoría_5=0,0,1)</f>
        <v>0</v>
      </c>
      <c r="V83" s="3592"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3"/>
      <c r="X83" s="3593"/>
      <c r="Y83" s="3593"/>
      <c r="Z83" s="3593"/>
      <c r="AA83" s="3594"/>
      <c r="AB83" s="3098"/>
      <c r="AC83" s="1708"/>
      <c r="AD83" s="2715"/>
      <c r="AE83" s="3022"/>
      <c r="AF83" s="3084"/>
      <c r="AG83" s="3022"/>
      <c r="AH83" s="3085"/>
      <c r="AI83" s="3022"/>
      <c r="AJ83" s="3022"/>
      <c r="AK83" s="3022"/>
      <c r="AL83" s="1900"/>
      <c r="AM83" s="1900"/>
      <c r="AN83" s="1900"/>
      <c r="AO83" s="1900"/>
      <c r="AP83" s="1900"/>
      <c r="AQ83" s="1900"/>
      <c r="AR83" s="1900"/>
      <c r="AS83" s="1900"/>
      <c r="AT83" s="1900"/>
      <c r="AU83" s="1900"/>
      <c r="AV83" s="1900"/>
      <c r="AW83" s="1900"/>
      <c r="AX83" s="1900"/>
      <c r="AY83" s="1900"/>
      <c r="AZ83" s="1900"/>
      <c r="BA83" s="1900"/>
      <c r="BB83" s="1900"/>
      <c r="BC83" s="1900"/>
      <c r="BD83" s="1900"/>
      <c r="BE83" s="1900"/>
    </row>
    <row r="84" spans="1:57" s="23" customFormat="1" ht="12" customHeight="1" thickBot="1" x14ac:dyDescent="0.25">
      <c r="A84" s="5"/>
      <c r="B84" s="2412"/>
      <c r="C84" s="3637"/>
      <c r="D84" s="3763"/>
      <c r="E84" s="3764"/>
      <c r="F84" s="3764"/>
      <c r="G84" s="3764"/>
      <c r="H84" s="3764"/>
      <c r="I84" s="3764"/>
      <c r="J84" s="3764"/>
      <c r="K84" s="3765"/>
      <c r="L84" s="3647"/>
      <c r="M84" s="3649"/>
      <c r="N84" s="3647"/>
      <c r="O84" s="3649"/>
      <c r="P84" s="3647"/>
      <c r="Q84" s="3547"/>
      <c r="R84" s="3647"/>
      <c r="S84" s="3649"/>
      <c r="T84" s="3647"/>
      <c r="U84" s="3649"/>
      <c r="V84" s="3595"/>
      <c r="W84" s="3596"/>
      <c r="X84" s="3596"/>
      <c r="Y84" s="3596"/>
      <c r="Z84" s="3596"/>
      <c r="AA84" s="3597"/>
      <c r="AB84" s="3098"/>
      <c r="AC84" s="1708"/>
      <c r="AD84" s="2715"/>
      <c r="AE84" s="3022"/>
      <c r="AF84" s="3084"/>
      <c r="AG84" s="3022"/>
      <c r="AH84" s="3085"/>
      <c r="AI84" s="3022"/>
      <c r="AJ84" s="3022"/>
      <c r="AK84" s="3022"/>
      <c r="AL84" s="1900"/>
      <c r="AM84" s="1900"/>
      <c r="AN84" s="1900"/>
      <c r="AO84" s="1900"/>
      <c r="AP84" s="1900"/>
      <c r="AQ84" s="1900"/>
      <c r="AR84" s="1900"/>
      <c r="AS84" s="1900"/>
      <c r="AT84" s="1900"/>
      <c r="AU84" s="1900"/>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3098"/>
      <c r="AC85" s="1708"/>
      <c r="AD85" s="2715"/>
      <c r="AE85" s="3022"/>
      <c r="AF85" s="3084"/>
      <c r="AG85" s="3022"/>
      <c r="AH85" s="3085"/>
      <c r="AI85" s="3022"/>
      <c r="AJ85" s="3022"/>
      <c r="AK85" s="3022"/>
      <c r="AL85" s="1900"/>
      <c r="AM85" s="1900"/>
      <c r="AN85" s="1900"/>
      <c r="AO85" s="1900"/>
      <c r="AP85" s="1900"/>
      <c r="AQ85" s="1900"/>
      <c r="AR85" s="1900"/>
      <c r="AS85" s="1900"/>
      <c r="AT85" s="1900"/>
      <c r="AU85" s="1900"/>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3098"/>
      <c r="AC86" s="1708"/>
      <c r="AD86" s="2715"/>
      <c r="AE86" s="3022"/>
      <c r="AF86" s="3084"/>
      <c r="AG86" s="3022"/>
      <c r="AH86" s="3085"/>
      <c r="AI86" s="3022"/>
      <c r="AJ86" s="3022"/>
      <c r="AK86" s="3022"/>
      <c r="AL86" s="1900"/>
      <c r="AM86" s="1900"/>
      <c r="AN86" s="1900"/>
      <c r="AO86" s="1900"/>
      <c r="AP86" s="1900"/>
      <c r="AQ86" s="1900"/>
      <c r="AR86" s="1900"/>
      <c r="AS86" s="1900"/>
      <c r="AT86" s="1900"/>
      <c r="AU86" s="1900"/>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86" t="str">
        <f>IF(Categoría_1=0,"",Categoría_1)</f>
        <v/>
      </c>
      <c r="M87" s="3587"/>
      <c r="N87" s="3590" t="str">
        <f>IF(Categoría_2=0,"",Categoría_2)</f>
        <v/>
      </c>
      <c r="O87" s="3587"/>
      <c r="P87" s="3590" t="str">
        <f>IF(Categoría_3=0,"",Categoría_3)</f>
        <v/>
      </c>
      <c r="Q87" s="3587"/>
      <c r="R87" s="3590" t="str">
        <f>IF(Categoría_4=0,"",Categoría_4)</f>
        <v/>
      </c>
      <c r="S87" s="3587"/>
      <c r="T87" s="3590" t="str">
        <f>IF(Categoría_5=0,"",Categoría_5)</f>
        <v/>
      </c>
      <c r="U87" s="3598"/>
      <c r="V87" s="162"/>
      <c r="W87" s="162"/>
      <c r="X87" s="162"/>
      <c r="Y87" s="162"/>
      <c r="Z87" s="162"/>
      <c r="AA87" s="162"/>
      <c r="AB87" s="3098"/>
      <c r="AC87" s="1708"/>
      <c r="AD87" s="2715"/>
      <c r="AE87" s="3022"/>
      <c r="AF87" s="3084"/>
      <c r="AG87" s="3022"/>
      <c r="AH87" s="3085"/>
      <c r="AI87" s="3022"/>
      <c r="AJ87" s="3022"/>
      <c r="AK87" s="3022"/>
      <c r="AL87" s="1900"/>
      <c r="AM87" s="1900"/>
      <c r="AN87" s="1900"/>
      <c r="AO87" s="2715"/>
      <c r="AP87" s="1900"/>
      <c r="AQ87" s="1900"/>
      <c r="AR87" s="1900"/>
      <c r="AS87" s="1900"/>
      <c r="AT87" s="1900"/>
      <c r="AU87" s="1900"/>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588"/>
      <c r="M88" s="3589"/>
      <c r="N88" s="3591"/>
      <c r="O88" s="3589"/>
      <c r="P88" s="3591"/>
      <c r="Q88" s="3589"/>
      <c r="R88" s="3591"/>
      <c r="S88" s="3589"/>
      <c r="T88" s="3591"/>
      <c r="U88" s="3599"/>
      <c r="V88" s="162"/>
      <c r="W88" s="162"/>
      <c r="X88" s="162"/>
      <c r="Y88" s="162"/>
      <c r="Z88" s="162"/>
      <c r="AA88" s="162"/>
      <c r="AB88" s="3098"/>
      <c r="AC88" s="1708"/>
      <c r="AD88" s="2715"/>
      <c r="AE88" s="3022"/>
      <c r="AF88" s="3084"/>
      <c r="AG88" s="3022"/>
      <c r="AH88" s="3085"/>
      <c r="AI88" s="3022"/>
      <c r="AJ88" s="3022"/>
      <c r="AK88" s="3022"/>
      <c r="AL88" s="1900"/>
      <c r="AM88" s="1900"/>
      <c r="AN88" s="1900"/>
      <c r="AO88" s="2715"/>
      <c r="AP88" s="1900"/>
      <c r="AQ88" s="1900"/>
      <c r="AR88" s="1900"/>
      <c r="AS88" s="1900"/>
      <c r="AT88" s="1900"/>
      <c r="AU88" s="1900"/>
      <c r="AV88" s="1900"/>
      <c r="AW88" s="1900"/>
      <c r="AX88" s="1900"/>
      <c r="AY88" s="1900"/>
      <c r="AZ88" s="1900"/>
      <c r="BA88" s="1900"/>
      <c r="BB88" s="1900"/>
      <c r="BC88" s="1900"/>
      <c r="BD88" s="1900"/>
      <c r="BE88" s="1900"/>
    </row>
    <row r="89" spans="1:57" s="23" customFormat="1" ht="12" customHeight="1" thickBot="1" x14ac:dyDescent="0.25">
      <c r="A89" s="5"/>
      <c r="B89" s="2412"/>
      <c r="C89" s="3634" t="s">
        <v>1819</v>
      </c>
      <c r="D89" s="1594" t="s">
        <v>1708</v>
      </c>
      <c r="E89" s="3657" t="s">
        <v>1684</v>
      </c>
      <c r="F89" s="3658"/>
      <c r="G89" s="3658"/>
      <c r="H89" s="3658"/>
      <c r="I89" s="3658"/>
      <c r="J89" s="3658"/>
      <c r="K89" s="3659"/>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658" t="s">
        <v>1800</v>
      </c>
      <c r="Y89" s="3658"/>
      <c r="Z89" s="1595" t="s">
        <v>1728</v>
      </c>
      <c r="AA89" s="1597" t="s">
        <v>1658</v>
      </c>
      <c r="AB89" s="3098"/>
      <c r="AC89" s="1708"/>
      <c r="AD89" s="2715"/>
      <c r="AE89" s="2715"/>
      <c r="AF89" s="3084"/>
      <c r="AG89" s="3022"/>
      <c r="AH89" s="3085"/>
      <c r="AI89" s="3022"/>
      <c r="AJ89" s="3022"/>
      <c r="AK89" s="3022"/>
      <c r="AL89" s="1900"/>
      <c r="AM89" s="1900"/>
      <c r="AN89" s="1900"/>
      <c r="AO89" s="2715"/>
      <c r="AP89" s="1900"/>
      <c r="AQ89" s="1900"/>
      <c r="AR89" s="1900"/>
      <c r="AS89" s="1900"/>
      <c r="AT89" s="1900"/>
      <c r="AU89" s="1900"/>
      <c r="AV89" s="1900"/>
      <c r="AW89" s="1900"/>
      <c r="AX89" s="1900"/>
      <c r="AY89" s="1900"/>
      <c r="AZ89" s="1900"/>
      <c r="BA89" s="1900"/>
      <c r="BB89" s="1900"/>
      <c r="BC89" s="1900"/>
      <c r="BD89" s="1900"/>
      <c r="BE89" s="1900"/>
    </row>
    <row r="90" spans="1:57" s="23" customFormat="1" ht="12" customHeight="1" x14ac:dyDescent="0.2">
      <c r="A90" s="5"/>
      <c r="B90" s="2412"/>
      <c r="C90" s="3635"/>
      <c r="D90" s="3638" t="s">
        <v>1674</v>
      </c>
      <c r="E90" s="3617" t="s">
        <v>1820</v>
      </c>
      <c r="F90" s="3296"/>
      <c r="G90" s="3296"/>
      <c r="H90" s="3296"/>
      <c r="I90" s="3296"/>
      <c r="J90" s="3296"/>
      <c r="K90" s="3618"/>
      <c r="L90" s="127">
        <f>IF(Categoría_1=0,0,VLOOKUP(Categoría_1,Tabla_Categorías,MATCH("Coste"&amp;$E90,Name_Tabla_Cat,FALSE),FALSE))</f>
        <v>0</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666">
        <f>HLOOKUP($E90,Bonos_Cat_Base,2,FALSE)</f>
        <v>0</v>
      </c>
      <c r="Y90" s="3666">
        <f>HLOOKUP($E90,Bonos_Cat_Base,2,FALSE)</f>
        <v>0</v>
      </c>
      <c r="Z90" s="2873"/>
      <c r="AA90" s="131">
        <f>Z90+X90+V90+W90</f>
        <v>0</v>
      </c>
      <c r="AB90" s="3098"/>
      <c r="AC90" s="1708"/>
      <c r="AD90" s="2715"/>
      <c r="AE90" s="3022"/>
      <c r="AF90" s="3084"/>
      <c r="AG90" s="3022"/>
      <c r="AH90" s="3085"/>
      <c r="AI90" s="3022"/>
      <c r="AJ90" s="3022"/>
      <c r="AK90" s="3022"/>
      <c r="AL90" s="1900"/>
      <c r="AM90" s="1900"/>
      <c r="AN90" s="1900"/>
      <c r="AO90" s="2715"/>
      <c r="AP90" s="1900"/>
      <c r="AQ90" s="1900"/>
      <c r="AR90" s="1900"/>
      <c r="AS90" s="1900"/>
      <c r="AT90" s="1900"/>
      <c r="AU90" s="1900"/>
      <c r="AV90" s="1900"/>
      <c r="AW90" s="1900"/>
      <c r="AX90" s="1900"/>
      <c r="AY90" s="1900"/>
      <c r="AZ90" s="1900"/>
      <c r="BA90" s="1900"/>
      <c r="BB90" s="1900"/>
      <c r="BC90" s="1900"/>
      <c r="BD90" s="1900"/>
      <c r="BE90" s="1900"/>
    </row>
    <row r="91" spans="1:57" s="23" customFormat="1" ht="12" customHeight="1" x14ac:dyDescent="0.2">
      <c r="A91" s="5"/>
      <c r="B91" s="2412"/>
      <c r="C91" s="3635"/>
      <c r="D91" s="3638"/>
      <c r="E91" s="3619" t="s">
        <v>1821</v>
      </c>
      <c r="F91" s="3620"/>
      <c r="G91" s="3620"/>
      <c r="H91" s="3620"/>
      <c r="I91" s="3620"/>
      <c r="J91" s="3620"/>
      <c r="K91" s="3621"/>
      <c r="L91" s="132">
        <f>IF(Categoría_1=0,0,VLOOKUP(Categoría_1,Tabla_Categorías,MATCH("Coste"&amp;$E91,Name_Tabla_Cat,FALSE),FALSE))</f>
        <v>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507" t="s">
        <v>1766</v>
      </c>
      <c r="Y91" s="3507"/>
      <c r="Z91" s="2871"/>
      <c r="AA91" s="134">
        <f>Z91+W91+V91+IF(Bono_ATA&lt;0,TRUNC((Bono_ATA-Combate!U16)/2,0),0)</f>
        <v>0</v>
      </c>
      <c r="AB91" s="3098"/>
      <c r="AC91" s="1708"/>
      <c r="AD91" s="2715"/>
      <c r="AE91" s="3022"/>
      <c r="AF91" s="3084"/>
      <c r="AG91" s="3022"/>
      <c r="AH91" s="3085"/>
      <c r="AI91" s="3022"/>
      <c r="AJ91" s="3022"/>
      <c r="AK91" s="3022"/>
      <c r="AL91" s="1900"/>
      <c r="AM91" s="1900"/>
      <c r="AN91" s="1900"/>
      <c r="AO91" s="2715"/>
      <c r="AP91" s="1900"/>
      <c r="AQ91" s="1900"/>
      <c r="AR91" s="1900"/>
      <c r="AS91" s="1900"/>
      <c r="AT91" s="1900"/>
      <c r="AU91" s="1900"/>
      <c r="AV91" s="1900"/>
      <c r="AW91" s="1900"/>
      <c r="AX91" s="1900"/>
      <c r="AY91" s="1900"/>
      <c r="AZ91" s="1900"/>
      <c r="BA91" s="1900"/>
      <c r="BB91" s="1900"/>
      <c r="BC91" s="1900"/>
      <c r="BD91" s="1900"/>
      <c r="BE91" s="1900"/>
    </row>
    <row r="92" spans="1:57" s="23" customFormat="1" ht="12" customHeight="1" x14ac:dyDescent="0.2">
      <c r="A92" s="5"/>
      <c r="B92" s="2412"/>
      <c r="C92" s="3635"/>
      <c r="D92" s="3638"/>
      <c r="E92" s="3617" t="s">
        <v>1822</v>
      </c>
      <c r="F92" s="3296"/>
      <c r="G92" s="3296"/>
      <c r="H92" s="3296"/>
      <c r="I92" s="3296"/>
      <c r="J92" s="3296"/>
      <c r="K92" s="3618"/>
      <c r="L92" s="127">
        <f>L$91/2</f>
        <v>0</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666" t="s">
        <v>1766</v>
      </c>
      <c r="Y92" s="3666"/>
      <c r="Z92" s="2872"/>
      <c r="AA92" s="131">
        <f>W92+V92+Z92</f>
        <v>0</v>
      </c>
      <c r="AB92" s="3098"/>
      <c r="AC92" s="1708"/>
      <c r="AD92" s="2715"/>
      <c r="AE92" s="3022"/>
      <c r="AF92" s="3084"/>
      <c r="AG92" s="3022"/>
      <c r="AH92" s="3085"/>
      <c r="AI92" s="3022"/>
      <c r="AJ92" s="3022"/>
      <c r="AK92" s="3022"/>
      <c r="AL92" s="1900"/>
      <c r="AM92" s="1900"/>
      <c r="AN92" s="1900"/>
      <c r="AO92" s="2715"/>
      <c r="AP92" s="1900"/>
      <c r="AQ92" s="1900"/>
      <c r="AR92" s="1900"/>
      <c r="AS92" s="1900"/>
      <c r="AT92" s="1900"/>
      <c r="AU92" s="1900"/>
      <c r="AV92" s="1900"/>
      <c r="AW92" s="1900"/>
      <c r="AX92" s="1900"/>
      <c r="AY92" s="1900"/>
      <c r="AZ92" s="1900"/>
      <c r="BA92" s="1900"/>
      <c r="BB92" s="1900"/>
      <c r="BC92" s="1900"/>
      <c r="BD92" s="1900"/>
      <c r="BE92" s="1900"/>
    </row>
    <row r="93" spans="1:57" s="23" customFormat="1" ht="12" customHeight="1" x14ac:dyDescent="0.2">
      <c r="A93" s="5"/>
      <c r="B93" s="2412"/>
      <c r="C93" s="3635"/>
      <c r="D93" s="3638"/>
      <c r="E93" s="3619" t="s">
        <v>1823</v>
      </c>
      <c r="F93" s="3620"/>
      <c r="G93" s="3620"/>
      <c r="H93" s="3620"/>
      <c r="I93" s="3620"/>
      <c r="J93" s="3620"/>
      <c r="K93" s="3621"/>
      <c r="L93" s="132">
        <f>IF(Categoría_1=0,0,VLOOKUP(Categoría_1,Tabla_Categorías,MATCH("Coste"&amp;$E93,Name_Tabla_Cat,FALSE),FALSE))</f>
        <v>0</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0</v>
      </c>
      <c r="X93" s="3507" t="s">
        <v>1766</v>
      </c>
      <c r="Y93" s="3507"/>
      <c r="Z93" s="2871"/>
      <c r="AA93" s="134">
        <f>Z93+V93+W93+Bono_ATA-Combate!U16</f>
        <v>0</v>
      </c>
      <c r="AB93" s="3098"/>
      <c r="AC93" s="1708"/>
      <c r="AD93" s="2715"/>
      <c r="AE93" s="3022"/>
      <c r="AF93" s="3084"/>
      <c r="AG93" s="3022"/>
      <c r="AH93" s="3085"/>
      <c r="AI93" s="3022"/>
      <c r="AJ93" s="3022"/>
      <c r="AK93" s="3022"/>
      <c r="AL93" s="1900"/>
      <c r="AM93" s="1900"/>
      <c r="AN93" s="1900"/>
      <c r="AO93" s="2715"/>
      <c r="AP93" s="1900"/>
      <c r="AQ93" s="1900"/>
      <c r="AR93" s="1900"/>
      <c r="AS93" s="1900"/>
      <c r="AT93" s="1900"/>
      <c r="AU93" s="1900"/>
      <c r="AV93" s="1900"/>
      <c r="AW93" s="1900"/>
      <c r="AX93" s="1900"/>
      <c r="AY93" s="1900"/>
      <c r="AZ93" s="1900"/>
      <c r="BA93" s="1900"/>
      <c r="BB93" s="1900"/>
      <c r="BC93" s="1900"/>
      <c r="BD93" s="1900"/>
      <c r="BE93" s="1900"/>
    </row>
    <row r="94" spans="1:57" s="23" customFormat="1" ht="12" customHeight="1" x14ac:dyDescent="0.2">
      <c r="A94" s="5"/>
      <c r="B94" s="2412"/>
      <c r="C94" s="3635"/>
      <c r="D94" s="3639"/>
      <c r="E94" s="3617" t="s">
        <v>1824</v>
      </c>
      <c r="F94" s="3296"/>
      <c r="G94" s="3296"/>
      <c r="H94" s="3296"/>
      <c r="I94" s="3296"/>
      <c r="J94" s="3296"/>
      <c r="K94" s="3618"/>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666">
        <f>IF(Tablas!G442&gt;0,5*Nivel_Total,0)</f>
        <v>0</v>
      </c>
      <c r="Y94" s="3666"/>
      <c r="Z94" s="2873"/>
      <c r="AA94" s="165">
        <f>Z94+V94+W94+X94</f>
        <v>0</v>
      </c>
      <c r="AB94" s="3098"/>
      <c r="AC94" s="1708"/>
      <c r="AD94" s="2715"/>
      <c r="AE94" s="3022"/>
      <c r="AF94" s="3084"/>
      <c r="AG94" s="3022"/>
      <c r="AH94" s="3085"/>
      <c r="AI94" s="3022"/>
      <c r="AJ94" s="3022"/>
      <c r="AK94" s="3022"/>
      <c r="AL94" s="1900"/>
      <c r="AM94" s="1900"/>
      <c r="AN94" s="1900"/>
      <c r="AO94" s="2715"/>
      <c r="AP94" s="1900"/>
      <c r="AQ94" s="1900"/>
      <c r="AR94" s="1900"/>
      <c r="AS94" s="1900"/>
      <c r="AT94" s="1900"/>
      <c r="AU94" s="1900"/>
      <c r="AV94" s="1900"/>
      <c r="AW94" s="1900"/>
      <c r="AX94" s="1900"/>
      <c r="AY94" s="1900"/>
      <c r="AZ94" s="1900"/>
      <c r="BA94" s="1900"/>
      <c r="BB94" s="1900"/>
      <c r="BC94" s="1900"/>
      <c r="BD94" s="1900"/>
      <c r="BE94" s="1900"/>
    </row>
    <row r="95" spans="1:57" s="23" customFormat="1" ht="12" customHeight="1" x14ac:dyDescent="0.2">
      <c r="A95" s="5"/>
      <c r="B95" s="2412"/>
      <c r="C95" s="3635"/>
      <c r="D95" s="3640" t="s">
        <v>1825</v>
      </c>
      <c r="E95" s="3611" t="s">
        <v>1826</v>
      </c>
      <c r="F95" s="3612"/>
      <c r="G95" s="3612"/>
      <c r="H95" s="3612"/>
      <c r="I95" s="3612"/>
      <c r="J95" s="3612"/>
      <c r="K95" s="3622"/>
      <c r="L95" s="1630">
        <f>IF(Categoría_1=0,0,VLOOKUP(Categoría_1,Tabla_Categorías,MATCH("Coste"&amp;$E95,Name_Tabla_Cat,FALSE),FALSE))</f>
        <v>0</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801">
        <f t="shared" ref="X95:Y98" si="31">HLOOKUP($E95,Bonos_Cat_Base,2,FALSE)</f>
        <v>0</v>
      </c>
      <c r="Y95" s="3801">
        <f t="shared" si="31"/>
        <v>0</v>
      </c>
      <c r="Z95" s="2874"/>
      <c r="AA95" s="166">
        <f>Z95+X95+V95+W95+IF(Bono_ATA&lt;0,Bono_ATA,0)+IF(Raza="Devah",10,0)+IF(Nephilim="Nephilim Devah",10,0)</f>
        <v>0</v>
      </c>
      <c r="AB95" s="3098"/>
      <c r="AC95" s="1708"/>
      <c r="AD95" s="2715"/>
      <c r="AE95" s="3022"/>
      <c r="AF95" s="3084"/>
      <c r="AG95" s="3022"/>
      <c r="AH95" s="3085"/>
      <c r="AI95" s="3022"/>
      <c r="AJ95" s="3022"/>
      <c r="AK95" s="3022"/>
      <c r="AL95" s="1900"/>
      <c r="AM95" s="1900"/>
      <c r="AN95" s="1900"/>
      <c r="AO95" s="2715"/>
      <c r="AP95" s="1900"/>
      <c r="AQ95" s="1900"/>
      <c r="AR95" s="1900"/>
      <c r="AS95" s="1900"/>
      <c r="AT95" s="1900"/>
      <c r="AU95" s="1900"/>
      <c r="AV95" s="1900"/>
      <c r="AW95" s="1900"/>
      <c r="AX95" s="1900"/>
      <c r="AY95" s="1900"/>
      <c r="AZ95" s="1900"/>
      <c r="BA95" s="1900"/>
      <c r="BB95" s="1900"/>
      <c r="BC95" s="1900"/>
      <c r="BD95" s="1900"/>
      <c r="BE95" s="1900"/>
    </row>
    <row r="96" spans="1:57" s="23" customFormat="1" ht="12" customHeight="1" x14ac:dyDescent="0.2">
      <c r="A96" s="5"/>
      <c r="B96" s="2412"/>
      <c r="C96" s="3635"/>
      <c r="D96" s="3641"/>
      <c r="E96" s="3613" t="s">
        <v>8551</v>
      </c>
      <c r="F96" s="3614"/>
      <c r="G96" s="3614"/>
      <c r="H96" s="3614"/>
      <c r="I96" s="3614"/>
      <c r="J96" s="3614"/>
      <c r="K96" s="3623"/>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518">
        <f t="shared" si="31"/>
        <v>0</v>
      </c>
      <c r="Y96" s="3518">
        <f t="shared" si="31"/>
        <v>0</v>
      </c>
      <c r="Z96" s="2875"/>
      <c r="AA96" s="1552">
        <f>Z96+X96+V96+W96+IF(Bono_ATA&lt;0,Bono_ATA,0)+IF(Raza="Devah",10,0)+Tablas!$K$1743</f>
        <v>0</v>
      </c>
      <c r="AB96" s="3098"/>
      <c r="AC96" s="1708"/>
      <c r="AD96" s="2715"/>
      <c r="AE96" s="3022"/>
      <c r="AF96" s="3084"/>
      <c r="AG96" s="3022"/>
      <c r="AH96" s="3100"/>
      <c r="AI96" s="3022"/>
      <c r="AJ96" s="3022"/>
      <c r="AK96" s="3022"/>
      <c r="AL96" s="1900"/>
      <c r="AM96" s="1900"/>
      <c r="AN96" s="1900"/>
      <c r="AO96" s="2715"/>
      <c r="AP96" s="1900"/>
      <c r="AQ96" s="1900"/>
      <c r="AR96" s="1900"/>
      <c r="AS96" s="1900"/>
      <c r="AT96" s="1900"/>
      <c r="AU96" s="1900"/>
      <c r="AV96" s="1900"/>
      <c r="AW96" s="1900"/>
      <c r="AX96" s="1900"/>
      <c r="AY96" s="1900"/>
      <c r="AZ96" s="1900"/>
      <c r="BA96" s="1900"/>
      <c r="BB96" s="1900"/>
      <c r="BC96" s="1900"/>
      <c r="BD96" s="1900"/>
      <c r="BE96" s="1900"/>
    </row>
    <row r="97" spans="1:63" s="23" customFormat="1" ht="12" customHeight="1" x14ac:dyDescent="0.2">
      <c r="A97" s="5"/>
      <c r="B97" s="2412"/>
      <c r="C97" s="3635"/>
      <c r="D97" s="3641"/>
      <c r="E97" s="3615" t="s">
        <v>651</v>
      </c>
      <c r="F97" s="3616"/>
      <c r="G97" s="3616"/>
      <c r="H97" s="3616"/>
      <c r="I97" s="3616"/>
      <c r="J97" s="3616"/>
      <c r="K97" s="3624"/>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519">
        <f t="shared" si="31"/>
        <v>0</v>
      </c>
      <c r="Y97" s="3519">
        <f t="shared" si="31"/>
        <v>0</v>
      </c>
      <c r="Z97" s="2876"/>
      <c r="AA97" s="1555">
        <f>Z97+X97+V97+W97+IF(Bono_ATA&lt;0,Bono_ATA,0)+IF(Raza="Devah",10,0)</f>
        <v>0</v>
      </c>
      <c r="AB97" s="3098"/>
      <c r="AC97" s="1708"/>
      <c r="AD97" s="2715"/>
      <c r="AE97" s="3022"/>
      <c r="AF97" s="3084"/>
      <c r="AG97" s="3022"/>
      <c r="AH97" s="3085"/>
      <c r="AI97" s="3022"/>
      <c r="AJ97" s="3022"/>
      <c r="AK97" s="3022"/>
      <c r="AL97" s="1900"/>
      <c r="AM97" s="1900"/>
      <c r="AN97" s="1900"/>
      <c r="AO97" s="2715"/>
      <c r="AP97" s="1900"/>
      <c r="AQ97" s="1900"/>
      <c r="AR97" s="1900"/>
      <c r="AS97" s="1900"/>
      <c r="AT97" s="1900"/>
      <c r="AU97" s="1900"/>
      <c r="AV97" s="1900"/>
      <c r="AW97" s="1900"/>
      <c r="AX97" s="1900"/>
      <c r="AY97" s="1900"/>
      <c r="AZ97" s="1900"/>
      <c r="BA97" s="1900"/>
      <c r="BB97" s="1900"/>
      <c r="BC97" s="1900"/>
      <c r="BD97" s="1900"/>
      <c r="BE97" s="1900"/>
    </row>
    <row r="98" spans="1:63" s="23" customFormat="1" ht="12" customHeight="1" x14ac:dyDescent="0.2">
      <c r="A98" s="5"/>
      <c r="B98" s="2412"/>
      <c r="C98" s="3635"/>
      <c r="D98" s="3642"/>
      <c r="E98" s="3625" t="s">
        <v>1829</v>
      </c>
      <c r="F98" s="3626"/>
      <c r="G98" s="3626"/>
      <c r="H98" s="3626"/>
      <c r="I98" s="3626"/>
      <c r="J98" s="3626"/>
      <c r="K98" s="3650"/>
      <c r="L98" s="1633">
        <f>IF(Categoría_1=0,0,VLOOKUP(Categoría_1,Tabla_Categorías,MATCH("Coste"&amp;$E98,Name_Tabla_Cat,FALSE),FALSE))</f>
        <v>0</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600">
        <f t="shared" si="31"/>
        <v>0</v>
      </c>
      <c r="Y98" s="3600">
        <f t="shared" si="31"/>
        <v>0</v>
      </c>
      <c r="Z98" s="2877"/>
      <c r="AA98" s="170">
        <f>Z98+X98+V98+W98+IF(Bono_ATA&lt;0,Bono_ATA,0)+IF(Raza="Devah",10,0)+IF(Nephilim="Nephilim Devah",10,0)</f>
        <v>0</v>
      </c>
      <c r="AB98" s="3098"/>
      <c r="AC98" s="1708"/>
      <c r="AD98" s="2715"/>
      <c r="AE98" s="3022"/>
      <c r="AF98" s="3084"/>
      <c r="AG98" s="3022"/>
      <c r="AH98" s="3085"/>
      <c r="AI98" s="3022"/>
      <c r="AJ98" s="3022"/>
      <c r="AK98" s="3022"/>
      <c r="AL98" s="1900"/>
      <c r="AM98" s="1900"/>
      <c r="AN98" s="1900"/>
      <c r="AO98" s="2715"/>
      <c r="AP98" s="1900"/>
      <c r="AQ98" s="1900"/>
      <c r="AR98" s="1900"/>
      <c r="AS98" s="1900"/>
      <c r="AT98" s="1900"/>
      <c r="AU98" s="1900"/>
      <c r="AV98" s="1900"/>
      <c r="AW98" s="1900"/>
      <c r="AX98" s="1900"/>
      <c r="AY98" s="1900"/>
      <c r="AZ98" s="1900"/>
      <c r="BA98" s="1900"/>
      <c r="BB98" s="1900"/>
      <c r="BC98" s="1900"/>
      <c r="BD98" s="1900"/>
      <c r="BE98" s="1900"/>
    </row>
    <row r="99" spans="1:63" s="23" customFormat="1" ht="12" customHeight="1" x14ac:dyDescent="0.2">
      <c r="A99" s="5"/>
      <c r="B99" s="2412"/>
      <c r="C99" s="3635"/>
      <c r="D99" s="3643" t="s">
        <v>1830</v>
      </c>
      <c r="E99" s="3651"/>
      <c r="F99" s="3652"/>
      <c r="G99" s="3652"/>
      <c r="H99" s="3652"/>
      <c r="I99" s="3652"/>
      <c r="J99" s="3652"/>
      <c r="K99" s="3653"/>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12">
        <f>IF($E99=0,0,VLOOKUP($E99,Tabla_TablasSobrenat,3))</f>
        <v>0</v>
      </c>
      <c r="W99" s="3513">
        <f t="shared" ref="W99:AA100" si="32">IF($E99=0,0,VLOOKUP($E99,Tabla_TablasSobrenat,2))</f>
        <v>0</v>
      </c>
      <c r="X99" s="3513">
        <f t="shared" si="32"/>
        <v>0</v>
      </c>
      <c r="Y99" s="3513">
        <f t="shared" si="32"/>
        <v>0</v>
      </c>
      <c r="Z99" s="3513">
        <f t="shared" si="32"/>
        <v>0</v>
      </c>
      <c r="AA99" s="3514">
        <f t="shared" si="32"/>
        <v>0</v>
      </c>
      <c r="AB99" s="3098"/>
      <c r="AC99" s="1708"/>
      <c r="AD99" s="2715"/>
      <c r="AE99" s="3022"/>
      <c r="AF99" s="3084"/>
      <c r="AG99" s="3022"/>
      <c r="AH99" s="3085"/>
      <c r="AI99" s="3022"/>
      <c r="AJ99" s="3022"/>
      <c r="AK99" s="3022"/>
      <c r="AL99" s="1900"/>
      <c r="AM99" s="1900"/>
      <c r="AN99" s="1900"/>
      <c r="AO99" s="2715"/>
      <c r="AP99" s="1900"/>
      <c r="AQ99" s="1900"/>
      <c r="AR99" s="1900"/>
      <c r="AS99" s="1900"/>
      <c r="AT99" s="1900"/>
      <c r="AU99" s="1900"/>
      <c r="AV99" s="1900"/>
      <c r="AW99" s="1900"/>
      <c r="AX99" s="1900"/>
      <c r="AY99" s="1900"/>
      <c r="AZ99" s="1900"/>
      <c r="BA99" s="1900"/>
      <c r="BB99" s="1900"/>
      <c r="BC99" s="1900"/>
      <c r="BD99" s="1900"/>
      <c r="BE99" s="1900"/>
    </row>
    <row r="100" spans="1:63" s="23" customFormat="1" ht="12" customHeight="1" thickBot="1" x14ac:dyDescent="0.25">
      <c r="A100" s="5"/>
      <c r="B100" s="2412"/>
      <c r="C100" s="3635"/>
      <c r="D100" s="3644"/>
      <c r="E100" s="3654"/>
      <c r="F100" s="3655"/>
      <c r="G100" s="3655"/>
      <c r="H100" s="3655"/>
      <c r="I100" s="3655"/>
      <c r="J100" s="3655"/>
      <c r="K100" s="3656"/>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515">
        <f>IF($E100=0,0,VLOOKUP($E100,Tabla_TablasSobrenat,3))</f>
        <v>0</v>
      </c>
      <c r="W100" s="3516">
        <f t="shared" si="32"/>
        <v>0</v>
      </c>
      <c r="X100" s="3516">
        <f t="shared" si="32"/>
        <v>0</v>
      </c>
      <c r="Y100" s="3516">
        <f t="shared" si="32"/>
        <v>0</v>
      </c>
      <c r="Z100" s="3516">
        <f t="shared" si="32"/>
        <v>0</v>
      </c>
      <c r="AA100" s="3517">
        <f t="shared" si="32"/>
        <v>0</v>
      </c>
      <c r="AB100" s="3098"/>
      <c r="AC100" s="1708"/>
      <c r="AD100" s="2715"/>
      <c r="AE100" s="3022"/>
      <c r="AF100" s="3084"/>
      <c r="AG100" s="3022"/>
      <c r="AH100" s="3085"/>
      <c r="AI100" s="3022"/>
      <c r="AJ100" s="3022"/>
      <c r="AK100" s="3022"/>
      <c r="AL100" s="1900"/>
      <c r="AM100" s="1900"/>
      <c r="AN100" s="1900"/>
      <c r="AO100" s="2715"/>
      <c r="AP100" s="1900"/>
      <c r="AQ100" s="1900"/>
      <c r="AR100" s="1900"/>
      <c r="AS100" s="1900"/>
      <c r="AT100" s="1900"/>
      <c r="AU100" s="1900"/>
      <c r="AV100" s="1900"/>
      <c r="AW100" s="1900"/>
      <c r="AX100" s="1900"/>
      <c r="AY100" s="1900"/>
      <c r="AZ100" s="1900"/>
      <c r="BA100" s="1900"/>
      <c r="BB100" s="1900"/>
      <c r="BC100" s="1900"/>
      <c r="BD100" s="1900"/>
      <c r="BE100" s="1900"/>
    </row>
    <row r="101" spans="1:63" s="23" customFormat="1" ht="12" customHeight="1" x14ac:dyDescent="0.2">
      <c r="A101" s="1880"/>
      <c r="B101" s="2157"/>
      <c r="C101" s="3636"/>
      <c r="D101" s="3760" t="s">
        <v>1831</v>
      </c>
      <c r="E101" s="3761"/>
      <c r="F101" s="3761"/>
      <c r="G101" s="3761"/>
      <c r="H101" s="3761"/>
      <c r="I101" s="3761"/>
      <c r="J101" s="3761"/>
      <c r="K101" s="3785"/>
      <c r="L101" s="3646">
        <f>T$5*IF(Categoría_1=0,0.5,VLOOKUP(Categoría_1,Tabla_Categorías,7,FALSE))</f>
        <v>200</v>
      </c>
      <c r="M101" s="3648">
        <f>SUM(M90:M100)</f>
        <v>0</v>
      </c>
      <c r="N101" s="3646">
        <f>SUM(T$5:T$8)*IF(Categoría_2=0,0,VLOOKUP(Categoría_2,Tabla_Categorías,7,FALSE))</f>
        <v>0</v>
      </c>
      <c r="O101" s="3648">
        <f>(SUM(O90:O100)+M101)*IF(Categoría_2=0,0,1)</f>
        <v>0</v>
      </c>
      <c r="P101" s="3646">
        <f>SUM(T$5:T$10)*IF(Categoría_3=0,0,VLOOKUP(Categoría_3,Tabla_Categorías,7,FALSE))</f>
        <v>0</v>
      </c>
      <c r="Q101" s="3645">
        <f>(SUM(Q90:Q100)+O101)*IF(Categoría_3=0,0,1)</f>
        <v>0</v>
      </c>
      <c r="R101" s="3646">
        <f>SUM(T$5:T$11)*IF(Categoría_4=0,0,VLOOKUP(Categoría_4,Tabla_Categorías,7,FALSE))</f>
        <v>0</v>
      </c>
      <c r="S101" s="3648">
        <f>(SUM(S90:S100)+Q101)*IF(Categoría_4=0,0,1)</f>
        <v>0</v>
      </c>
      <c r="T101" s="3783">
        <f>SUM(T$5:T$13)*IF(Categoría_5=0,0,VLOOKUP(Categoría_5,Tabla_Categorías,7,FALSE))</f>
        <v>0</v>
      </c>
      <c r="U101" s="3530">
        <f>(SUM(U90:U100)+S101)*IF(Categoría_5=0,0,1)</f>
        <v>0</v>
      </c>
      <c r="V101" s="3787" t="str">
        <f>IF(OR(M93&gt;L101/2,O93&gt;N101/2,Q93&gt;P101/2,S93&gt;R101/2,U93&gt;T101/2),"Exceso en Proyección Mágica",IF(M94+O94+Q94+S94+U94&gt;0.1*$Z$189,"Exceso de PDs en Nivel de Magia",IF(OR(M101&gt;L101,O101&gt;N101,Q101&gt;P101,S101&gt;R101,U101&gt;T101),"Exceso de PDs en Habilidades Místicas","")))</f>
        <v/>
      </c>
      <c r="W101" s="3788"/>
      <c r="X101" s="3788"/>
      <c r="Y101" s="3788"/>
      <c r="Z101" s="3788"/>
      <c r="AA101" s="3789"/>
      <c r="AB101" s="2956"/>
      <c r="AC101" s="1706"/>
      <c r="AD101" s="2715"/>
      <c r="AE101" s="3022"/>
      <c r="AF101" s="3084"/>
      <c r="AG101" s="3022"/>
      <c r="AH101" s="3085"/>
      <c r="AI101" s="3022"/>
      <c r="AJ101" s="3022"/>
      <c r="AK101" s="3022"/>
      <c r="AL101" s="1900"/>
      <c r="AM101" s="1900"/>
      <c r="AN101" s="1900"/>
      <c r="AO101" s="2715"/>
      <c r="AP101" s="1900"/>
      <c r="AQ101" s="1900"/>
      <c r="AR101" s="1900"/>
      <c r="AS101" s="1900"/>
      <c r="AT101" s="1900"/>
      <c r="AU101" s="1900"/>
      <c r="AV101" s="1900"/>
      <c r="AW101" s="1900"/>
      <c r="AX101" s="1900"/>
      <c r="AY101" s="1900"/>
      <c r="AZ101" s="1900"/>
      <c r="BA101" s="1900"/>
      <c r="BB101" s="1900"/>
      <c r="BC101" s="1900"/>
      <c r="BD101" s="1900"/>
      <c r="BE101" s="1900"/>
    </row>
    <row r="102" spans="1:63" s="23" customFormat="1" ht="12" customHeight="1" thickBot="1" x14ac:dyDescent="0.25">
      <c r="A102" s="1880"/>
      <c r="B102" s="2157"/>
      <c r="C102" s="3637"/>
      <c r="D102" s="3763"/>
      <c r="E102" s="3764"/>
      <c r="F102" s="3764"/>
      <c r="G102" s="3764"/>
      <c r="H102" s="3764"/>
      <c r="I102" s="3764"/>
      <c r="J102" s="3764"/>
      <c r="K102" s="3786"/>
      <c r="L102" s="3647"/>
      <c r="M102" s="3649"/>
      <c r="N102" s="3647"/>
      <c r="O102" s="3649"/>
      <c r="P102" s="3647"/>
      <c r="Q102" s="3547"/>
      <c r="R102" s="3647"/>
      <c r="S102" s="3649"/>
      <c r="T102" s="3784"/>
      <c r="U102" s="3531"/>
      <c r="V102" s="3790"/>
      <c r="W102" s="3791"/>
      <c r="X102" s="3791"/>
      <c r="Y102" s="3791"/>
      <c r="Z102" s="3791"/>
      <c r="AA102" s="3792"/>
      <c r="AB102" s="2956"/>
      <c r="AC102" s="1706"/>
      <c r="AD102" s="2715"/>
      <c r="AE102" s="3022"/>
      <c r="AF102" s="3084"/>
      <c r="AG102" s="3022"/>
      <c r="AH102" s="3085"/>
      <c r="AI102" s="3022"/>
      <c r="AJ102" s="3022"/>
      <c r="AK102" s="3022"/>
      <c r="AL102" s="1900"/>
      <c r="AM102" s="1900"/>
      <c r="AN102" s="1900"/>
      <c r="AO102" s="2715"/>
      <c r="AP102" s="1900"/>
      <c r="AQ102" s="1900"/>
      <c r="AR102" s="1900"/>
      <c r="AS102" s="1900"/>
      <c r="AT102" s="1900"/>
      <c r="AU102" s="1900"/>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56"/>
      <c r="AC103" s="1706"/>
      <c r="AD103" s="2715"/>
      <c r="AE103" s="3022"/>
      <c r="AF103" s="3084"/>
      <c r="AG103" s="3022"/>
      <c r="AH103" s="3085"/>
      <c r="AI103" s="3022"/>
      <c r="AJ103" s="3022"/>
      <c r="AK103" s="3022"/>
      <c r="AL103" s="1900"/>
      <c r="AM103" s="1900"/>
      <c r="AN103" s="1900"/>
      <c r="AO103" s="2715"/>
      <c r="AP103" s="1900"/>
      <c r="AQ103" s="1900"/>
      <c r="AR103" s="1900"/>
      <c r="AS103" s="1900"/>
      <c r="AT103" s="1900"/>
      <c r="AU103" s="1900"/>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56"/>
      <c r="AC104" s="1706"/>
      <c r="AD104" s="2715"/>
      <c r="AE104" s="3022"/>
      <c r="AF104" s="3084"/>
      <c r="AG104" s="3022"/>
      <c r="AH104" s="3085"/>
      <c r="AI104" s="3022"/>
      <c r="AJ104" s="3022"/>
      <c r="AK104" s="3022"/>
      <c r="AL104" s="1900"/>
      <c r="AM104" s="1900"/>
      <c r="AN104" s="1900"/>
      <c r="AO104" s="2715"/>
      <c r="AP104" s="1900"/>
      <c r="AQ104" s="1900"/>
      <c r="AR104" s="1900"/>
      <c r="AS104" s="1900"/>
      <c r="AT104" s="1900"/>
      <c r="AU104" s="1900"/>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86" t="str">
        <f>IF(Categoría_1=0,"",Categoría_1)</f>
        <v/>
      </c>
      <c r="M105" s="3587"/>
      <c r="N105" s="3590" t="str">
        <f>IF(Categoría_2=0,"",Categoría_2)</f>
        <v/>
      </c>
      <c r="O105" s="3587"/>
      <c r="P105" s="3590" t="str">
        <f>IF(Categoría_3=0,"",Categoría_3)</f>
        <v/>
      </c>
      <c r="Q105" s="3587"/>
      <c r="R105" s="3590" t="str">
        <f>IF(Categoría_4=0,"",Categoría_4)</f>
        <v/>
      </c>
      <c r="S105" s="3587"/>
      <c r="T105" s="3590" t="str">
        <f>IF(Categoría_5=0,"",Categoría_5)</f>
        <v/>
      </c>
      <c r="U105" s="3598"/>
      <c r="V105" s="67"/>
      <c r="W105" s="67"/>
      <c r="X105" s="67"/>
      <c r="Y105" s="67"/>
      <c r="Z105" s="67"/>
      <c r="AA105" s="67"/>
      <c r="AB105" s="2956"/>
      <c r="AC105" s="1706"/>
      <c r="AD105" s="2715"/>
      <c r="AE105" s="3022"/>
      <c r="AF105" s="3084"/>
      <c r="AG105" s="3022"/>
      <c r="AH105" s="3085"/>
      <c r="AI105" s="3022"/>
      <c r="AJ105" s="3022"/>
      <c r="AK105" s="3022"/>
      <c r="AL105" s="1900"/>
      <c r="AM105" s="1900"/>
      <c r="AN105" s="1900"/>
      <c r="AO105" s="2715"/>
      <c r="AP105" s="1900"/>
      <c r="AQ105" s="1900"/>
      <c r="AR105" s="1900"/>
      <c r="AS105" s="1900"/>
      <c r="AT105" s="1900"/>
      <c r="AU105" s="1900"/>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771"/>
      <c r="M106" s="3772"/>
      <c r="N106" s="3773"/>
      <c r="O106" s="3772"/>
      <c r="P106" s="3773"/>
      <c r="Q106" s="3772"/>
      <c r="R106" s="3773"/>
      <c r="S106" s="3772"/>
      <c r="T106" s="3773"/>
      <c r="U106" s="3802"/>
      <c r="V106" s="67"/>
      <c r="W106" s="67"/>
      <c r="X106" s="67"/>
      <c r="Y106" s="67"/>
      <c r="Z106" s="67"/>
      <c r="AA106" s="67"/>
      <c r="AB106" s="2956"/>
      <c r="AC106" s="1706"/>
      <c r="AD106" s="2715"/>
      <c r="AE106" s="3022"/>
      <c r="AF106" s="3084"/>
      <c r="AG106" s="3022"/>
      <c r="AH106" s="3085"/>
      <c r="AI106" s="3022"/>
      <c r="AJ106" s="3022"/>
      <c r="AK106" s="3022"/>
      <c r="AL106" s="1900"/>
      <c r="AM106" s="1900"/>
      <c r="AN106" s="1900"/>
      <c r="AO106" s="2715"/>
      <c r="AP106" s="1900"/>
      <c r="AQ106" s="1900"/>
      <c r="AR106" s="1900"/>
      <c r="AS106" s="1900"/>
      <c r="AT106" s="1900"/>
      <c r="AU106" s="1900"/>
      <c r="AV106" s="1900"/>
      <c r="AW106" s="1900"/>
      <c r="AX106" s="1900"/>
      <c r="AY106" s="1900"/>
      <c r="AZ106" s="1707"/>
      <c r="BA106" s="1707"/>
      <c r="BB106" s="1900"/>
      <c r="BC106" s="1900"/>
      <c r="BD106" s="1900"/>
      <c r="BE106" s="1900"/>
    </row>
    <row r="107" spans="1:63" ht="12" customHeight="1" thickBot="1" x14ac:dyDescent="0.25">
      <c r="A107" s="1880"/>
      <c r="B107" s="2157"/>
      <c r="C107" s="3818" t="s">
        <v>1832</v>
      </c>
      <c r="D107" s="1554" t="s">
        <v>1708</v>
      </c>
      <c r="E107" s="3793" t="s">
        <v>1684</v>
      </c>
      <c r="F107" s="3602"/>
      <c r="G107" s="3602"/>
      <c r="H107" s="3602"/>
      <c r="I107" s="3602"/>
      <c r="J107" s="3602"/>
      <c r="K107" s="3794"/>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800" t="s">
        <v>1800</v>
      </c>
      <c r="Y107" s="3800"/>
      <c r="Z107" s="1554" t="s">
        <v>1728</v>
      </c>
      <c r="AA107" s="126" t="s">
        <v>1658</v>
      </c>
      <c r="AB107" s="2956"/>
      <c r="AC107" s="1706"/>
      <c r="AE107" s="2715"/>
      <c r="AO107" s="2715"/>
    </row>
    <row r="108" spans="1:63" ht="12" customHeight="1" x14ac:dyDescent="0.2">
      <c r="A108" s="1880"/>
      <c r="B108" s="2157"/>
      <c r="C108" s="3635"/>
      <c r="D108" s="3769" t="s">
        <v>1674</v>
      </c>
      <c r="E108" s="3795" t="s">
        <v>1833</v>
      </c>
      <c r="F108" s="3614"/>
      <c r="G108" s="3614"/>
      <c r="H108" s="3614"/>
      <c r="I108" s="3614"/>
      <c r="J108" s="3614"/>
      <c r="K108" s="3623"/>
      <c r="L108" s="136">
        <f>IF(Categoría_1=0,0,VLOOKUP(Categoría_1,Tabla_Categorías,MATCH("Coste"&amp;$E108,Name_Tabla_Cat,FALSE),FALSE))</f>
        <v>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803">
        <f>ROUNDUP(HLOOKUP($E108,Bonos_Cat_Base,2,FALSE),0)</f>
        <v>0</v>
      </c>
      <c r="Y108" s="3803"/>
      <c r="Z108" s="2882"/>
      <c r="AA108" s="164">
        <f>V108+Z108+X108</f>
        <v>0</v>
      </c>
      <c r="AB108" s="2956"/>
      <c r="AC108" s="1706"/>
      <c r="AO108" s="2715"/>
    </row>
    <row r="109" spans="1:63" ht="12" customHeight="1" x14ac:dyDescent="0.2">
      <c r="A109" s="1880"/>
      <c r="B109" s="2157"/>
      <c r="C109" s="3635"/>
      <c r="D109" s="3770"/>
      <c r="E109" s="3796" t="s">
        <v>1834</v>
      </c>
      <c r="F109" s="3616"/>
      <c r="G109" s="3616"/>
      <c r="H109" s="3616"/>
      <c r="I109" s="3616"/>
      <c r="J109" s="3616"/>
      <c r="K109" s="3624"/>
      <c r="L109" s="138">
        <f>IF(Categoría_1=0,0,VLOOKUP(Categoría_1,Tabla_Categorías,MATCH("Coste"&amp;$E109,Name_Tabla_Cat,FALSE),FALSE))</f>
        <v>0</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0</v>
      </c>
      <c r="X109" s="3804" t="s">
        <v>1766</v>
      </c>
      <c r="Y109" s="3804"/>
      <c r="Z109" s="2883"/>
      <c r="AA109" s="135">
        <f>V109+W109+Z109+Bono_ATA-Combate!U16</f>
        <v>0</v>
      </c>
      <c r="AB109" s="2956"/>
      <c r="AC109" s="1706"/>
      <c r="AO109" s="2715"/>
    </row>
    <row r="110" spans="1:63" ht="12" customHeight="1" x14ac:dyDescent="0.2">
      <c r="A110" s="1880"/>
      <c r="B110" s="2157"/>
      <c r="C110" s="3635"/>
      <c r="D110" s="1635" t="s">
        <v>1830</v>
      </c>
      <c r="E110" s="3797"/>
      <c r="F110" s="3798"/>
      <c r="G110" s="3798"/>
      <c r="H110" s="3798"/>
      <c r="I110" s="3798"/>
      <c r="J110" s="3798"/>
      <c r="K110" s="3799"/>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74" t="str">
        <f>IF($E110=0,"",VLOOKUP($E110,Tabla_TablasSobrenat,3))</f>
        <v/>
      </c>
      <c r="W110" s="3775">
        <f>IF($E110=0,0,VLOOKUP($E110,Tabla_TablasSobrenat,2))</f>
        <v>0</v>
      </c>
      <c r="X110" s="3775">
        <f>IF($E110=0,0,VLOOKUP($E110,Tabla_TablasSobrenat,2))</f>
        <v>0</v>
      </c>
      <c r="Y110" s="3775">
        <f>IF($E110=0,0,VLOOKUP($E110,Tabla_TablasSobrenat,2))</f>
        <v>0</v>
      </c>
      <c r="Z110" s="3775">
        <f>IF($E110=0,0,VLOOKUP($E110,Tabla_TablasSobrenat,2))</f>
        <v>0</v>
      </c>
      <c r="AA110" s="3776">
        <f>IF($E110=0,0,VLOOKUP($E110,Tabla_TablasSobrenat,2))</f>
        <v>0</v>
      </c>
      <c r="AB110" s="2956"/>
      <c r="AC110" s="1706"/>
      <c r="AO110" s="2715"/>
    </row>
    <row r="111" spans="1:63" ht="12" customHeight="1" x14ac:dyDescent="0.2">
      <c r="A111" s="1880"/>
      <c r="B111" s="2157"/>
      <c r="C111" s="3635"/>
      <c r="D111" s="3640" t="s">
        <v>1835</v>
      </c>
      <c r="E111" s="3681"/>
      <c r="F111" s="3682"/>
      <c r="G111" s="3682"/>
      <c r="H111" s="3682"/>
      <c r="I111" s="3682"/>
      <c r="J111" s="3682"/>
      <c r="K111" s="3683"/>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77" t="str">
        <f>IF(E111=0,"",VLOOKUP(E111,Tablas!$D$1092:$R$1107,4,FALSE))</f>
        <v/>
      </c>
      <c r="W111" s="3778"/>
      <c r="X111" s="3778"/>
      <c r="Y111" s="3778"/>
      <c r="Z111" s="3778"/>
      <c r="AA111" s="3779"/>
      <c r="AB111" s="2956"/>
      <c r="AC111" s="1706"/>
      <c r="AO111" s="2715"/>
    </row>
    <row r="112" spans="1:63" ht="12" customHeight="1" x14ac:dyDescent="0.2">
      <c r="A112" s="1880"/>
      <c r="B112" s="2157"/>
      <c r="C112" s="3635"/>
      <c r="D112" s="3641"/>
      <c r="E112" s="3684"/>
      <c r="F112" s="3655"/>
      <c r="G112" s="3655"/>
      <c r="H112" s="3655"/>
      <c r="I112" s="3655"/>
      <c r="J112" s="3655"/>
      <c r="K112" s="3656"/>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780" t="str">
        <f>IF(E112=0,"",VLOOKUP(E112,Tablas!$D$1092:$R$1107,4,FALSE))</f>
        <v/>
      </c>
      <c r="W112" s="3781"/>
      <c r="X112" s="3781"/>
      <c r="Y112" s="3781"/>
      <c r="Z112" s="3781"/>
      <c r="AA112" s="3782"/>
      <c r="AB112" s="2956"/>
      <c r="AC112" s="1706"/>
      <c r="AO112" s="2715"/>
    </row>
    <row r="113" spans="1:46" ht="12" customHeight="1" x14ac:dyDescent="0.2">
      <c r="A113" s="1880"/>
      <c r="B113" s="2157"/>
      <c r="C113" s="3635"/>
      <c r="D113" s="3641"/>
      <c r="E113" s="3685"/>
      <c r="F113" s="3652"/>
      <c r="G113" s="3652"/>
      <c r="H113" s="3652"/>
      <c r="I113" s="3652"/>
      <c r="J113" s="3652"/>
      <c r="K113" s="3653"/>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811" t="str">
        <f>IF(E113=0,"",VLOOKUP(E113,Tablas!$D$1092:$R$1107,4,FALSE))</f>
        <v/>
      </c>
      <c r="W113" s="3812"/>
      <c r="X113" s="3812"/>
      <c r="Y113" s="3812"/>
      <c r="Z113" s="3812"/>
      <c r="AA113" s="3813"/>
      <c r="AB113" s="2956"/>
      <c r="AC113" s="1706"/>
      <c r="AO113" s="2715"/>
    </row>
    <row r="114" spans="1:46" ht="12" customHeight="1" x14ac:dyDescent="0.2">
      <c r="A114" s="1880"/>
      <c r="B114" s="2157"/>
      <c r="C114" s="3635"/>
      <c r="D114" s="3641"/>
      <c r="E114" s="3684"/>
      <c r="F114" s="3655"/>
      <c r="G114" s="3655"/>
      <c r="H114" s="3655"/>
      <c r="I114" s="3655"/>
      <c r="J114" s="3655"/>
      <c r="K114" s="3656"/>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780" t="str">
        <f>IF(E114=0,"",VLOOKUP(E114,Tablas!$D$1092:$R$1107,4,FALSE))</f>
        <v/>
      </c>
      <c r="W114" s="3781"/>
      <c r="X114" s="3781"/>
      <c r="Y114" s="3781"/>
      <c r="Z114" s="3781"/>
      <c r="AA114" s="3782"/>
      <c r="AB114" s="2956"/>
      <c r="AC114" s="1706"/>
      <c r="AO114" s="2715"/>
    </row>
    <row r="115" spans="1:46" ht="12" customHeight="1" x14ac:dyDescent="0.2">
      <c r="A115" s="1880"/>
      <c r="B115" s="2157"/>
      <c r="C115" s="3635"/>
      <c r="D115" s="3641"/>
      <c r="E115" s="3685"/>
      <c r="F115" s="3652"/>
      <c r="G115" s="3652"/>
      <c r="H115" s="3652"/>
      <c r="I115" s="3652"/>
      <c r="J115" s="3652"/>
      <c r="K115" s="3653"/>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811" t="str">
        <f>IF(E115=0,"",VLOOKUP(E115,Tablas!$D$1092:$R$1107,4,FALSE))</f>
        <v/>
      </c>
      <c r="W115" s="3812"/>
      <c r="X115" s="3812"/>
      <c r="Y115" s="3812"/>
      <c r="Z115" s="3812"/>
      <c r="AA115" s="3813"/>
      <c r="AB115" s="2956"/>
      <c r="AC115" s="1706"/>
      <c r="AH115" s="3100"/>
      <c r="AO115" s="2715"/>
    </row>
    <row r="116" spans="1:46" ht="12" customHeight="1" thickBot="1" x14ac:dyDescent="0.25">
      <c r="A116" s="1880"/>
      <c r="B116" s="2157"/>
      <c r="C116" s="3635"/>
      <c r="D116" s="3641"/>
      <c r="E116" s="3684"/>
      <c r="F116" s="3655"/>
      <c r="G116" s="3655"/>
      <c r="H116" s="3655"/>
      <c r="I116" s="3655"/>
      <c r="J116" s="3655"/>
      <c r="K116" s="3656"/>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780" t="str">
        <f>IF(E116=0,"",VLOOKUP(E116,Tablas!$D$1092:$R$1107,4,FALSE))</f>
        <v/>
      </c>
      <c r="W116" s="3781"/>
      <c r="X116" s="3781"/>
      <c r="Y116" s="3781"/>
      <c r="Z116" s="3781"/>
      <c r="AA116" s="3782"/>
      <c r="AB116" s="2956"/>
      <c r="AC116" s="1706"/>
      <c r="AO116" s="2715"/>
    </row>
    <row r="117" spans="1:46" ht="12" customHeight="1" x14ac:dyDescent="0.2">
      <c r="A117" s="1880"/>
      <c r="B117" s="2157"/>
      <c r="C117" s="3636"/>
      <c r="D117" s="3814" t="s">
        <v>1836</v>
      </c>
      <c r="E117" s="3815"/>
      <c r="F117" s="3815"/>
      <c r="G117" s="3815"/>
      <c r="H117" s="3815"/>
      <c r="I117" s="3815"/>
      <c r="J117" s="3815"/>
      <c r="K117" s="3645"/>
      <c r="L117" s="3646">
        <f>T$5*IF(Categoría_1=0,0.5,VLOOKUP(Categoría_1,Tabla_Categorías,8,FALSE))</f>
        <v>200</v>
      </c>
      <c r="M117" s="3648">
        <f>SUM(M108:M116)</f>
        <v>0</v>
      </c>
      <c r="N117" s="3646">
        <f>SUM(T$5:T$7)*IF(Categoría_2=0,0,VLOOKUP(Categoría_2,Tabla_Categorías,8,FALSE))</f>
        <v>0</v>
      </c>
      <c r="O117" s="3648">
        <f>(SUM(O108:O116)+M117)*IF(Categoría_2=0,0,1)</f>
        <v>0</v>
      </c>
      <c r="P117" s="3646">
        <f>SUM(T$5:T$9)*IF(Categoría_3=0,0,VLOOKUP(Categoría_3,Tabla_Categorías,8,FALSE))</f>
        <v>0</v>
      </c>
      <c r="Q117" s="3645">
        <f>(SUM(Q108:Q116)+O117)*IF(Categoría_3=0,0,1)</f>
        <v>0</v>
      </c>
      <c r="R117" s="3646">
        <f>SUM(T$5:T$11)*IF(Categoría_4=0,0,VLOOKUP(Categoría_4,Tabla_Categorías,8,FALSE))</f>
        <v>0</v>
      </c>
      <c r="S117" s="3648">
        <f>(SUM(S108:S116)+Q117)*IF(Categoría_4=0,0,1)</f>
        <v>0</v>
      </c>
      <c r="T117" s="3646">
        <f>SUM(T$5:T$13)*IF(Categoría_5=0,0,VLOOKUP(Categoría_5,Tabla_Categorías,8,FALSE))</f>
        <v>0</v>
      </c>
      <c r="U117" s="3648">
        <f>(SUM(U108:U116)+S117)*IF(Categoría_5=0,0,1)</f>
        <v>0</v>
      </c>
      <c r="V117" s="3592" t="str">
        <f>IF(OR(M109&gt;L117/2,O109&gt;N117/2,Q109&gt;P117/2,S109&gt;R117/2,U109&gt;T117/2),"Exceso en Proyección Psíquica",IF(OR(M117&gt;L117,O117&gt;N117,Q117&gt;P117,S117&gt;R117,U117&gt;T117),"Exceso de PDs en Habilidades Psíquicas",""))</f>
        <v/>
      </c>
      <c r="W117" s="3593"/>
      <c r="X117" s="3593"/>
      <c r="Y117" s="3593"/>
      <c r="Z117" s="3593"/>
      <c r="AA117" s="3594"/>
      <c r="AB117" s="2956"/>
      <c r="AC117" s="1706"/>
      <c r="AO117" s="2715"/>
    </row>
    <row r="118" spans="1:46" ht="12" customHeight="1" thickBot="1" x14ac:dyDescent="0.25">
      <c r="A118" s="1880"/>
      <c r="B118" s="2157"/>
      <c r="C118" s="3637"/>
      <c r="D118" s="3816"/>
      <c r="E118" s="3817"/>
      <c r="F118" s="3817"/>
      <c r="G118" s="3817"/>
      <c r="H118" s="3817"/>
      <c r="I118" s="3817"/>
      <c r="J118" s="3817"/>
      <c r="K118" s="3547"/>
      <c r="L118" s="3647"/>
      <c r="M118" s="3649"/>
      <c r="N118" s="3647"/>
      <c r="O118" s="3649"/>
      <c r="P118" s="3647"/>
      <c r="Q118" s="3547"/>
      <c r="R118" s="3647"/>
      <c r="S118" s="3649"/>
      <c r="T118" s="3647"/>
      <c r="U118" s="3649"/>
      <c r="V118" s="3595"/>
      <c r="W118" s="3596"/>
      <c r="X118" s="3596"/>
      <c r="Y118" s="3596"/>
      <c r="Z118" s="3596"/>
      <c r="AA118" s="3597"/>
      <c r="AB118" s="2956"/>
      <c r="AC118" s="1706"/>
      <c r="AE118" s="3101" t="str">
        <f>IF(Tablas!N136="","","Tablas!$M$31:$M$32")</f>
        <v/>
      </c>
      <c r="AO118" s="2715"/>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56"/>
      <c r="AC119" s="1706"/>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02"/>
      <c r="AC120" s="2960"/>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83"/>
      <c r="AC121" s="2960"/>
    </row>
    <row r="122" spans="1:46" ht="12" customHeight="1" thickBot="1" x14ac:dyDescent="0.25">
      <c r="A122" s="1880"/>
      <c r="B122" s="2157"/>
      <c r="AB122" s="2956"/>
      <c r="AC122" s="2960"/>
    </row>
    <row r="123" spans="1:46" ht="12" customHeight="1" thickBot="1" x14ac:dyDescent="0.25">
      <c r="A123" s="1883"/>
      <c r="B123" s="2157"/>
      <c r="C123" s="44"/>
      <c r="D123" s="44"/>
      <c r="E123" s="44"/>
      <c r="F123" s="44"/>
      <c r="G123" s="44"/>
      <c r="H123" s="44"/>
      <c r="I123" s="157"/>
      <c r="J123" s="3852" t="str">
        <f>IF(Categoría_1=0,"",Categoría_1)</f>
        <v/>
      </c>
      <c r="K123" s="3850"/>
      <c r="L123" s="3846" t="str">
        <f>IF(Categoría_2=0,"",Categoría_2)</f>
        <v/>
      </c>
      <c r="M123" s="3850"/>
      <c r="N123" s="3846" t="str">
        <f>IF(Categoría_3=0,"",Categoría_3)</f>
        <v/>
      </c>
      <c r="O123" s="3850"/>
      <c r="P123" s="3846" t="str">
        <f>IF(Categoría_4=0,"",Categoría_4)</f>
        <v/>
      </c>
      <c r="Q123" s="3850"/>
      <c r="R123" s="3846" t="str">
        <f>IF(Categoría_5=0,"",Categoría_5)</f>
        <v/>
      </c>
      <c r="S123" s="3847"/>
      <c r="T123" s="157"/>
      <c r="U123" s="157"/>
      <c r="V123" s="157"/>
      <c r="W123" s="67"/>
      <c r="X123" s="67"/>
      <c r="Y123" s="157"/>
      <c r="Z123" s="157"/>
      <c r="AA123" s="157"/>
      <c r="AB123" s="2956"/>
      <c r="AC123" s="1706"/>
      <c r="AE123" s="3084" t="s">
        <v>8549</v>
      </c>
      <c r="AF123" s="2716" t="b">
        <f>IF(Tablas!G480&gt;0,TRUE,IF(Personalización!G22="Si",TRUE,FALSE))</f>
        <v>0</v>
      </c>
    </row>
    <row r="124" spans="1:46" ht="12" customHeight="1" thickBot="1" x14ac:dyDescent="0.25">
      <c r="A124" s="1881"/>
      <c r="B124" s="2157"/>
      <c r="C124" s="157"/>
      <c r="D124" s="157"/>
      <c r="E124" s="157"/>
      <c r="F124" s="157"/>
      <c r="I124" s="157"/>
      <c r="J124" s="3853"/>
      <c r="K124" s="3851"/>
      <c r="L124" s="3848"/>
      <c r="M124" s="3851"/>
      <c r="N124" s="3848"/>
      <c r="O124" s="3851"/>
      <c r="P124" s="3848"/>
      <c r="Q124" s="3851"/>
      <c r="R124" s="3848"/>
      <c r="S124" s="3849"/>
      <c r="T124" s="157"/>
      <c r="U124" s="157"/>
      <c r="V124" s="157"/>
      <c r="W124" s="3844" t="s">
        <v>1848</v>
      </c>
      <c r="X124" s="3845"/>
      <c r="Y124" s="157"/>
      <c r="Z124" s="157"/>
      <c r="AA124" s="157"/>
      <c r="AB124" s="2956"/>
      <c r="AC124" s="1706"/>
      <c r="AE124" s="3570" t="s">
        <v>2897</v>
      </c>
      <c r="AF124" s="3570"/>
      <c r="AG124" s="3570"/>
      <c r="AH124" s="3570"/>
      <c r="AI124" s="3570"/>
      <c r="AJ124" s="3570"/>
      <c r="AL124" s="3570" t="s">
        <v>8920</v>
      </c>
      <c r="AM124" s="3570"/>
      <c r="AN124" s="3570"/>
      <c r="AO124" s="3570"/>
      <c r="AP124" s="3570"/>
      <c r="AQ124" s="3570"/>
      <c r="AR124" s="3570"/>
      <c r="AS124" s="3570"/>
      <c r="AT124" s="3570"/>
    </row>
    <row r="125" spans="1:46" ht="12" customHeight="1" thickBot="1" x14ac:dyDescent="0.25">
      <c r="A125" s="1881"/>
      <c r="B125" s="2157"/>
      <c r="C125" s="3634" t="s">
        <v>1704</v>
      </c>
      <c r="D125" s="1656" t="s">
        <v>1708</v>
      </c>
      <c r="E125" s="3601" t="s">
        <v>1684</v>
      </c>
      <c r="F125" s="3602"/>
      <c r="G125" s="3602"/>
      <c r="H125" s="3603"/>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2956"/>
      <c r="AC125" s="1706"/>
      <c r="AD125" s="2715" t="s">
        <v>8548</v>
      </c>
      <c r="AE125" s="2715" t="s">
        <v>8550</v>
      </c>
      <c r="AF125" s="2715" t="s">
        <v>8059</v>
      </c>
      <c r="AG125" s="2715" t="s">
        <v>8060</v>
      </c>
      <c r="AH125" s="3085" t="s">
        <v>1788</v>
      </c>
      <c r="AI125" s="2715" t="s">
        <v>7878</v>
      </c>
      <c r="AJ125" s="2715" t="s">
        <v>7862</v>
      </c>
      <c r="AL125" s="1900" t="s">
        <v>8841</v>
      </c>
      <c r="AN125" s="1900" t="s">
        <v>8839</v>
      </c>
      <c r="AP125" s="1900" t="s">
        <v>8840</v>
      </c>
      <c r="AR125" s="1900" t="s">
        <v>8843</v>
      </c>
      <c r="AT125" s="1900" t="s">
        <v>8842</v>
      </c>
    </row>
    <row r="126" spans="1:46" ht="12" customHeight="1" x14ac:dyDescent="0.2">
      <c r="A126" s="1881"/>
      <c r="B126" s="2157" t="str">
        <f>D126</f>
        <v>Atléticas</v>
      </c>
      <c r="C126" s="3636"/>
      <c r="D126" s="3861" t="s">
        <v>1713</v>
      </c>
      <c r="E126" s="3809" t="s">
        <v>1714</v>
      </c>
      <c r="F126" s="3810"/>
      <c r="G126" s="3810"/>
      <c r="H126" s="2090" t="s">
        <v>1682</v>
      </c>
      <c r="I126" s="2075"/>
      <c r="J126" s="1536">
        <f>IF(ISNA(AL126),0,MAX(MIN(AL126-VLOOKUP("Apto en campo: "&amp;$B126,Tabla_Ventajas,3,FALSE)-Tablas!$O269-2*Tablas!$Q269-3*Tablas!$S269,3),1))</f>
        <v>0</v>
      </c>
      <c r="K126" s="1535"/>
      <c r="L126" s="1536">
        <f>IF(ISNA(AN126),0,MAX(MIN(AN126-VLOOKUP("Apto en campo: "&amp;$B126,Tabla_Ventajas,3,FALSE)-Tablas!$O269-2*Tablas!$Q269-3*Tablas!$S269,3),1))</f>
        <v>0</v>
      </c>
      <c r="M126" s="1537"/>
      <c r="N126" s="1534">
        <f>IF(ISNA(AP126),0,MAX(MIN(AP126-VLOOKUP("Apto en campo: "&amp;$B126,Tabla_Ventajas,3,FALSE)-Tablas!$O269-2*Tablas!$Q269-3*Tablas!$S269,3),1))</f>
        <v>0</v>
      </c>
      <c r="O126" s="1535"/>
      <c r="P126" s="1536">
        <f>IF(ISNA(AR126),0,MAX(MIN(AR126-VLOOKUP("Apto en campo: "&amp;$B126,Tabla_Ventajas,3,FALSE)-Tablas!$O269-2*Tablas!$Q269-3*Tablas!$S269,3),1))</f>
        <v>0</v>
      </c>
      <c r="Q126" s="1537"/>
      <c r="R126" s="1534">
        <f>IF(ISNA(AT126),0,MAX(MIN(AT126-VLOOKUP("Apto en campo: "&amp;$B126,Tabla_Ventajas,3,FALSE)-Tablas!$O269-2*Tablas!$Q269-3*Tablas!$S269,3),1))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3090">
        <f t="shared" ref="AB126:AB157" si="35">IF(AA126="-",0,IF(AA126&gt;VLOOKUP(Nivel_Total,Tabla_LímiteSecundarias,2),1,0))</f>
        <v>0</v>
      </c>
      <c r="AC126" s="1706"/>
      <c r="AD126" s="3103">
        <f>'Tablas psiquica'!AH66+'Tablas psiquica'!AH68</f>
        <v>0</v>
      </c>
      <c r="AE126" s="302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84">
        <f>IF(AF$123,IF(OR(Region="",ClaseSocial="",Personalización!$AN$21),0,IF(OR(AND(AI126,AJ126),AND(NOT(AI126),NOT(AJ126))),LEFT(AG126,2)+LEFT(AH126,2),0)),0)</f>
        <v>0</v>
      </c>
      <c r="AG126" s="2715" t="e">
        <f>HLOOKUP(Region&amp;ClaseSocial,Tabla_RaicesCulturales,Tablas!F142,FALSE)</f>
        <v>#N/A</v>
      </c>
      <c r="AH126" s="3022">
        <f>IF(AND(E126="Historia",Personalización!$E$26="Historia (Local)"),20&amp;" "&amp;Personalización!$E$26,IF(OR(E126=Personalización!$E$25,E126=Personalización!$E$26),VLOOKUP(E126,Tablas!$L$136:$M$137,2,FALSE),0))</f>
        <v>0</v>
      </c>
      <c r="AI126" s="3022" t="b">
        <f t="shared" ref="AI126:AI143" si="36">OR(ISNUMBER(FIND("(",AG126)),ISNUMBER(FIND("(",AH126)))</f>
        <v>0</v>
      </c>
      <c r="AJ126" s="3022" t="b">
        <f t="shared" ref="AJ126:AJ143" si="37">AND(NOT(I126=""),OR(ISNUMBER(SEARCH(I126,AG126)),ISNUMBER(SEARCH(I126,AH126))))</f>
        <v>0</v>
      </c>
      <c r="AL126" s="1900"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00"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00"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00"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00"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636"/>
      <c r="D127" s="3309"/>
      <c r="E127" s="3615" t="s">
        <v>1716</v>
      </c>
      <c r="F127" s="3616"/>
      <c r="G127" s="3616"/>
      <c r="H127" s="2091" t="s">
        <v>1682</v>
      </c>
      <c r="I127" s="2076"/>
      <c r="J127" s="183">
        <f>IF(ISNA(AL127),0,MAX(MIN(AL127-VLOOKUP("Apto en campo: "&amp;$B127,Tabla_Ventajas,3,FALSE)-Tablas!$O270-2*Tablas!$Q270-3*Tablas!$S270,3),1))</f>
        <v>0</v>
      </c>
      <c r="K127" s="1513"/>
      <c r="L127" s="183">
        <f>IF(ISNA(AN127),0,MAX(MIN(AN127-VLOOKUP("Apto en campo: "&amp;$B127,Tabla_Ventajas,3,FALSE)-Tablas!$O270-2*Tablas!$Q270-3*Tablas!$S270,3),1))</f>
        <v>0</v>
      </c>
      <c r="M127" s="169"/>
      <c r="N127" s="1209">
        <f>IF(ISNA(AP127),0,MAX(MIN(AP127-VLOOKUP("Apto en campo: "&amp;$B127,Tabla_Ventajas,3,FALSE)-Tablas!$O270-2*Tablas!$Q270-3*Tablas!$S270,3),1))</f>
        <v>0</v>
      </c>
      <c r="O127" s="1513"/>
      <c r="P127" s="183">
        <f>IF(ISNA(AR127),0,MAX(MIN(AR127-VLOOKUP("Apto en campo: "&amp;$B127,Tabla_Ventajas,3,FALSE)-Tablas!$O270-2*Tablas!$Q270-3*Tablas!$S270,3),1))</f>
        <v>0</v>
      </c>
      <c r="Q127" s="169"/>
      <c r="R127" s="1209">
        <f>IF(ISNA(AT127),0,MAX(MIN(AT127-VLOOKUP("Apto en campo: "&amp;$B127,Tabla_Ventajas,3,FALSE)-Tablas!$O270-2*Tablas!$Q270-3*Tablas!$S270,3),1))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3090">
        <f t="shared" si="35"/>
        <v>0</v>
      </c>
      <c r="AC127" s="1706"/>
      <c r="AD127" s="3104">
        <f>'Tablas psiquica'!$AH$68</f>
        <v>0</v>
      </c>
      <c r="AE127" s="302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84">
        <f>IF(AF$123,IF(OR(Region="",ClaseSocial="",Personalización!$AN$21),0,IF(OR(AND(AI127,AJ127),AND(NOT(AI127),NOT(AJ127))),LEFT(AG127,2)+LEFT(AH127,2),0)),0)</f>
        <v>0</v>
      </c>
      <c r="AG127" s="2715" t="e">
        <f>HLOOKUP(Region&amp;ClaseSocial,Tabla_RaicesCulturales,Tablas!F143,FALSE)</f>
        <v>#N/A</v>
      </c>
      <c r="AH127" s="3022">
        <f>IF(AND(E127="Historia",Personalización!$E$26="Historia (Local)"),20&amp;" "&amp;Personalización!$E$26,IF(OR(E127=Personalización!$E$25,E127=Personalización!$E$26),VLOOKUP(E127,Tablas!$L$136:$M$137,2,FALSE),0))</f>
        <v>0</v>
      </c>
      <c r="AI127" s="3022" t="b">
        <f t="shared" si="36"/>
        <v>0</v>
      </c>
      <c r="AJ127" s="3022" t="b">
        <f t="shared" si="37"/>
        <v>0</v>
      </c>
      <c r="AL127" s="1900" t="e">
        <f t="shared" si="38"/>
        <v>#N/A</v>
      </c>
      <c r="AN127" s="1900" t="e">
        <f t="shared" si="39"/>
        <v>#N/A</v>
      </c>
      <c r="AP127" s="1900" t="e">
        <f t="shared" si="40"/>
        <v>#N/A</v>
      </c>
      <c r="AR127" s="1900" t="e">
        <f t="shared" si="41"/>
        <v>#N/A</v>
      </c>
      <c r="AT127" s="1900" t="e">
        <f t="shared" si="42"/>
        <v>#N/A</v>
      </c>
    </row>
    <row r="128" spans="1:46" ht="12" customHeight="1" x14ac:dyDescent="0.2">
      <c r="A128" s="1881"/>
      <c r="B128" s="2157" t="str">
        <f t="shared" ref="B128:B132" si="43">B127</f>
        <v>Atléticas</v>
      </c>
      <c r="C128" s="3636"/>
      <c r="D128" s="3309"/>
      <c r="E128" s="3613" t="s">
        <v>1719</v>
      </c>
      <c r="F128" s="3614"/>
      <c r="G128" s="3614"/>
      <c r="H128" s="2092" t="s">
        <v>1682</v>
      </c>
      <c r="I128" s="2077"/>
      <c r="J128" s="184">
        <f>IF(ISNA(AL128),0,MAX(MIN(AL128-VLOOKUP("Apto en campo: "&amp;$B128,Tabla_Ventajas,3,FALSE)-Tablas!$O271-2*Tablas!$Q271-3*Tablas!$S271,3),1))</f>
        <v>0</v>
      </c>
      <c r="K128" s="1514"/>
      <c r="L128" s="184">
        <f>IF(ISNA(AN128),0,MAX(MIN(AN128-VLOOKUP("Apto en campo: "&amp;$B128,Tabla_Ventajas,3,FALSE)-Tablas!$O271-2*Tablas!$Q271-3*Tablas!$S271,3),1))</f>
        <v>0</v>
      </c>
      <c r="M128" s="1549"/>
      <c r="N128" s="1210">
        <f>IF(ISNA(AP128),0,MAX(MIN(AP128-VLOOKUP("Apto en campo: "&amp;$B128,Tabla_Ventajas,3,FALSE)-Tablas!$O271-2*Tablas!$Q271-3*Tablas!$S271,3),1))</f>
        <v>0</v>
      </c>
      <c r="O128" s="1514"/>
      <c r="P128" s="184">
        <f>IF(ISNA(AR128),0,MAX(MIN(AR128-VLOOKUP("Apto en campo: "&amp;$B128,Tabla_Ventajas,3,FALSE)-Tablas!$O271-2*Tablas!$Q271-3*Tablas!$S271,3),1))</f>
        <v>0</v>
      </c>
      <c r="Q128" s="1549"/>
      <c r="R128" s="1210">
        <f>IF(ISNA(AT128),0,MAX(MIN(AT128-VLOOKUP("Apto en campo: "&amp;$B128,Tabla_Ventajas,3,FALSE)-Tablas!$O271-2*Tablas!$Q271-3*Tablas!$S271,3),1))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3090">
        <f t="shared" si="35"/>
        <v>0</v>
      </c>
      <c r="AC128" s="1706"/>
      <c r="AD128" s="3104">
        <f>'Tablas psiquica'!$AH$68</f>
        <v>0</v>
      </c>
      <c r="AE128" s="302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84">
        <f>IF(AF$123,IF(OR(Region="",ClaseSocial="",Personalización!$AN$21),0,IF(OR(AND(AI128,AJ128),AND(NOT(AI128),NOT(AJ128))),LEFT(AG128,2)+LEFT(AH128,2),0)),0)</f>
        <v>0</v>
      </c>
      <c r="AG128" s="2715" t="e">
        <f>HLOOKUP(Region&amp;ClaseSocial,Tabla_RaicesCulturales,Tablas!F144,FALSE)</f>
        <v>#N/A</v>
      </c>
      <c r="AH128" s="3022">
        <f>IF(AND(E128="Historia",Personalización!$E$26="Historia (Local)"),20&amp;" "&amp;Personalización!$E$26,IF(OR(E128=Personalización!$E$25,E128=Personalización!$E$26),VLOOKUP(E128,Tablas!$L$136:$M$137,2,FALSE),0))</f>
        <v>0</v>
      </c>
      <c r="AI128" s="3022" t="b">
        <f t="shared" si="36"/>
        <v>0</v>
      </c>
      <c r="AJ128" s="3022" t="b">
        <f t="shared" si="37"/>
        <v>0</v>
      </c>
      <c r="AL128" s="1900" t="e">
        <f t="shared" si="38"/>
        <v>#N/A</v>
      </c>
      <c r="AN128" s="1900" t="e">
        <f t="shared" si="39"/>
        <v>#N/A</v>
      </c>
      <c r="AP128" s="1900" t="e">
        <f t="shared" si="40"/>
        <v>#N/A</v>
      </c>
      <c r="AR128" s="1900" t="e">
        <f t="shared" si="41"/>
        <v>#N/A</v>
      </c>
      <c r="AT128" s="1900" t="e">
        <f t="shared" si="42"/>
        <v>#N/A</v>
      </c>
    </row>
    <row r="129" spans="1:46" ht="12" customHeight="1" x14ac:dyDescent="0.2">
      <c r="A129" s="1881"/>
      <c r="B129" s="2157" t="str">
        <f t="shared" si="43"/>
        <v>Atléticas</v>
      </c>
      <c r="C129" s="3636"/>
      <c r="D129" s="3309"/>
      <c r="E129" s="3615" t="s">
        <v>1723</v>
      </c>
      <c r="F129" s="3616"/>
      <c r="G129" s="3616"/>
      <c r="H129" s="2091" t="s">
        <v>1682</v>
      </c>
      <c r="I129" s="2076"/>
      <c r="J129" s="183">
        <f>IF(ISNA(AL129),0,MAX(MIN(AL129-VLOOKUP("Apto en campo: "&amp;$B129,Tabla_Ventajas,3,FALSE)-Tablas!$O272-2*Tablas!$Q272-3*Tablas!$S272,3),1))</f>
        <v>0</v>
      </c>
      <c r="K129" s="1513"/>
      <c r="L129" s="183">
        <f>IF(ISNA(AN129),0,MAX(MIN(AN129-VLOOKUP("Apto en campo: "&amp;$B129,Tabla_Ventajas,3,FALSE)-Tablas!$O272-2*Tablas!$Q272-3*Tablas!$S272,3),1))</f>
        <v>0</v>
      </c>
      <c r="M129" s="169"/>
      <c r="N129" s="1209">
        <f>IF(ISNA(AP129),0,MAX(MIN(AP129-VLOOKUP("Apto en campo: "&amp;$B129,Tabla_Ventajas,3,FALSE)-Tablas!$O272-2*Tablas!$Q272-3*Tablas!$S272,3),1))</f>
        <v>0</v>
      </c>
      <c r="O129" s="1513"/>
      <c r="P129" s="183">
        <f>IF(ISNA(AR129),0,MAX(MIN(AR129-VLOOKUP("Apto en campo: "&amp;$B129,Tabla_Ventajas,3,FALSE)-Tablas!$O272-2*Tablas!$Q272-3*Tablas!$S272,3),1))</f>
        <v>0</v>
      </c>
      <c r="Q129" s="169"/>
      <c r="R129" s="1209">
        <f>IF(ISNA(AT129),0,MAX(MIN(AT129-VLOOKUP("Apto en campo: "&amp;$B129,Tabla_Ventajas,3,FALSE)-Tablas!$O272-2*Tablas!$Q272-3*Tablas!$S272,3),1))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3090">
        <f t="shared" si="35"/>
        <v>0</v>
      </c>
      <c r="AC129" s="1706"/>
      <c r="AD129" s="3104">
        <f>'Tablas psiquica'!$AH$68</f>
        <v>0</v>
      </c>
      <c r="AE129" s="302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84">
        <f>IF(AF$123,IF(OR(Region="",ClaseSocial="",Personalización!$AN$21),0,IF(OR(AND(AI129,AJ129),AND(NOT(AI129),NOT(AJ129))),LEFT(AG129,2)+LEFT(AH129,2),0)),0)</f>
        <v>0</v>
      </c>
      <c r="AG129" s="2715" t="e">
        <f>HLOOKUP(Region&amp;ClaseSocial,Tabla_RaicesCulturales,Tablas!F145,FALSE)</f>
        <v>#N/A</v>
      </c>
      <c r="AH129" s="3022">
        <f>IF(AND(E129="Historia",Personalización!$E$26="Historia (Local)"),20&amp;" "&amp;Personalización!$E$26,IF(OR(E129=Personalización!$E$25,E129=Personalización!$E$26),VLOOKUP(E129,Tablas!$L$136:$M$137,2,FALSE),0))</f>
        <v>0</v>
      </c>
      <c r="AI129" s="3022" t="b">
        <f t="shared" si="36"/>
        <v>0</v>
      </c>
      <c r="AJ129" s="3022" t="b">
        <f t="shared" si="37"/>
        <v>0</v>
      </c>
      <c r="AL129" s="1900" t="e">
        <f t="shared" si="38"/>
        <v>#N/A</v>
      </c>
      <c r="AN129" s="1900" t="e">
        <f t="shared" si="39"/>
        <v>#N/A</v>
      </c>
      <c r="AP129" s="1900" t="e">
        <f t="shared" si="40"/>
        <v>#N/A</v>
      </c>
      <c r="AR129" s="1900" t="e">
        <f t="shared" si="41"/>
        <v>#N/A</v>
      </c>
      <c r="AT129" s="1900" t="e">
        <f t="shared" si="42"/>
        <v>#N/A</v>
      </c>
    </row>
    <row r="130" spans="1:46" ht="12" customHeight="1" x14ac:dyDescent="0.2">
      <c r="A130" s="1881"/>
      <c r="B130" s="2157" t="str">
        <f t="shared" si="43"/>
        <v>Atléticas</v>
      </c>
      <c r="C130" s="3636"/>
      <c r="D130" s="3309"/>
      <c r="E130" s="3613" t="s">
        <v>1726</v>
      </c>
      <c r="F130" s="3614"/>
      <c r="G130" s="3614"/>
      <c r="H130" s="2092" t="s">
        <v>1682</v>
      </c>
      <c r="I130" s="2077"/>
      <c r="J130" s="184">
        <f>IF(ISNA(AL130),0,MAX(MIN(AL130-VLOOKUP("Apto en campo: "&amp;$B130,Tabla_Ventajas,3,FALSE)-Tablas!$O273-2*Tablas!$Q273-3*Tablas!$S273,3),1))</f>
        <v>0</v>
      </c>
      <c r="K130" s="1514"/>
      <c r="L130" s="184">
        <f>IF(ISNA(AN130),0,MAX(MIN(AN130-VLOOKUP("Apto en campo: "&amp;$B130,Tabla_Ventajas,3,FALSE)-Tablas!$O273-2*Tablas!$Q273-3*Tablas!$S273,3),1))</f>
        <v>0</v>
      </c>
      <c r="M130" s="1549"/>
      <c r="N130" s="1210">
        <f>IF(ISNA(AP130),0,MAX(MIN(AP130-VLOOKUP("Apto en campo: "&amp;$B130,Tabla_Ventajas,3,FALSE)-Tablas!$O273-2*Tablas!$Q273-3*Tablas!$S273,3),1))</f>
        <v>0</v>
      </c>
      <c r="O130" s="1514"/>
      <c r="P130" s="184">
        <f>IF(ISNA(AR130),0,MAX(MIN(AR130-VLOOKUP("Apto en campo: "&amp;$B130,Tabla_Ventajas,3,FALSE)-Tablas!$O273-2*Tablas!$Q273-3*Tablas!$S273,3),1))</f>
        <v>0</v>
      </c>
      <c r="Q130" s="1549"/>
      <c r="R130" s="1210">
        <f>IF(ISNA(AT130),0,MAX(MIN(AT130-VLOOKUP("Apto en campo: "&amp;$B130,Tabla_Ventajas,3,FALSE)-Tablas!$O273-2*Tablas!$Q273-3*Tablas!$S273,3),1))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3090">
        <f t="shared" si="35"/>
        <v>0</v>
      </c>
      <c r="AC130" s="1706"/>
      <c r="AD130" s="3104">
        <f>'Tablas psiquica'!$AH$68</f>
        <v>0</v>
      </c>
      <c r="AE130" s="302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84">
        <f>IF(AF$123,IF(OR(Region="",ClaseSocial="",Personalización!$AN$21),0,IF(OR(AND(AI130,AJ130),AND(NOT(AI130),NOT(AJ130))),LEFT(AG130,2)+LEFT(AH130,2),0)),0)</f>
        <v>0</v>
      </c>
      <c r="AG130" s="2715" t="e">
        <f>HLOOKUP(Region&amp;ClaseSocial,Tabla_RaicesCulturales,Tablas!F146,FALSE)</f>
        <v>#N/A</v>
      </c>
      <c r="AH130" s="3022">
        <f>IF(AND(E130="Historia",Personalización!$E$26="Historia (Local)"),20&amp;" "&amp;Personalización!$E$26,IF(OR(E130=Personalización!$E$25,E130=Personalización!$E$26),VLOOKUP(E130,Tablas!$L$136:$M$137,2,FALSE),0))</f>
        <v>0</v>
      </c>
      <c r="AI130" s="3022" t="b">
        <f t="shared" si="36"/>
        <v>0</v>
      </c>
      <c r="AJ130" s="3022" t="b">
        <f t="shared" si="37"/>
        <v>0</v>
      </c>
      <c r="AL130" s="1900" t="e">
        <f t="shared" si="38"/>
        <v>#N/A</v>
      </c>
      <c r="AN130" s="1900" t="e">
        <f t="shared" si="39"/>
        <v>#N/A</v>
      </c>
      <c r="AP130" s="1900" t="e">
        <f t="shared" si="40"/>
        <v>#N/A</v>
      </c>
      <c r="AR130" s="1900" t="e">
        <f t="shared" si="41"/>
        <v>#N/A</v>
      </c>
      <c r="AT130" s="1900" t="e">
        <f t="shared" si="42"/>
        <v>#N/A</v>
      </c>
    </row>
    <row r="131" spans="1:46" ht="12" customHeight="1" x14ac:dyDescent="0.2">
      <c r="A131" s="1881"/>
      <c r="B131" s="2157" t="str">
        <f t="shared" si="43"/>
        <v>Atléticas</v>
      </c>
      <c r="C131" s="3636"/>
      <c r="D131" s="3309"/>
      <c r="E131" s="3615" t="s">
        <v>1729</v>
      </c>
      <c r="F131" s="3616"/>
      <c r="G131" s="3616"/>
      <c r="H131" s="2091" t="s">
        <v>1692</v>
      </c>
      <c r="I131" s="2076"/>
      <c r="J131" s="183">
        <f>IF(ISNA(AL131),0,MAX(MIN(AL131-VLOOKUP("Apto en campo: "&amp;$B131,Tabla_Ventajas,3,FALSE)-Tablas!$O274-2*Tablas!$Q274-3*Tablas!$S274,3),1))</f>
        <v>0</v>
      </c>
      <c r="K131" s="1513"/>
      <c r="L131" s="183">
        <f>IF(ISNA(AN131),0,MAX(MIN(AN131-VLOOKUP("Apto en campo: "&amp;$B131,Tabla_Ventajas,3,FALSE)-Tablas!$O274-2*Tablas!$Q274-3*Tablas!$S274,3),1))</f>
        <v>0</v>
      </c>
      <c r="M131" s="169"/>
      <c r="N131" s="1209">
        <f>IF(ISNA(AP131),0,MAX(MIN(AP131-VLOOKUP("Apto en campo: "&amp;$B131,Tabla_Ventajas,3,FALSE)-Tablas!$O274-2*Tablas!$Q274-3*Tablas!$S274,3),1))</f>
        <v>0</v>
      </c>
      <c r="O131" s="1513"/>
      <c r="P131" s="183">
        <f>IF(ISNA(AR131),0,MAX(MIN(AR131-VLOOKUP("Apto en campo: "&amp;$B131,Tabla_Ventajas,3,FALSE)-Tablas!$O274-2*Tablas!$Q274-3*Tablas!$S274,3),1))</f>
        <v>0</v>
      </c>
      <c r="Q131" s="169"/>
      <c r="R131" s="1209">
        <f>IF(ISNA(AT131),0,MAX(MIN(AT131-VLOOKUP("Apto en campo: "&amp;$B131,Tabla_Ventajas,3,FALSE)-Tablas!$O274-2*Tablas!$Q274-3*Tablas!$S274,3),1))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3090">
        <f t="shared" si="35"/>
        <v>0</v>
      </c>
      <c r="AC131" s="1706"/>
      <c r="AD131" s="3104">
        <f>'Tablas psiquica'!AH65+'Tablas psiquica'!$AH$68</f>
        <v>0</v>
      </c>
      <c r="AE131" s="302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84">
        <f>IF(AF$123,IF(OR(Region="",ClaseSocial="",Personalización!$AN$21),0,IF(OR(AND(AI131,AJ131),AND(NOT(AI131),NOT(AJ131))),LEFT(AG131,2)+LEFT(AH131,2),0)),0)</f>
        <v>0</v>
      </c>
      <c r="AG131" s="2715" t="e">
        <f>HLOOKUP(Region&amp;ClaseSocial,Tabla_RaicesCulturales,Tablas!F147,FALSE)</f>
        <v>#N/A</v>
      </c>
      <c r="AH131" s="3022">
        <f>IF(AND(E131="Historia",Personalización!$E$26="Historia (Local)"),20&amp;" "&amp;Personalización!$E$26,IF(OR(E131=Personalización!$E$25,E131=Personalización!$E$26),VLOOKUP(E131,Tablas!$L$136:$M$137,2,FALSE),0))</f>
        <v>0</v>
      </c>
      <c r="AI131" s="3022" t="b">
        <f t="shared" si="36"/>
        <v>0</v>
      </c>
      <c r="AJ131" s="3022" t="b">
        <f t="shared" si="37"/>
        <v>0</v>
      </c>
      <c r="AL131" s="1900" t="e">
        <f t="shared" si="38"/>
        <v>#N/A</v>
      </c>
      <c r="AN131" s="1900" t="e">
        <f t="shared" si="39"/>
        <v>#N/A</v>
      </c>
      <c r="AP131" s="1900" t="e">
        <f t="shared" si="40"/>
        <v>#N/A</v>
      </c>
      <c r="AR131" s="1900" t="e">
        <f t="shared" si="41"/>
        <v>#N/A</v>
      </c>
      <c r="AT131" s="1900" t="e">
        <f t="shared" si="42"/>
        <v>#N/A</v>
      </c>
    </row>
    <row r="132" spans="1:46" ht="12" customHeight="1" x14ac:dyDescent="0.2">
      <c r="A132" s="1881"/>
      <c r="B132" s="2157" t="str">
        <f t="shared" si="43"/>
        <v>Atléticas</v>
      </c>
      <c r="C132" s="3636"/>
      <c r="D132" s="3309"/>
      <c r="E132" s="3613" t="s">
        <v>7754</v>
      </c>
      <c r="F132" s="3614"/>
      <c r="G132" s="3614"/>
      <c r="H132" s="2092" t="s">
        <v>1687</v>
      </c>
      <c r="I132" s="1682"/>
      <c r="J132" s="184">
        <f>IF(ISNA(AL132),0,MAX(MIN(AL132-VLOOKUP("Apto en campo: "&amp;$B132,Tabla_Ventajas,3,FALSE)-Tablas!$O275-2*Tablas!$Q275-3*Tablas!$S275,3),1))</f>
        <v>0</v>
      </c>
      <c r="K132" s="1514"/>
      <c r="L132" s="184">
        <f>IF(ISNA(AN132),0,MAX(MIN(AN132-VLOOKUP("Apto en campo: "&amp;$B132,Tabla_Ventajas,3,FALSE)-Tablas!$O275-2*Tablas!$Q275-3*Tablas!$S275,3),1))</f>
        <v>0</v>
      </c>
      <c r="M132" s="1549"/>
      <c r="N132" s="1210">
        <f>IF(ISNA(AP132),0,MAX(MIN(AP132-VLOOKUP("Apto en campo: "&amp;$B132,Tabla_Ventajas,3,FALSE)-Tablas!$O275-2*Tablas!$Q275-3*Tablas!$S275,3),1))</f>
        <v>0</v>
      </c>
      <c r="O132" s="1514"/>
      <c r="P132" s="184">
        <f>IF(ISNA(AR132),0,MAX(MIN(AR132-VLOOKUP("Apto en campo: "&amp;$B132,Tabla_Ventajas,3,FALSE)-Tablas!$O275-2*Tablas!$Q275-3*Tablas!$S275,3),1))</f>
        <v>0</v>
      </c>
      <c r="Q132" s="1549"/>
      <c r="R132" s="1210">
        <f>IF(ISNA(AT132),0,MAX(MIN(AT132-VLOOKUP("Apto en campo: "&amp;$B132,Tabla_Ventajas,3,FALSE)-Tablas!$O275-2*Tablas!$Q275-3*Tablas!$S275,3),1))</f>
        <v>0</v>
      </c>
      <c r="S132" s="1514"/>
      <c r="T132" s="1522">
        <f t="shared" si="33"/>
        <v>0</v>
      </c>
      <c r="U132" s="1522">
        <f t="shared" si="34"/>
        <v>0</v>
      </c>
      <c r="V132" s="1522">
        <f>IF(ISNA(HLOOKUP($E132,Bonos_Cat_Base,2,FALSE)),0,HLOOKUP($E132,Bonos_Cat_Base,2,FALSE))+Tablas!$Z275*Nivel_Total+10*Y132</f>
        <v>0</v>
      </c>
      <c r="W132" s="1530"/>
      <c r="X132" s="1514"/>
      <c r="Y132" s="1549"/>
      <c r="Z132" s="2886"/>
      <c r="AA132" s="1542">
        <f>IF(AND(T132&lt;5,Tablas!G$303=0),-30,0)+T132+U132+V132+Z132+IF(I132="",0,40)+Bono_ATA+AD132+AF132</f>
        <v>-30</v>
      </c>
      <c r="AB132" s="3090">
        <f t="shared" si="35"/>
        <v>0</v>
      </c>
      <c r="AC132" s="1706"/>
      <c r="AD132" s="3104">
        <f>'Tablas psiquica'!$AH$68</f>
        <v>0</v>
      </c>
      <c r="AE132" s="302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84">
        <f>IF(AF$123,IF(OR(Region="",ClaseSocial="",Personalización!$AN$21),0,IF(OR(AND(AI132,AJ132),AND(NOT(AI132),NOT(AJ132))),LEFT(AG132,2)+LEFT(AH132,2),0)),0)</f>
        <v>0</v>
      </c>
      <c r="AG132" s="2715" t="e">
        <f>HLOOKUP(Region&amp;ClaseSocial,Tabla_RaicesCulturales,Tablas!F148,FALSE)</f>
        <v>#N/A</v>
      </c>
      <c r="AH132" s="3022">
        <f>IF(AND(E132="Historia",Personalización!$E$26="Historia (Local)"),20&amp;" "&amp;Personalización!$E$26,IF(OR(E132=Personalización!$E$25,E132=Personalización!$E$26),VLOOKUP(E132,Tablas!$L$136:$M$137,2,FALSE),0))</f>
        <v>0</v>
      </c>
      <c r="AI132" s="3022" t="b">
        <f t="shared" si="36"/>
        <v>0</v>
      </c>
      <c r="AJ132" s="3022" t="b">
        <f t="shared" si="37"/>
        <v>0</v>
      </c>
      <c r="AL132" s="1900" t="e">
        <f t="shared" si="38"/>
        <v>#N/A</v>
      </c>
      <c r="AN132" s="1900" t="e">
        <f t="shared" si="39"/>
        <v>#N/A</v>
      </c>
      <c r="AP132" s="1900" t="e">
        <f t="shared" si="40"/>
        <v>#N/A</v>
      </c>
      <c r="AR132" s="1900" t="e">
        <f t="shared" si="41"/>
        <v>#N/A</v>
      </c>
      <c r="AT132" s="1900" t="e">
        <f t="shared" si="42"/>
        <v>#N/A</v>
      </c>
    </row>
    <row r="133" spans="1:46" ht="12" customHeight="1" x14ac:dyDescent="0.2">
      <c r="A133" s="1881"/>
      <c r="B133" s="2157" t="str">
        <f>D133</f>
        <v>Sociales</v>
      </c>
      <c r="C133" s="3636"/>
      <c r="D133" s="3860" t="s">
        <v>1732</v>
      </c>
      <c r="E133" s="3611" t="s">
        <v>1733</v>
      </c>
      <c r="F133" s="3612"/>
      <c r="G133" s="3612"/>
      <c r="H133" s="2093" t="s">
        <v>1700</v>
      </c>
      <c r="I133" s="2078"/>
      <c r="J133" s="1508">
        <f>IF(ISNA(AL133),0,MAX(MIN(AL133-VLOOKUP("Apto en campo: "&amp;$B133,Tabla_Ventajas,3,FALSE)-Tablas!$O276-2*Tablas!$Q276-3*Tablas!$S276,3),1))</f>
        <v>0</v>
      </c>
      <c r="K133" s="1518"/>
      <c r="L133" s="1508">
        <f>IF(ISNA(AN133),0,MAX(MIN(AN133-VLOOKUP("Apto en campo: "&amp;$B133,Tabla_Ventajas,3,FALSE)-Tablas!$O276-2*Tablas!$Q276-3*Tablas!$S276,3),1))</f>
        <v>0</v>
      </c>
      <c r="M133" s="1509"/>
      <c r="N133" s="1517">
        <f>IF(ISNA(AP133),0,MAX(MIN(AP133-VLOOKUP("Apto en campo: "&amp;$B133,Tabla_Ventajas,3,FALSE)-Tablas!$O276-2*Tablas!$Q276-3*Tablas!$S276,3),1))</f>
        <v>0</v>
      </c>
      <c r="O133" s="1518"/>
      <c r="P133" s="1508">
        <f>IF(ISNA(AR133),0,MAX(MIN(AR133-VLOOKUP("Apto en campo: "&amp;$B133,Tabla_Ventajas,3,FALSE)-Tablas!$O276-2*Tablas!$Q276-3*Tablas!$S276,3),1))</f>
        <v>0</v>
      </c>
      <c r="Q133" s="1509"/>
      <c r="R133" s="1517">
        <f>IF(ISNA(AT133),0,MAX(MIN(AT133-VLOOKUP("Apto en campo: "&amp;$B133,Tabla_Ventajas,3,FALSE)-Tablas!$O276-2*Tablas!$Q276-3*Tablas!$S276,3),1))</f>
        <v>0</v>
      </c>
      <c r="S133" s="1518"/>
      <c r="T133" s="1524">
        <f t="shared" si="33"/>
        <v>0</v>
      </c>
      <c r="U133" s="1524">
        <f t="shared" si="34"/>
        <v>0</v>
      </c>
      <c r="V133" s="1524">
        <f>IF(ISNA(HLOOKUP($E133,Bonos_Cat_Base,2,FALSE)),0,HLOOKUP($E133,Bonos_Cat_Base,2,FALSE))+Tablas!$Z276*Nivel_Total+10*Y133</f>
        <v>0</v>
      </c>
      <c r="W133" s="1532"/>
      <c r="X133" s="1518"/>
      <c r="Y133" s="1509"/>
      <c r="Z133" s="2887"/>
      <c r="AA133" s="1544">
        <f>IF(AND(T133&lt;5,Tablas!G$303=0),-30,0)+T133+U133+V133+Z133+IF(I133="",0,40)+Bono_ATA-Combate!U16+AD133+AF133</f>
        <v>-30</v>
      </c>
      <c r="AB133" s="3090">
        <f t="shared" si="35"/>
        <v>0</v>
      </c>
      <c r="AC133" s="1706"/>
      <c r="AD133" s="2715">
        <f>Tablas!$K$1833</f>
        <v>0</v>
      </c>
      <c r="AE133" s="302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84">
        <f>IF(AF$123,IF(OR(Region="",ClaseSocial="",Personalización!$AN$21),0,IF(OR(AND(AI133,AJ133),AND(NOT(AI133),NOT(AJ133))),LEFT(AG133,2)+LEFT(AH133,2),0)),0)</f>
        <v>0</v>
      </c>
      <c r="AG133" s="2715" t="e">
        <f>HLOOKUP(Region&amp;ClaseSocial,Tabla_RaicesCulturales,Tablas!F149,FALSE)</f>
        <v>#N/A</v>
      </c>
      <c r="AH133" s="3022">
        <f>IF(AND(E133="Historia",Personalización!$E$26="Historia (Local)"),20&amp;" "&amp;Personalización!$E$26,IF(OR(E133=Personalización!$E$25,E133=Personalización!$E$26),VLOOKUP(E133,Tablas!$L$136:$M$137,2,FALSE),0))</f>
        <v>0</v>
      </c>
      <c r="AI133" s="3022" t="b">
        <f t="shared" si="36"/>
        <v>0</v>
      </c>
      <c r="AJ133" s="3022" t="b">
        <f t="shared" si="37"/>
        <v>0</v>
      </c>
      <c r="AL133" s="1900" t="e">
        <f t="shared" si="38"/>
        <v>#N/A</v>
      </c>
      <c r="AN133" s="1900" t="e">
        <f t="shared" si="39"/>
        <v>#N/A</v>
      </c>
      <c r="AP133" s="1900" t="e">
        <f t="shared" si="40"/>
        <v>#N/A</v>
      </c>
      <c r="AR133" s="1900" t="e">
        <f t="shared" si="41"/>
        <v>#N/A</v>
      </c>
      <c r="AT133" s="1900" t="e">
        <f t="shared" si="42"/>
        <v>#N/A</v>
      </c>
    </row>
    <row r="134" spans="1:46" ht="12" customHeight="1" x14ac:dyDescent="0.2">
      <c r="A134" s="1881"/>
      <c r="B134" s="2157" t="str">
        <f>B133</f>
        <v>Sociales</v>
      </c>
      <c r="C134" s="3636"/>
      <c r="D134" s="3309"/>
      <c r="E134" s="3613" t="s">
        <v>1735</v>
      </c>
      <c r="F134" s="3614"/>
      <c r="G134" s="3614"/>
      <c r="H134" s="2092" t="s">
        <v>1701</v>
      </c>
      <c r="I134" s="2077"/>
      <c r="J134" s="184">
        <f>IF(ISNA(AL134),0,MAX(MIN(AL134-VLOOKUP("Apto en campo: "&amp;$B134,Tabla_Ventajas,3,FALSE)-Tablas!$O277-2*Tablas!$Q277-3*Tablas!$S277,3),1))</f>
        <v>0</v>
      </c>
      <c r="K134" s="1514"/>
      <c r="L134" s="184">
        <f>IF(ISNA(AN134),0,MAX(MIN(AN134-VLOOKUP("Apto en campo: "&amp;$B134,Tabla_Ventajas,3,FALSE)-Tablas!$O277-2*Tablas!$Q277-3*Tablas!$S277,3),1))</f>
        <v>0</v>
      </c>
      <c r="M134" s="1549"/>
      <c r="N134" s="1210">
        <f>IF(ISNA(AP134),0,MAX(MIN(AP134-VLOOKUP("Apto en campo: "&amp;$B134,Tabla_Ventajas,3,FALSE)-Tablas!$O277-2*Tablas!$Q277-3*Tablas!$S277,3),1))</f>
        <v>0</v>
      </c>
      <c r="O134" s="1514"/>
      <c r="P134" s="184">
        <f>IF(ISNA(AR134),0,MAX(MIN(AR134-VLOOKUP("Apto en campo: "&amp;$B134,Tabla_Ventajas,3,FALSE)-Tablas!$O277-2*Tablas!$Q277-3*Tablas!$S277,3),1))</f>
        <v>0</v>
      </c>
      <c r="Q134" s="1549"/>
      <c r="R134" s="1210">
        <f>IF(ISNA(AT134),0,MAX(MIN(AT134-VLOOKUP("Apto en campo: "&amp;$B134,Tabla_Ventajas,3,FALSE)-Tablas!$O277-2*Tablas!$Q277-3*Tablas!$S277,3),1))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3090">
        <f t="shared" si="35"/>
        <v>0</v>
      </c>
      <c r="AC134" s="1706"/>
      <c r="AD134" s="2715">
        <f>Tablas!$K$1797</f>
        <v>0</v>
      </c>
      <c r="AE134" s="302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84">
        <f>IF(AF$123,IF(OR(Region="",ClaseSocial="",Personalización!$AN$21),0,IF(OR(AND(AI134,AJ134),AND(NOT(AI134),NOT(AJ134))),LEFT(AG134,2)+LEFT(AH134,2),0)),0)</f>
        <v>0</v>
      </c>
      <c r="AG134" s="2715" t="e">
        <f>HLOOKUP(Region&amp;ClaseSocial,Tabla_RaicesCulturales,Tablas!F150,FALSE)</f>
        <v>#N/A</v>
      </c>
      <c r="AH134" s="3022">
        <f>IF(AND(E134="Historia",Personalización!$E$26="Historia (Local)"),20&amp;" "&amp;Personalización!$E$26,IF(OR(E134=Personalización!$E$25,E134=Personalización!$E$26),VLOOKUP(E134,Tablas!$L$136:$M$137,2,FALSE),0))</f>
        <v>0</v>
      </c>
      <c r="AI134" s="3022" t="b">
        <f t="shared" si="36"/>
        <v>0</v>
      </c>
      <c r="AJ134" s="3022" t="b">
        <f t="shared" si="37"/>
        <v>0</v>
      </c>
      <c r="AL134" s="1900" t="e">
        <f t="shared" si="38"/>
        <v>#N/A</v>
      </c>
      <c r="AN134" s="1900" t="e">
        <f t="shared" si="39"/>
        <v>#N/A</v>
      </c>
      <c r="AP134" s="1900" t="e">
        <f t="shared" si="40"/>
        <v>#N/A</v>
      </c>
      <c r="AR134" s="1900" t="e">
        <f t="shared" si="41"/>
        <v>#N/A</v>
      </c>
      <c r="AT134" s="1900" t="e">
        <f t="shared" si="42"/>
        <v>#N/A</v>
      </c>
    </row>
    <row r="135" spans="1:46" ht="12" customHeight="1" x14ac:dyDescent="0.2">
      <c r="A135" s="1881"/>
      <c r="B135" s="2157" t="str">
        <f t="shared" ref="B135:B139" si="44">B134</f>
        <v>Sociales</v>
      </c>
      <c r="C135" s="3636"/>
      <c r="D135" s="3309"/>
      <c r="E135" s="3615" t="s">
        <v>1738</v>
      </c>
      <c r="F135" s="3616"/>
      <c r="G135" s="3616"/>
      <c r="H135" s="2091" t="s">
        <v>1700</v>
      </c>
      <c r="I135" s="2076"/>
      <c r="J135" s="183">
        <f>IF(ISNA(AL135),0,MAX(MIN(AL135-VLOOKUP("Apto en campo: "&amp;$B135,Tabla_Ventajas,3,FALSE)-Tablas!$O278-2*Tablas!$Q278-3*Tablas!$S278,3),1))</f>
        <v>0</v>
      </c>
      <c r="K135" s="1513"/>
      <c r="L135" s="183">
        <f>IF(ISNA(AN135),0,MAX(MIN(AN135-VLOOKUP("Apto en campo: "&amp;$B135,Tabla_Ventajas,3,FALSE)-Tablas!$O278-2*Tablas!$Q278-3*Tablas!$S278,3),1))</f>
        <v>0</v>
      </c>
      <c r="M135" s="169"/>
      <c r="N135" s="1209">
        <f>IF(ISNA(AP135),0,MAX(MIN(AP135-VLOOKUP("Apto en campo: "&amp;$B135,Tabla_Ventajas,3,FALSE)-Tablas!$O278-2*Tablas!$Q278-3*Tablas!$S278,3),1))</f>
        <v>0</v>
      </c>
      <c r="O135" s="1513"/>
      <c r="P135" s="183">
        <f>IF(ISNA(AR135),0,MAX(MIN(AR135-VLOOKUP("Apto en campo: "&amp;$B135,Tabla_Ventajas,3,FALSE)-Tablas!$O278-2*Tablas!$Q278-3*Tablas!$S278,3),1))</f>
        <v>0</v>
      </c>
      <c r="Q135" s="169"/>
      <c r="R135" s="1209">
        <f>IF(ISNA(AT135),0,MAX(MIN(AT135-VLOOKUP("Apto en campo: "&amp;$B135,Tabla_Ventajas,3,FALSE)-Tablas!$O278-2*Tablas!$Q278-3*Tablas!$S278,3),1))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3090">
        <f t="shared" si="35"/>
        <v>0</v>
      </c>
      <c r="AC135" s="1706"/>
      <c r="AD135" s="2715">
        <f>Tablas!$K$1742+Tablas!$K$1808</f>
        <v>0</v>
      </c>
      <c r="AE135" s="302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84">
        <f>IF(AF$123,IF(OR(Region="",ClaseSocial="",Personalización!$AN$21),0,IF(OR(AND(AI135,AJ135),AND(NOT(AI135),NOT(AJ135))),LEFT(AG135,2)+LEFT(AH135,2),0)),0)</f>
        <v>0</v>
      </c>
      <c r="AG135" s="2715" t="e">
        <f>HLOOKUP(Region&amp;ClaseSocial,Tabla_RaicesCulturales,Tablas!F151,FALSE)</f>
        <v>#N/A</v>
      </c>
      <c r="AH135" s="3022">
        <f>IF(AND(E135="Historia",Personalización!$E$26="Historia (Local)"),20&amp;" "&amp;Personalización!$E$26,IF(OR(E135=Personalización!$E$25,E135=Personalización!$E$26),VLOOKUP(E135,Tablas!$L$136:$M$137,2,FALSE),0))</f>
        <v>0</v>
      </c>
      <c r="AI135" s="3022" t="b">
        <f t="shared" si="36"/>
        <v>0</v>
      </c>
      <c r="AJ135" s="3022" t="b">
        <f t="shared" si="37"/>
        <v>0</v>
      </c>
      <c r="AL135" s="1900" t="e">
        <f t="shared" si="38"/>
        <v>#N/A</v>
      </c>
      <c r="AN135" s="1900" t="e">
        <f t="shared" si="39"/>
        <v>#N/A</v>
      </c>
      <c r="AP135" s="1900" t="e">
        <f t="shared" si="40"/>
        <v>#N/A</v>
      </c>
      <c r="AR135" s="1900" t="e">
        <f t="shared" si="41"/>
        <v>#N/A</v>
      </c>
      <c r="AT135" s="1900" t="e">
        <f t="shared" si="42"/>
        <v>#N/A</v>
      </c>
    </row>
    <row r="136" spans="1:46" ht="12" customHeight="1" x14ac:dyDescent="0.2">
      <c r="A136" s="1881"/>
      <c r="B136" s="2157" t="str">
        <f t="shared" si="44"/>
        <v>Sociales</v>
      </c>
      <c r="C136" s="3636"/>
      <c r="D136" s="3309"/>
      <c r="E136" s="3613" t="s">
        <v>1740</v>
      </c>
      <c r="F136" s="3614"/>
      <c r="G136" s="3614"/>
      <c r="H136" s="2092" t="s">
        <v>1695</v>
      </c>
      <c r="I136" s="2077"/>
      <c r="J136" s="184">
        <f>IF(ISNA(AL136),0,MAX(MIN(AL136-VLOOKUP("Apto en campo: "&amp;$B136,Tabla_Ventajas,3,FALSE)-Tablas!$O279-2*Tablas!$Q279-3*Tablas!$S279,3),1))</f>
        <v>0</v>
      </c>
      <c r="K136" s="1514"/>
      <c r="L136" s="184">
        <f>IF(ISNA(AN136),0,MAX(MIN(AN136-VLOOKUP("Apto en campo: "&amp;$B136,Tabla_Ventajas,3,FALSE)-Tablas!$O279-2*Tablas!$Q279-3*Tablas!$S279,3),1))</f>
        <v>0</v>
      </c>
      <c r="M136" s="1549"/>
      <c r="N136" s="1210">
        <f>IF(ISNA(AP136),0,MAX(MIN(AP136-VLOOKUP("Apto en campo: "&amp;$B136,Tabla_Ventajas,3,FALSE)-Tablas!$O279-2*Tablas!$Q279-3*Tablas!$S279,3),1))</f>
        <v>0</v>
      </c>
      <c r="O136" s="1514"/>
      <c r="P136" s="184">
        <f>IF(ISNA(AR136),0,MAX(MIN(AR136-VLOOKUP("Apto en campo: "&amp;$B136,Tabla_Ventajas,3,FALSE)-Tablas!$O279-2*Tablas!$Q279-3*Tablas!$S279,3),1))</f>
        <v>0</v>
      </c>
      <c r="Q136" s="1549"/>
      <c r="R136" s="1210">
        <f>IF(ISNA(AT136),0,MAX(MIN(AT136-VLOOKUP("Apto en campo: "&amp;$B136,Tabla_Ventajas,3,FALSE)-Tablas!$O279-2*Tablas!$Q279-3*Tablas!$S279,3),1))</f>
        <v>0</v>
      </c>
      <c r="S136" s="1514"/>
      <c r="T136" s="1522">
        <f t="shared" si="33"/>
        <v>0</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-30</v>
      </c>
      <c r="AB136" s="3090">
        <f t="shared" si="35"/>
        <v>0</v>
      </c>
      <c r="AC136" s="1706"/>
      <c r="AD136" s="2715">
        <f>Tablas!$K$1742</f>
        <v>0</v>
      </c>
      <c r="AE136" s="302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84">
        <f>IF(AF$123,IF(OR(Region="",ClaseSocial="",Personalización!$AN$21),0,IF(OR(AND(AI136,AJ136),AND(NOT(AI136),NOT(AJ136))),LEFT(AG136,2)+LEFT(AH136,2),0)),0)</f>
        <v>0</v>
      </c>
      <c r="AG136" s="2715" t="e">
        <f>HLOOKUP(Region&amp;ClaseSocial,Tabla_RaicesCulturales,Tablas!F152,FALSE)</f>
        <v>#N/A</v>
      </c>
      <c r="AH136" s="3022">
        <f>IF(AND(E136="Historia",Personalización!$E$26="Historia (Local)"),20&amp;" "&amp;Personalización!$E$26,IF(OR(E136=Personalización!$E$25,E136=Personalización!$E$26),VLOOKUP(E136,Tablas!$L$136:$M$137,2,FALSE),0))</f>
        <v>0</v>
      </c>
      <c r="AI136" s="3022" t="b">
        <f t="shared" si="36"/>
        <v>0</v>
      </c>
      <c r="AJ136" s="3022" t="b">
        <f t="shared" si="37"/>
        <v>0</v>
      </c>
      <c r="AL136" s="1900" t="e">
        <f t="shared" si="38"/>
        <v>#N/A</v>
      </c>
      <c r="AN136" s="1900" t="e">
        <f t="shared" si="39"/>
        <v>#N/A</v>
      </c>
      <c r="AP136" s="1900" t="e">
        <f t="shared" si="40"/>
        <v>#N/A</v>
      </c>
      <c r="AR136" s="1900" t="e">
        <f t="shared" si="41"/>
        <v>#N/A</v>
      </c>
      <c r="AT136" s="1900" t="e">
        <f t="shared" si="42"/>
        <v>#N/A</v>
      </c>
    </row>
    <row r="137" spans="1:46" ht="12" customHeight="1" x14ac:dyDescent="0.2">
      <c r="A137" s="1881"/>
      <c r="B137" s="2157" t="str">
        <f t="shared" si="44"/>
        <v>Sociales</v>
      </c>
      <c r="C137" s="3636"/>
      <c r="D137" s="3309"/>
      <c r="E137" s="3615" t="s">
        <v>1085</v>
      </c>
      <c r="F137" s="3616"/>
      <c r="G137" s="3616"/>
      <c r="H137" s="2091" t="s">
        <v>1695</v>
      </c>
      <c r="I137" s="1681"/>
      <c r="J137" s="183">
        <f>IF(ISNA(AL137),0,MAX(MIN(AL137-VLOOKUP("Apto en campo: "&amp;$B137,Tabla_Ventajas,3,FALSE)-Tablas!$O280-2*Tablas!$Q280-3*Tablas!$S280,3),1))</f>
        <v>0</v>
      </c>
      <c r="K137" s="1513"/>
      <c r="L137" s="183">
        <f>IF(ISNA(AN137),0,MAX(MIN(AN137-VLOOKUP("Apto en campo: "&amp;$B137,Tabla_Ventajas,3,FALSE)-Tablas!$O280-2*Tablas!$Q280-3*Tablas!$S280,3),1))</f>
        <v>0</v>
      </c>
      <c r="M137" s="169"/>
      <c r="N137" s="1209">
        <f>IF(ISNA(AP137),0,MAX(MIN(AP137-VLOOKUP("Apto en campo: "&amp;$B137,Tabla_Ventajas,3,FALSE)-Tablas!$O280-2*Tablas!$Q280-3*Tablas!$S280,3),1))</f>
        <v>0</v>
      </c>
      <c r="O137" s="1513"/>
      <c r="P137" s="183">
        <f>IF(ISNA(AR137),0,MAX(MIN(AR137-VLOOKUP("Apto en campo: "&amp;$B137,Tabla_Ventajas,3,FALSE)-Tablas!$O280-2*Tablas!$Q280-3*Tablas!$S280,3),1))</f>
        <v>0</v>
      </c>
      <c r="Q137" s="169"/>
      <c r="R137" s="1209">
        <f>IF(ISNA(AT137),0,MAX(MIN(AT137-VLOOKUP("Apto en campo: "&amp;$B137,Tabla_Ventajas,3,FALSE)-Tablas!$O280-2*Tablas!$Q280-3*Tablas!$S280,3),1))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3090">
        <f t="shared" si="35"/>
        <v>0</v>
      </c>
      <c r="AC137" s="1706"/>
      <c r="AE137" s="302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84">
        <f>IF(AF$123,IF(OR(Region="",ClaseSocial="",Personalización!$AN$21),0,IF(OR(AND(AI137,AJ137),AND(NOT(AI137),NOT(AJ137))),LEFT(AG137,2)+LEFT(AH137,2),0)),0)</f>
        <v>0</v>
      </c>
      <c r="AG137" s="2715" t="e">
        <f>HLOOKUP(Region&amp;ClaseSocial,Tabla_RaicesCulturales,Tablas!F153,FALSE)</f>
        <v>#N/A</v>
      </c>
      <c r="AH137" s="3022">
        <f>IF(AND(E137="Historia",Personalización!$E$26="Historia (Local)"),20&amp;" "&amp;Personalización!$E$26,IF(OR(E137=Personalización!$E$25,E137=Personalización!$E$26),VLOOKUP(E137,Tablas!$L$136:$M$137,2,FALSE),0))</f>
        <v>0</v>
      </c>
      <c r="AI137" s="3022" t="b">
        <f t="shared" si="36"/>
        <v>0</v>
      </c>
      <c r="AJ137" s="3022" t="b">
        <f t="shared" si="37"/>
        <v>0</v>
      </c>
      <c r="AL137" s="1900" t="e">
        <f t="shared" si="38"/>
        <v>#N/A</v>
      </c>
      <c r="AN137" s="1900" t="e">
        <f t="shared" si="39"/>
        <v>#N/A</v>
      </c>
      <c r="AP137" s="1900" t="e">
        <f t="shared" si="40"/>
        <v>#N/A</v>
      </c>
      <c r="AR137" s="1900" t="e">
        <f t="shared" si="41"/>
        <v>#N/A</v>
      </c>
      <c r="AT137" s="1900" t="e">
        <f t="shared" si="42"/>
        <v>#N/A</v>
      </c>
    </row>
    <row r="138" spans="1:46" ht="12" customHeight="1" x14ac:dyDescent="0.2">
      <c r="A138" s="1881"/>
      <c r="B138" s="2157" t="str">
        <f t="shared" si="44"/>
        <v>Sociales</v>
      </c>
      <c r="C138" s="3636"/>
      <c r="D138" s="3309"/>
      <c r="E138" s="3613" t="s">
        <v>1086</v>
      </c>
      <c r="F138" s="3614"/>
      <c r="G138" s="3614"/>
      <c r="H138" s="2092" t="s">
        <v>1695</v>
      </c>
      <c r="I138" s="2077"/>
      <c r="J138" s="184">
        <f>IF(ISNA(AL138),0,MAX(MIN(AL138-VLOOKUP("Apto en campo: "&amp;$B138,Tabla_Ventajas,3,FALSE)-Tablas!$O281-2*Tablas!$Q281-3*Tablas!$S281,3),1))</f>
        <v>0</v>
      </c>
      <c r="K138" s="1514"/>
      <c r="L138" s="184">
        <f>IF(ISNA(AN138),0,MAX(MIN(AN138-VLOOKUP("Apto en campo: "&amp;$B138,Tabla_Ventajas,3,FALSE)-Tablas!$O281-2*Tablas!$Q281-3*Tablas!$S281,3),1))</f>
        <v>0</v>
      </c>
      <c r="M138" s="1549"/>
      <c r="N138" s="1210">
        <f>IF(ISNA(AP138),0,MAX(MIN(AP138-VLOOKUP("Apto en campo: "&amp;$B138,Tabla_Ventajas,3,FALSE)-Tablas!$O281-2*Tablas!$Q281-3*Tablas!$S281,3),1))</f>
        <v>0</v>
      </c>
      <c r="O138" s="1514"/>
      <c r="P138" s="184">
        <f>IF(ISNA(AR138),0,MAX(MIN(AR138-VLOOKUP("Apto en campo: "&amp;$B138,Tabla_Ventajas,3,FALSE)-Tablas!$O281-2*Tablas!$Q281-3*Tablas!$S281,3),1))</f>
        <v>0</v>
      </c>
      <c r="Q138" s="1549"/>
      <c r="R138" s="1210">
        <f>IF(ISNA(AT138),0,MAX(MIN(AT138-VLOOKUP("Apto en campo: "&amp;$B138,Tabla_Ventajas,3,FALSE)-Tablas!$O281-2*Tablas!$Q281-3*Tablas!$S281,3),1))</f>
        <v>0</v>
      </c>
      <c r="S138" s="1514"/>
      <c r="T138" s="1522">
        <f t="shared" si="33"/>
        <v>0</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-30</v>
      </c>
      <c r="AB138" s="3090">
        <f t="shared" si="35"/>
        <v>0</v>
      </c>
      <c r="AC138" s="1706"/>
      <c r="AE138" s="302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84">
        <f>IF(AF$123,IF(OR(Region="",ClaseSocial="",Personalización!$AN$21),0,IF(OR(AND(AI138,AJ138),AND(NOT(AI138),NOT(AJ138))),LEFT(AG138,2)+LEFT(AH138,2),0)),0)</f>
        <v>0</v>
      </c>
      <c r="AG138" s="2715" t="e">
        <f>HLOOKUP(Region&amp;ClaseSocial,Tabla_RaicesCulturales,Tablas!F154,FALSE)</f>
        <v>#N/A</v>
      </c>
      <c r="AH138" s="3022">
        <f>IF(AND(E138="Historia",Personalización!$E$26="Historia (Local)"),20&amp;" "&amp;Personalización!$E$26,IF(OR(E138=Personalización!$E$25,E138=Personalización!$E$26),VLOOKUP(E138,Tablas!$L$136:$M$137,2,FALSE),0))</f>
        <v>0</v>
      </c>
      <c r="AI138" s="3022" t="b">
        <f t="shared" si="36"/>
        <v>0</v>
      </c>
      <c r="AJ138" s="3022" t="b">
        <f t="shared" si="37"/>
        <v>0</v>
      </c>
      <c r="AL138" s="1900" t="e">
        <f t="shared" si="38"/>
        <v>#N/A</v>
      </c>
      <c r="AN138" s="1900" t="e">
        <f t="shared" si="39"/>
        <v>#N/A</v>
      </c>
      <c r="AP138" s="1900" t="e">
        <f t="shared" si="40"/>
        <v>#N/A</v>
      </c>
      <c r="AR138" s="1900" t="e">
        <f t="shared" si="41"/>
        <v>#N/A</v>
      </c>
      <c r="AT138" s="1900" t="e">
        <f t="shared" si="42"/>
        <v>#N/A</v>
      </c>
    </row>
    <row r="139" spans="1:46" ht="12" customHeight="1" x14ac:dyDescent="0.2">
      <c r="A139" s="1881"/>
      <c r="B139" s="2157" t="str">
        <f t="shared" si="44"/>
        <v>Sociales</v>
      </c>
      <c r="C139" s="3636"/>
      <c r="D139" s="3310"/>
      <c r="E139" s="3862" t="s">
        <v>1087</v>
      </c>
      <c r="F139" s="3863"/>
      <c r="G139" s="3863"/>
      <c r="H139" s="2094" t="s">
        <v>1695</v>
      </c>
      <c r="I139" s="2079"/>
      <c r="J139" s="1213">
        <f>IF(ISNA(AL139),0,MAX(MIN(AL139-VLOOKUP("Apto en campo: "&amp;$B139,Tabla_Ventajas,3,FALSE)-Tablas!$O282-2*Tablas!$Q282-3*Tablas!$S282,3),1))</f>
        <v>0</v>
      </c>
      <c r="K139" s="1519"/>
      <c r="L139" s="1213">
        <f>IF(ISNA(AN139),0,MAX(MIN(AN139-VLOOKUP("Apto en campo: "&amp;$B139,Tabla_Ventajas,3,FALSE)-Tablas!$O282-2*Tablas!$Q282-3*Tablas!$S282,3),1))</f>
        <v>0</v>
      </c>
      <c r="M139" s="1510"/>
      <c r="N139" s="1211">
        <f>IF(ISNA(AP139),0,MAX(MIN(AP139-VLOOKUP("Apto en campo: "&amp;$B139,Tabla_Ventajas,3,FALSE)-Tablas!$O282-2*Tablas!$Q282-3*Tablas!$S282,3),1))</f>
        <v>0</v>
      </c>
      <c r="O139" s="1519"/>
      <c r="P139" s="1213">
        <f>IF(ISNA(AR139),0,MAX(MIN(AR139-VLOOKUP("Apto en campo: "&amp;$B139,Tabla_Ventajas,3,FALSE)-Tablas!$O282-2*Tablas!$Q282-3*Tablas!$S282,3),1))</f>
        <v>0</v>
      </c>
      <c r="Q139" s="1510"/>
      <c r="R139" s="1211">
        <f>IF(ISNA(AT139),0,MAX(MIN(AT139-VLOOKUP("Apto en campo: "&amp;$B139,Tabla_Ventajas,3,FALSE)-Tablas!$O282-2*Tablas!$Q282-3*Tablas!$S282,3),1))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3090">
        <f t="shared" si="35"/>
        <v>0</v>
      </c>
      <c r="AC139" s="1706"/>
      <c r="AE139" s="302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84">
        <f>IF(AF$123,IF(OR(Region="",ClaseSocial="",Personalización!$AN$21),0,IF(OR(AND(AI139,AJ139),AND(NOT(AI139),NOT(AJ139))),LEFT(AG139,2)+LEFT(AH139,2),0)),0)</f>
        <v>0</v>
      </c>
      <c r="AG139" s="2715" t="e">
        <f>HLOOKUP(Region&amp;ClaseSocial,Tabla_RaicesCulturales,Tablas!F155,FALSE)</f>
        <v>#N/A</v>
      </c>
      <c r="AH139" s="3022">
        <f>IF(AND(E139="Historia",Personalización!$E$26="Historia (Local)"),20&amp;" "&amp;Personalización!$E$26,IF(OR(E139=Personalización!$E$25,E139=Personalización!$E$26),VLOOKUP(E139,Tablas!$L$136:$M$137,2,FALSE),0))</f>
        <v>0</v>
      </c>
      <c r="AI139" s="3022" t="b">
        <f t="shared" si="36"/>
        <v>0</v>
      </c>
      <c r="AJ139" s="3022" t="b">
        <f t="shared" si="37"/>
        <v>0</v>
      </c>
      <c r="AL139" s="1900" t="e">
        <f t="shared" si="38"/>
        <v>#N/A</v>
      </c>
      <c r="AN139" s="1900" t="e">
        <f t="shared" si="39"/>
        <v>#N/A</v>
      </c>
      <c r="AP139" s="1900" t="e">
        <f t="shared" si="40"/>
        <v>#N/A</v>
      </c>
      <c r="AR139" s="1900" t="e">
        <f t="shared" si="41"/>
        <v>#N/A</v>
      </c>
      <c r="AT139" s="1900" t="e">
        <f t="shared" si="42"/>
        <v>#N/A</v>
      </c>
    </row>
    <row r="140" spans="1:46" ht="12" customHeight="1" x14ac:dyDescent="0.2">
      <c r="A140" s="1881"/>
      <c r="B140" s="2157" t="str">
        <f>"Perceptivas"</f>
        <v>Perceptivas</v>
      </c>
      <c r="C140" s="3636"/>
      <c r="D140" s="3309" t="s">
        <v>8695</v>
      </c>
      <c r="E140" s="3613" t="s">
        <v>1742</v>
      </c>
      <c r="F140" s="3614"/>
      <c r="G140" s="3614"/>
      <c r="H140" s="2092" t="s">
        <v>1698</v>
      </c>
      <c r="I140" s="2077"/>
      <c r="J140" s="184">
        <f>IF(ISNA(AL140),0,MAX(MIN(AL140-VLOOKUP("Apto en campo: "&amp;$B140,Tabla_Ventajas,3,FALSE)-Tablas!$O283-2*Tablas!$Q283-3*Tablas!$S283,3),1))</f>
        <v>0</v>
      </c>
      <c r="K140" s="1514"/>
      <c r="L140" s="184">
        <f>IF(ISNA(AN140),0,MAX(MIN(AN140-VLOOKUP("Apto en campo: "&amp;$B140,Tabla_Ventajas,3,FALSE)-Tablas!$O283-2*Tablas!$Q283-3*Tablas!$S283,3),1))</f>
        <v>0</v>
      </c>
      <c r="M140" s="1549"/>
      <c r="N140" s="1210">
        <f>IF(ISNA(AP140),0,MAX(MIN(AP140-VLOOKUP("Apto en campo: "&amp;$B140,Tabla_Ventajas,3,FALSE)-Tablas!$O283-2*Tablas!$Q283-3*Tablas!$S283,3),1))</f>
        <v>0</v>
      </c>
      <c r="O140" s="1514"/>
      <c r="P140" s="184">
        <f>IF(ISNA(AR140),0,MAX(MIN(AR140-VLOOKUP("Apto en campo: "&amp;$B140,Tabla_Ventajas,3,FALSE)-Tablas!$O283-2*Tablas!$Q283-3*Tablas!$S283,3),1))</f>
        <v>0</v>
      </c>
      <c r="Q140" s="1549"/>
      <c r="R140" s="1210">
        <f>IF(ISNA(AT140),0,MAX(MIN(AT140-VLOOKUP("Apto en campo: "&amp;$B140,Tabla_Ventajas,3,FALSE)-Tablas!$O283-2*Tablas!$Q283-3*Tablas!$S283,3),1))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3090">
        <f t="shared" si="35"/>
        <v>0</v>
      </c>
      <c r="AC140" s="1706"/>
      <c r="AD140" s="2715">
        <f>IF(Raza="Tuan Dalyr",80,50)*Tablas!G271+IF(Raza="Turak",IF(COUNTIF(Cercanía_Dragón,"Descomunales")&gt;0,1,0),0)</f>
        <v>0</v>
      </c>
      <c r="AE140" s="302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84">
        <f>IF(AF$123,IF(OR(Region="",ClaseSocial="",Personalización!$AN$21),0,IF(OR(AND(AI140,AJ140),AND(NOT(AI140),NOT(AJ140))),LEFT(AG140,2)+LEFT(AH140,2),0)),0)</f>
        <v>0</v>
      </c>
      <c r="AG140" s="2715" t="e">
        <f>HLOOKUP(Region&amp;ClaseSocial,Tabla_RaicesCulturales,Tablas!F156,FALSE)</f>
        <v>#N/A</v>
      </c>
      <c r="AH140" s="3022">
        <f>IF(AND(E140="Historia",Personalización!$E$26="Historia (Local)"),20&amp;" "&amp;Personalización!$E$26,IF(OR(E140=Personalización!$E$25,E140=Personalización!$E$26),VLOOKUP(E140,Tablas!$L$136:$M$137,2,FALSE),0))</f>
        <v>0</v>
      </c>
      <c r="AI140" s="3022" t="b">
        <f t="shared" si="36"/>
        <v>0</v>
      </c>
      <c r="AJ140" s="3022" t="b">
        <f t="shared" si="37"/>
        <v>0</v>
      </c>
      <c r="AL140" s="1900" t="e">
        <f t="shared" si="38"/>
        <v>#N/A</v>
      </c>
      <c r="AN140" s="1900" t="e">
        <f t="shared" si="39"/>
        <v>#N/A</v>
      </c>
      <c r="AP140" s="1900" t="e">
        <f t="shared" si="40"/>
        <v>#N/A</v>
      </c>
      <c r="AR140" s="1900" t="e">
        <f t="shared" si="41"/>
        <v>#N/A</v>
      </c>
      <c r="AT140" s="1900" t="e">
        <f t="shared" si="42"/>
        <v>#N/A</v>
      </c>
    </row>
    <row r="141" spans="1:46" ht="12" customHeight="1" x14ac:dyDescent="0.2">
      <c r="A141" s="1881"/>
      <c r="B141" s="2157" t="str">
        <f>B140</f>
        <v>Perceptivas</v>
      </c>
      <c r="C141" s="3636"/>
      <c r="D141" s="3309"/>
      <c r="E141" s="3615" t="s">
        <v>1743</v>
      </c>
      <c r="F141" s="3616"/>
      <c r="G141" s="3616"/>
      <c r="H141" s="2091" t="s">
        <v>1698</v>
      </c>
      <c r="I141" s="2076"/>
      <c r="J141" s="183">
        <f>IF(ISNA(AL141),0,MAX(MIN(AL141-VLOOKUP("Apto en campo: "&amp;$B141,Tabla_Ventajas,3,FALSE)-Tablas!$O284-2*Tablas!$Q284-3*Tablas!$S284,3),1))</f>
        <v>0</v>
      </c>
      <c r="K141" s="1513"/>
      <c r="L141" s="183">
        <f>IF(ISNA(AN141),0,MAX(MIN(AN141-VLOOKUP("Apto en campo: "&amp;$B141,Tabla_Ventajas,3,FALSE)-Tablas!$O284-2*Tablas!$Q284-3*Tablas!$S284,3),1))</f>
        <v>0</v>
      </c>
      <c r="M141" s="169"/>
      <c r="N141" s="1209">
        <f>IF(ISNA(AP141),0,MAX(MIN(AP141-VLOOKUP("Apto en campo: "&amp;$B141,Tabla_Ventajas,3,FALSE)-Tablas!$O284-2*Tablas!$Q284-3*Tablas!$S284,3),1))</f>
        <v>0</v>
      </c>
      <c r="O141" s="1513"/>
      <c r="P141" s="183">
        <f>IF(ISNA(AR141),0,MAX(MIN(AR141-VLOOKUP("Apto en campo: "&amp;$B141,Tabla_Ventajas,3,FALSE)-Tablas!$O284-2*Tablas!$Q284-3*Tablas!$S284,3),1))</f>
        <v>0</v>
      </c>
      <c r="Q141" s="169"/>
      <c r="R141" s="1209">
        <f>IF(ISNA(AT141),0,MAX(MIN(AT141-VLOOKUP("Apto en campo: "&amp;$B141,Tabla_Ventajas,3,FALSE)-Tablas!$O284-2*Tablas!$Q284-3*Tablas!$S284,3),1))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3090">
        <f t="shared" si="35"/>
        <v>0</v>
      </c>
      <c r="AC141" s="1706"/>
      <c r="AD141" s="2715">
        <f>IF(Raza="Tuan Dalyr",80,50)*Tablas!G271</f>
        <v>0</v>
      </c>
      <c r="AE141" s="302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84">
        <f>IF(AF$123,IF(OR(Region="",ClaseSocial="",Personalización!$AN$21),0,IF(OR(AND(AI141,AJ141),AND(NOT(AI141),NOT(AJ141))),LEFT(AG141,2)+LEFT(AH141,2),0)),0)</f>
        <v>0</v>
      </c>
      <c r="AG141" s="2715" t="e">
        <f>HLOOKUP(Region&amp;ClaseSocial,Tabla_RaicesCulturales,Tablas!F157,FALSE)</f>
        <v>#N/A</v>
      </c>
      <c r="AH141" s="3022">
        <f>IF(AND(E141="Historia",Personalización!$E$26="Historia (Local)"),20&amp;" "&amp;Personalización!$E$26,IF(OR(E141=Personalización!$E$25,E141=Personalización!$E$26),VLOOKUP(E141,Tablas!$L$136:$M$137,2,FALSE),0))</f>
        <v>0</v>
      </c>
      <c r="AI141" s="3022" t="b">
        <f t="shared" si="36"/>
        <v>0</v>
      </c>
      <c r="AJ141" s="3022" t="b">
        <f t="shared" si="37"/>
        <v>0</v>
      </c>
      <c r="AL141" s="1900" t="e">
        <f t="shared" si="38"/>
        <v>#N/A</v>
      </c>
      <c r="AN141" s="1900" t="e">
        <f t="shared" si="39"/>
        <v>#N/A</v>
      </c>
      <c r="AP141" s="1900" t="e">
        <f t="shared" si="40"/>
        <v>#N/A</v>
      </c>
      <c r="AR141" s="1900" t="e">
        <f t="shared" si="41"/>
        <v>#N/A</v>
      </c>
      <c r="AT141" s="1900" t="e">
        <f t="shared" si="42"/>
        <v>#N/A</v>
      </c>
    </row>
    <row r="142" spans="1:46" ht="12" customHeight="1" x14ac:dyDescent="0.2">
      <c r="A142" s="1881"/>
      <c r="B142" s="2157" t="str">
        <f>B141</f>
        <v>Perceptivas</v>
      </c>
      <c r="C142" s="3636"/>
      <c r="D142" s="3309"/>
      <c r="E142" s="3613" t="s">
        <v>1744</v>
      </c>
      <c r="F142" s="3614"/>
      <c r="G142" s="3614"/>
      <c r="H142" s="2092" t="s">
        <v>1698</v>
      </c>
      <c r="I142" s="2077"/>
      <c r="J142" s="184">
        <f>IF(ISNA(AL142),0,MAX(MIN(AL142-VLOOKUP("Apto en campo: "&amp;$B142,Tabla_Ventajas,3,FALSE)-Tablas!$O285-2*Tablas!$Q285-3*Tablas!$S285,3),1))</f>
        <v>0</v>
      </c>
      <c r="K142" s="1514"/>
      <c r="L142" s="184">
        <f>IF(ISNA(AN142),0,MAX(MIN(AN142-VLOOKUP("Apto en campo: "&amp;$B142,Tabla_Ventajas,3,FALSE)-Tablas!$O285-2*Tablas!$Q285-3*Tablas!$S285,3),1))</f>
        <v>0</v>
      </c>
      <c r="M142" s="1549"/>
      <c r="N142" s="1210">
        <f>IF(ISNA(AP142),0,MAX(MIN(AP142-VLOOKUP("Apto en campo: "&amp;$B142,Tabla_Ventajas,3,FALSE)-Tablas!$O285-2*Tablas!$Q285-3*Tablas!$S285,3),1))</f>
        <v>0</v>
      </c>
      <c r="O142" s="1514"/>
      <c r="P142" s="184">
        <f>IF(ISNA(AR142),0,MAX(MIN(AR142-VLOOKUP("Apto en campo: "&amp;$B142,Tabla_Ventajas,3,FALSE)-Tablas!$O285-2*Tablas!$Q285-3*Tablas!$S285,3),1))</f>
        <v>0</v>
      </c>
      <c r="Q142" s="1549"/>
      <c r="R142" s="1210">
        <f>IF(ISNA(AT142),0,MAX(MIN(AT142-VLOOKUP("Apto en campo: "&amp;$B142,Tabla_Ventajas,3,FALSE)-Tablas!$O285-2*Tablas!$Q285-3*Tablas!$S285,3),1))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3090">
        <f t="shared" si="35"/>
        <v>0</v>
      </c>
      <c r="AC142" s="1706"/>
      <c r="AE142" s="302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84">
        <f>IF(AF$123,IF(OR(Region="",ClaseSocial="",Personalización!$AN$21),0,IF(OR(AND(AI142,AJ142),AND(NOT(AI142),NOT(AJ142))),LEFT(AG142,2)+LEFT(AH142,2),0)),0)</f>
        <v>0</v>
      </c>
      <c r="AG142" s="2715" t="e">
        <f>HLOOKUP(Region&amp;ClaseSocial,Tabla_RaicesCulturales,Tablas!F158,FALSE)</f>
        <v>#N/A</v>
      </c>
      <c r="AH142" s="3022">
        <f>IF(AND(E142="Historia",Personalización!$E$26="Historia (Local)"),20&amp;" "&amp;Personalización!$E$26,IF(OR(E142=Personalización!$E$25,E142=Personalización!$E$26),VLOOKUP(E142,Tablas!$L$136:$M$137,2,FALSE),0))</f>
        <v>0</v>
      </c>
      <c r="AI142" s="3022" t="b">
        <f t="shared" si="36"/>
        <v>0</v>
      </c>
      <c r="AJ142" s="3022" t="b">
        <f t="shared" si="37"/>
        <v>0</v>
      </c>
      <c r="AL142" s="1900" t="e">
        <f t="shared" si="38"/>
        <v>#N/A</v>
      </c>
      <c r="AN142" s="1900" t="e">
        <f t="shared" si="39"/>
        <v>#N/A</v>
      </c>
      <c r="AP142" s="1900" t="e">
        <f t="shared" si="40"/>
        <v>#N/A</v>
      </c>
      <c r="AR142" s="1900" t="e">
        <f t="shared" si="41"/>
        <v>#N/A</v>
      </c>
      <c r="AT142" s="1900" t="e">
        <f t="shared" si="42"/>
        <v>#N/A</v>
      </c>
    </row>
    <row r="143" spans="1:46" ht="12" customHeight="1" x14ac:dyDescent="0.2">
      <c r="A143" s="1881"/>
      <c r="B143" s="2157" t="str">
        <f>D143</f>
        <v>Intelectuales</v>
      </c>
      <c r="C143" s="3636"/>
      <c r="D143" s="3860" t="s">
        <v>1745</v>
      </c>
      <c r="E143" s="3611" t="s">
        <v>1746</v>
      </c>
      <c r="F143" s="3612"/>
      <c r="G143" s="3612"/>
      <c r="H143" s="2093" t="s">
        <v>1695</v>
      </c>
      <c r="I143" s="1683"/>
      <c r="J143" s="1508">
        <f>IF(ISNA(AL143),0,MAX(MIN(AL143-VLOOKUP("Apto en campo: "&amp;$B143,Tabla_Ventajas,3,FALSE)-Tablas!$O286-2*Tablas!$Q286-3*Tablas!$S286,3),1))</f>
        <v>0</v>
      </c>
      <c r="K143" s="1518"/>
      <c r="L143" s="1508">
        <f>IF(ISNA(AN143),0,MAX(MIN(AN143-VLOOKUP("Apto en campo: "&amp;$B143,Tabla_Ventajas,3,FALSE)-Tablas!$O286-2*Tablas!$Q286-3*Tablas!$S286,3),1))</f>
        <v>0</v>
      </c>
      <c r="M143" s="1509"/>
      <c r="N143" s="1517">
        <f>IF(ISNA(AP143),0,MAX(MIN(AP143-VLOOKUP("Apto en campo: "&amp;$B143,Tabla_Ventajas,3,FALSE)-Tablas!$O286-2*Tablas!$Q286-3*Tablas!$S286,3),1))</f>
        <v>0</v>
      </c>
      <c r="O143" s="1518"/>
      <c r="P143" s="1508">
        <f>IF(ISNA(AR143),0,MAX(MIN(AR143-VLOOKUP("Apto en campo: "&amp;$B143,Tabla_Ventajas,3,FALSE)-Tablas!$O286-2*Tablas!$Q286-3*Tablas!$S286,3),1))</f>
        <v>0</v>
      </c>
      <c r="Q143" s="1509"/>
      <c r="R143" s="1517">
        <f>IF(ISNA(AT143),0,MAX(MIN(AT143-VLOOKUP("Apto en campo: "&amp;$B143,Tabla_Ventajas,3,FALSE)-Tablas!$O286-2*Tablas!$Q286-3*Tablas!$S286,3),1))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3090">
        <f t="shared" si="35"/>
        <v>0</v>
      </c>
      <c r="AC143" s="1706"/>
      <c r="AD143" s="2715">
        <f>Tablas!$K$1746+Tablas!$K$1783</f>
        <v>0</v>
      </c>
      <c r="AE143" s="302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84">
        <f>IF(AF$123,IF(OR(Region="",ClaseSocial="",Personalización!$AN$21),0,IF(OR(AND(AI143,AJ143),AND(NOT(AI143),NOT(AJ143))),LEFT(AG143,2)+LEFT(AH143,2),0)),0)</f>
        <v>0</v>
      </c>
      <c r="AG143" s="2715" t="e">
        <f>HLOOKUP(Region&amp;ClaseSocial,Tabla_RaicesCulturales,Tablas!F159,FALSE)</f>
        <v>#N/A</v>
      </c>
      <c r="AH143" s="3022">
        <f>IF(AND(E143="Historia",Personalización!$E$26="Historia (Local)"),20&amp;" "&amp;Personalización!$E$26,IF(OR(E143=Personalización!$E$25,E143=Personalización!$E$26),VLOOKUP(E143,Tablas!$L$136:$M$137,2,FALSE),0))</f>
        <v>0</v>
      </c>
      <c r="AI143" s="3022" t="b">
        <f t="shared" si="36"/>
        <v>0</v>
      </c>
      <c r="AJ143" s="3022" t="b">
        <f t="shared" si="37"/>
        <v>0</v>
      </c>
      <c r="AL143" s="1900" t="e">
        <f t="shared" si="38"/>
        <v>#N/A</v>
      </c>
      <c r="AN143" s="1900" t="e">
        <f t="shared" si="39"/>
        <v>#N/A</v>
      </c>
      <c r="AP143" s="1900" t="e">
        <f t="shared" si="40"/>
        <v>#N/A</v>
      </c>
      <c r="AR143" s="1900" t="e">
        <f t="shared" si="41"/>
        <v>#N/A</v>
      </c>
      <c r="AT143" s="1900" t="e">
        <f t="shared" si="42"/>
        <v>#N/A</v>
      </c>
    </row>
    <row r="144" spans="1:46" ht="12" customHeight="1" x14ac:dyDescent="0.2">
      <c r="A144" s="1881"/>
      <c r="B144" s="2157" t="str">
        <f t="shared" ref="B144:B154" si="45">B143</f>
        <v>Intelectuales</v>
      </c>
      <c r="C144" s="3636"/>
      <c r="D144" s="3309"/>
      <c r="E144" s="3613" t="s">
        <v>1747</v>
      </c>
      <c r="F144" s="3614"/>
      <c r="G144" s="3614"/>
      <c r="H144" s="2092" t="s">
        <v>1695</v>
      </c>
      <c r="I144" s="1682"/>
      <c r="J144" s="184">
        <f>IF(ISNA(AL144),0,MAX(MIN(AL144-VLOOKUP("Apto en campo: "&amp;$B144,Tabla_Ventajas,3,FALSE)-Tablas!$O287-2*Tablas!$Q287-3*Tablas!$S287,3),1))</f>
        <v>0</v>
      </c>
      <c r="K144" s="1514"/>
      <c r="L144" s="184">
        <f>IF(ISNA(AN144),0,MAX(MIN(AN144-VLOOKUP("Apto en campo: "&amp;$B144,Tabla_Ventajas,3,FALSE)-Tablas!$O287-2*Tablas!$Q287-3*Tablas!$S287,3),1))</f>
        <v>0</v>
      </c>
      <c r="M144" s="1549"/>
      <c r="N144" s="1210">
        <f>IF(ISNA(AP144),0,MAX(MIN(AP144-VLOOKUP("Apto en campo: "&amp;$B144,Tabla_Ventajas,3,FALSE)-Tablas!$O287-2*Tablas!$Q287-3*Tablas!$S287,3),1))</f>
        <v>0</v>
      </c>
      <c r="O144" s="1514"/>
      <c r="P144" s="184">
        <f>IF(ISNA(AR144),0,MAX(MIN(AR144-VLOOKUP("Apto en campo: "&amp;$B144,Tabla_Ventajas,3,FALSE)-Tablas!$O287-2*Tablas!$Q287-3*Tablas!$S287,3),1))</f>
        <v>0</v>
      </c>
      <c r="Q144" s="1549"/>
      <c r="R144" s="1210">
        <f>IF(ISNA(AT144),0,MAX(MIN(AT144-VLOOKUP("Apto en campo: "&amp;$B144,Tabla_Ventajas,3,FALSE)-Tablas!$O287-2*Tablas!$Q287-3*Tablas!$S287,3),1))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3090">
        <f t="shared" si="35"/>
        <v>0</v>
      </c>
      <c r="AC144" s="1706"/>
      <c r="AD144" s="2715">
        <f>Tablas!$K$1746+Tablas!$K$1835</f>
        <v>0</v>
      </c>
      <c r="AE144" s="302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84">
        <f>IF(AF$123,IF(OR(Region="",ClaseSocial="",Personalización!$AN$21),0,IF(OR(AND(AI144,AJ144),AND(NOT(AI144),NOT(AJ144))),LEFT(AG144,2)+LEFT(AH144,2),0)),0)</f>
        <v>0</v>
      </c>
      <c r="AG144" s="2715" t="e">
        <f>HLOOKUP(Region&amp;ClaseSocial,Tabla_RaicesCulturales,Tablas!F160,FALSE)</f>
        <v>#N/A</v>
      </c>
      <c r="AH144" s="3022">
        <f>IF(AND(E144="Historia",Personalización!$E$26="Historia (Local)"),20&amp;" "&amp;Personalización!$E$26,IF(OR(E144=Personalización!$E$25,E144=Personalización!$E$26),VLOOKUP(E144,Tablas!$L$136:$M$137,2,FALSE),0))</f>
        <v>0</v>
      </c>
      <c r="AI144" s="3022" t="b">
        <f t="shared" ref="AI144:AI157" si="47">OR(ISNUMBER(FIND("(",AG144)),ISNUMBER(FIND("(",AH144)))</f>
        <v>0</v>
      </c>
      <c r="AJ144" s="3022" t="b">
        <f t="shared" ref="AJ144:AJ157" si="48">AND(NOT(I144=""),OR(ISNUMBER(SEARCH(I144,AG144)),ISNUMBER(SEARCH(I144,AH144))))</f>
        <v>0</v>
      </c>
      <c r="AL144" s="1900" t="e">
        <f t="shared" si="38"/>
        <v>#N/A</v>
      </c>
      <c r="AN144" s="1900" t="e">
        <f t="shared" si="39"/>
        <v>#N/A</v>
      </c>
      <c r="AP144" s="1900" t="e">
        <f t="shared" si="40"/>
        <v>#N/A</v>
      </c>
      <c r="AR144" s="1900" t="e">
        <f t="shared" si="41"/>
        <v>#N/A</v>
      </c>
      <c r="AT144" s="1900" t="e">
        <f t="shared" si="42"/>
        <v>#N/A</v>
      </c>
    </row>
    <row r="145" spans="1:46" ht="12" customHeight="1" x14ac:dyDescent="0.2">
      <c r="A145" s="1881"/>
      <c r="B145" s="2157" t="str">
        <f t="shared" si="45"/>
        <v>Intelectuales</v>
      </c>
      <c r="C145" s="3636"/>
      <c r="D145" s="3309"/>
      <c r="E145" s="3615" t="s">
        <v>2993</v>
      </c>
      <c r="F145" s="3616"/>
      <c r="G145" s="3616"/>
      <c r="H145" s="2091" t="s">
        <v>1695</v>
      </c>
      <c r="I145" s="2076"/>
      <c r="J145" s="183">
        <f>IF(ISNA(AL145),0,MAX(MIN(AL145-VLOOKUP("Apto en campo: "&amp;$B145,Tabla_Ventajas,3,FALSE)-Tablas!$O288-2*Tablas!$Q288-3*Tablas!$S288,3),1))</f>
        <v>0</v>
      </c>
      <c r="K145" s="1513"/>
      <c r="L145" s="183">
        <f>IF(ISNA(AN145),0,MAX(MIN(AN145-VLOOKUP("Apto en campo: "&amp;$B145,Tabla_Ventajas,3,FALSE)-Tablas!$O288-2*Tablas!$Q288-3*Tablas!$S288,3),1))</f>
        <v>0</v>
      </c>
      <c r="M145" s="169"/>
      <c r="N145" s="1209">
        <f>IF(ISNA(AP145),0,MAX(MIN(AP145-VLOOKUP("Apto en campo: "&amp;$B145,Tabla_Ventajas,3,FALSE)-Tablas!$O288-2*Tablas!$Q288-3*Tablas!$S288,3),1))</f>
        <v>0</v>
      </c>
      <c r="O145" s="1513"/>
      <c r="P145" s="183">
        <f>IF(ISNA(AR145),0,MAX(MIN(AR145-VLOOKUP("Apto en campo: "&amp;$B145,Tabla_Ventajas,3,FALSE)-Tablas!$O288-2*Tablas!$Q288-3*Tablas!$S288,3),1))</f>
        <v>0</v>
      </c>
      <c r="Q145" s="169"/>
      <c r="R145" s="1209">
        <f>IF(ISNA(AT145),0,MAX(MIN(AT145-VLOOKUP("Apto en campo: "&amp;$B145,Tabla_Ventajas,3,FALSE)-Tablas!$O288-2*Tablas!$Q288-3*Tablas!$S288,3),1))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3090">
        <f t="shared" si="35"/>
        <v>0</v>
      </c>
      <c r="AC145" s="1706"/>
      <c r="AD145" s="2715">
        <f>Tablas!$K$1746</f>
        <v>0</v>
      </c>
      <c r="AE145" s="302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84">
        <f>IF(AF$123,IF(OR(Region="",ClaseSocial="",Personalización!$AN$21),0,IF(OR(AND(AI145,AJ145),AND(NOT(AI145),NOT(AJ145))),LEFT(AG145,2)+LEFT(AH145,2),0)),0)</f>
        <v>0</v>
      </c>
      <c r="AG145" s="2715" t="e">
        <f>HLOOKUP(Region&amp;ClaseSocial,Tabla_RaicesCulturales,Tablas!F161,FALSE)</f>
        <v>#N/A</v>
      </c>
      <c r="AH145" s="3022">
        <f>IF(AND(E145="Historia",Personalización!$E$26="Historia (Local)"),20&amp;" "&amp;Personalización!$E$26,IF(OR(E145=Personalización!$E$25,E145=Personalización!$E$26),VLOOKUP(E145,Tablas!$L$136:$M$137,2,FALSE),0))</f>
        <v>0</v>
      </c>
      <c r="AI145" s="3022" t="b">
        <f t="shared" si="47"/>
        <v>0</v>
      </c>
      <c r="AJ145" s="3022" t="b">
        <f t="shared" si="48"/>
        <v>0</v>
      </c>
      <c r="AL145" s="1900" t="e">
        <f t="shared" si="38"/>
        <v>#N/A</v>
      </c>
      <c r="AN145" s="1900" t="e">
        <f t="shared" si="39"/>
        <v>#N/A</v>
      </c>
      <c r="AP145" s="1900" t="e">
        <f t="shared" si="40"/>
        <v>#N/A</v>
      </c>
      <c r="AR145" s="1900" t="e">
        <f t="shared" si="41"/>
        <v>#N/A</v>
      </c>
      <c r="AT145" s="1900" t="e">
        <f t="shared" si="42"/>
        <v>#N/A</v>
      </c>
    </row>
    <row r="146" spans="1:46" ht="12" customHeight="1" x14ac:dyDescent="0.2">
      <c r="A146" s="1881"/>
      <c r="B146" s="2157" t="str">
        <f t="shared" si="45"/>
        <v>Intelectuales</v>
      </c>
      <c r="C146" s="3636"/>
      <c r="D146" s="3309"/>
      <c r="E146" s="3613" t="s">
        <v>1748</v>
      </c>
      <c r="F146" s="3614"/>
      <c r="G146" s="3614"/>
      <c r="H146" s="2092" t="s">
        <v>1695</v>
      </c>
      <c r="I146" s="2077"/>
      <c r="J146" s="184">
        <f>IF(ISNA(AL146),0,MAX(MIN(AL146-VLOOKUP("Apto en campo: "&amp;$B146,Tabla_Ventajas,3,FALSE)-Tablas!$O289-2*Tablas!$Q289-3*Tablas!$S289,3),1))</f>
        <v>0</v>
      </c>
      <c r="K146" s="1514"/>
      <c r="L146" s="184">
        <f>IF(ISNA(AN146),0,MAX(MIN(AN146-VLOOKUP("Apto en campo: "&amp;$B146,Tabla_Ventajas,3,FALSE)-Tablas!$O289-2*Tablas!$Q289-3*Tablas!$S289,3),1))</f>
        <v>0</v>
      </c>
      <c r="M146" s="1549"/>
      <c r="N146" s="1210">
        <f>IF(ISNA(AP146),0,MAX(MIN(AP146-VLOOKUP("Apto en campo: "&amp;$B146,Tabla_Ventajas,3,FALSE)-Tablas!$O289-2*Tablas!$Q289-3*Tablas!$S289,3),1))</f>
        <v>0</v>
      </c>
      <c r="O146" s="1514"/>
      <c r="P146" s="184">
        <f>IF(ISNA(AR146),0,MAX(MIN(AR146-VLOOKUP("Apto en campo: "&amp;$B146,Tabla_Ventajas,3,FALSE)-Tablas!$O289-2*Tablas!$Q289-3*Tablas!$S289,3),1))</f>
        <v>0</v>
      </c>
      <c r="Q146" s="1549"/>
      <c r="R146" s="1210">
        <f>IF(ISNA(AT146),0,MAX(MIN(AT146-VLOOKUP("Apto en campo: "&amp;$B146,Tabla_Ventajas,3,FALSE)-Tablas!$O289-2*Tablas!$Q289-3*Tablas!$S289,3),1))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3090">
        <f t="shared" si="35"/>
        <v>0</v>
      </c>
      <c r="AC146" s="1706"/>
      <c r="AD146" s="2715">
        <f>Tablas!$K$1746+Tablas!$K1782</f>
        <v>0</v>
      </c>
      <c r="AE146" s="302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84">
        <f>IF(AF$123,IF(OR(Region="",ClaseSocial="",Personalización!$AN$21),0,IF(OR(AND(AI146,AJ146),AND(NOT(AI146),NOT(AJ146))),LEFT(AG146,2)+LEFT(AH146,2),0)),0)</f>
        <v>0</v>
      </c>
      <c r="AG146" s="2715" t="e">
        <f>HLOOKUP(Region&amp;ClaseSocial,Tabla_RaicesCulturales,Tablas!F162,FALSE)</f>
        <v>#N/A</v>
      </c>
      <c r="AH146" s="3022">
        <f>IF(AND(E146="Historia",Personalización!$E$26="Historia (Local)"),20&amp;" "&amp;Personalización!$E$26,IF(OR(E146=Personalización!$E$25,E146=Personalización!$E$26),VLOOKUP(E146,Tablas!$L$136:$M$137,2,FALSE),0))</f>
        <v>0</v>
      </c>
      <c r="AI146" s="3022" t="b">
        <f t="shared" si="47"/>
        <v>0</v>
      </c>
      <c r="AJ146" s="3022" t="b">
        <f t="shared" si="48"/>
        <v>0</v>
      </c>
      <c r="AL146" s="1900" t="e">
        <f t="shared" si="38"/>
        <v>#N/A</v>
      </c>
      <c r="AN146" s="1900" t="e">
        <f t="shared" si="39"/>
        <v>#N/A</v>
      </c>
      <c r="AP146" s="1900" t="e">
        <f t="shared" si="40"/>
        <v>#N/A</v>
      </c>
      <c r="AR146" s="1900" t="e">
        <f t="shared" si="41"/>
        <v>#N/A</v>
      </c>
      <c r="AT146" s="1900" t="e">
        <f t="shared" si="42"/>
        <v>#N/A</v>
      </c>
    </row>
    <row r="147" spans="1:46" ht="12" customHeight="1" x14ac:dyDescent="0.2">
      <c r="A147" s="1881"/>
      <c r="B147" s="2157" t="str">
        <f t="shared" si="45"/>
        <v>Intelectuales</v>
      </c>
      <c r="C147" s="3636"/>
      <c r="D147" s="3309"/>
      <c r="E147" s="3615" t="s">
        <v>1750</v>
      </c>
      <c r="F147" s="3616"/>
      <c r="G147" s="3616"/>
      <c r="H147" s="2091" t="s">
        <v>1695</v>
      </c>
      <c r="I147" s="1681"/>
      <c r="J147" s="183">
        <f>IF(ISNA(AL147),0,MAX(MIN(AL147-VLOOKUP("Apto en campo: "&amp;$B147,Tabla_Ventajas,3,FALSE)-Tablas!$O290-2*Tablas!$Q290-3*Tablas!$S290,3),1))</f>
        <v>0</v>
      </c>
      <c r="K147" s="1513"/>
      <c r="L147" s="183">
        <f>IF(ISNA(AN147),0,MAX(MIN(AN147-VLOOKUP("Apto en campo: "&amp;$B147,Tabla_Ventajas,3,FALSE)-Tablas!$O290-2*Tablas!$Q290-3*Tablas!$S290,3),1))</f>
        <v>0</v>
      </c>
      <c r="M147" s="169"/>
      <c r="N147" s="1209">
        <f>IF(ISNA(AP147),0,MAX(MIN(AP147-VLOOKUP("Apto en campo: "&amp;$B147,Tabla_Ventajas,3,FALSE)-Tablas!$O290-2*Tablas!$Q290-3*Tablas!$S290,3),1))</f>
        <v>0</v>
      </c>
      <c r="O147" s="1513"/>
      <c r="P147" s="183">
        <f>IF(ISNA(AR147),0,MAX(MIN(AR147-VLOOKUP("Apto en campo: "&amp;$B147,Tabla_Ventajas,3,FALSE)-Tablas!$O290-2*Tablas!$Q290-3*Tablas!$S290,3),1))</f>
        <v>0</v>
      </c>
      <c r="Q147" s="169"/>
      <c r="R147" s="1209">
        <f>IF(ISNA(AT147),0,MAX(MIN(AT147-VLOOKUP("Apto en campo: "&amp;$B147,Tabla_Ventajas,3,FALSE)-Tablas!$O290-2*Tablas!$Q290-3*Tablas!$S290,3),1))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3090">
        <f t="shared" si="35"/>
        <v>0</v>
      </c>
      <c r="AC147" s="1706"/>
      <c r="AD147" s="2715">
        <f>Tablas!$K$1746</f>
        <v>0</v>
      </c>
      <c r="AE147" s="302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84">
        <f>IF(AF$123,IF(OR(Region="",ClaseSocial="",Personalización!$AN$21),0,IF(OR(AND(AI147,AJ147),AND(NOT(AI147),NOT(AJ147))),LEFT(AG147,2)+LEFT(AH147,2),0)),0)</f>
        <v>0</v>
      </c>
      <c r="AG147" s="2715" t="e">
        <f>HLOOKUP(Region&amp;ClaseSocial,Tabla_RaicesCulturales,Tablas!F163,FALSE)</f>
        <v>#N/A</v>
      </c>
      <c r="AH147" s="3022">
        <f>IF(AND(E147="Historia",Personalización!$E$26="Historia (Local)"),20&amp;" "&amp;Personalización!$E$26,IF(OR(E147=Personalización!$E$25,E147=Personalización!$E$26),VLOOKUP(E147,Tablas!$L$136:$M$137,2,FALSE),0))</f>
        <v>0</v>
      </c>
      <c r="AI147" s="3022" t="b">
        <f t="shared" si="47"/>
        <v>0</v>
      </c>
      <c r="AJ147" s="3022" t="b">
        <f t="shared" si="48"/>
        <v>0</v>
      </c>
      <c r="AL147" s="1900" t="e">
        <f t="shared" si="38"/>
        <v>#N/A</v>
      </c>
      <c r="AN147" s="1900" t="e">
        <f t="shared" si="39"/>
        <v>#N/A</v>
      </c>
      <c r="AP147" s="1900" t="e">
        <f t="shared" si="40"/>
        <v>#N/A</v>
      </c>
      <c r="AR147" s="1900" t="e">
        <f t="shared" si="41"/>
        <v>#N/A</v>
      </c>
      <c r="AT147" s="1900" t="e">
        <f t="shared" si="42"/>
        <v>#N/A</v>
      </c>
    </row>
    <row r="148" spans="1:46" ht="12" customHeight="1" x14ac:dyDescent="0.2">
      <c r="A148" s="1881"/>
      <c r="B148" s="2157" t="str">
        <f t="shared" si="45"/>
        <v>Intelectuales</v>
      </c>
      <c r="C148" s="3636"/>
      <c r="D148" s="3309"/>
      <c r="E148" s="3613" t="s">
        <v>1088</v>
      </c>
      <c r="F148" s="3614"/>
      <c r="G148" s="3614"/>
      <c r="H148" s="2092" t="s">
        <v>1695</v>
      </c>
      <c r="I148" s="2077"/>
      <c r="J148" s="184">
        <f>IF(ISNA(AL148),0,MAX(MIN(AL148-VLOOKUP("Apto en campo: "&amp;$B148,Tabla_Ventajas,3,FALSE)-Tablas!$O291-2*Tablas!$Q291-3*Tablas!$S291,3),1))</f>
        <v>0</v>
      </c>
      <c r="K148" s="1514"/>
      <c r="L148" s="184">
        <f>IF(ISNA(AN148),0,MAX(MIN(AN148-VLOOKUP("Apto en campo: "&amp;$B148,Tabla_Ventajas,3,FALSE)-Tablas!$O291-2*Tablas!$Q291-3*Tablas!$S291,3),1))</f>
        <v>0</v>
      </c>
      <c r="M148" s="1549"/>
      <c r="N148" s="1210">
        <f>IF(ISNA(AP148),0,MAX(MIN(AP148-VLOOKUP("Apto en campo: "&amp;$B148,Tabla_Ventajas,3,FALSE)-Tablas!$O291-2*Tablas!$Q291-3*Tablas!$S291,3),1))</f>
        <v>0</v>
      </c>
      <c r="O148" s="1514"/>
      <c r="P148" s="184">
        <f>IF(ISNA(AR148),0,MAX(MIN(AR148-VLOOKUP("Apto en campo: "&amp;$B148,Tabla_Ventajas,3,FALSE)-Tablas!$O291-2*Tablas!$Q291-3*Tablas!$S291,3),1))</f>
        <v>0</v>
      </c>
      <c r="Q148" s="1549"/>
      <c r="R148" s="1210">
        <f>IF(ISNA(AT148),0,MAX(MIN(AT148-VLOOKUP("Apto en campo: "&amp;$B148,Tabla_Ventajas,3,FALSE)-Tablas!$O291-2*Tablas!$Q291-3*Tablas!$S291,3),1))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3090">
        <f t="shared" si="35"/>
        <v>0</v>
      </c>
      <c r="AC148" s="1706"/>
      <c r="AD148" s="2715">
        <f>Tablas!$K$1746</f>
        <v>0</v>
      </c>
      <c r="AE148" s="302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84">
        <f>IF(AF$123,IF(OR(Region="",ClaseSocial="",Personalización!$AN$21),0,IF(OR(AND(AI148,AJ148),AND(NOT(AI148),NOT(AJ148))),LEFT(AG148,2)+LEFT(AH148,2),0)),0)</f>
        <v>0</v>
      </c>
      <c r="AG148" s="2715" t="e">
        <f>HLOOKUP(Region&amp;ClaseSocial,Tabla_RaicesCulturales,Tablas!F164,FALSE)</f>
        <v>#N/A</v>
      </c>
      <c r="AH148" s="3022">
        <f>IF(AND(E148="Historia",Personalización!$E$26="Historia (Local)"),20&amp;" "&amp;Personalización!$E$26,IF(OR(E148=Personalización!$E$25,E148=Personalización!$E$26),VLOOKUP(E148,Tablas!$L$136:$M$137,2,FALSE),0))</f>
        <v>0</v>
      </c>
      <c r="AI148" s="3022" t="b">
        <f t="shared" si="47"/>
        <v>0</v>
      </c>
      <c r="AJ148" s="3022" t="b">
        <f t="shared" si="48"/>
        <v>0</v>
      </c>
      <c r="AL148" s="1900" t="e">
        <f t="shared" si="38"/>
        <v>#N/A</v>
      </c>
      <c r="AN148" s="1900" t="e">
        <f t="shared" si="39"/>
        <v>#N/A</v>
      </c>
      <c r="AP148" s="1900" t="e">
        <f t="shared" si="40"/>
        <v>#N/A</v>
      </c>
      <c r="AR148" s="1900" t="e">
        <f t="shared" si="41"/>
        <v>#N/A</v>
      </c>
      <c r="AT148" s="1900" t="e">
        <f t="shared" si="42"/>
        <v>#N/A</v>
      </c>
    </row>
    <row r="149" spans="1:46" ht="12" customHeight="1" x14ac:dyDescent="0.2">
      <c r="A149" s="1880"/>
      <c r="B149" s="2157" t="str">
        <f t="shared" si="45"/>
        <v>Intelectuales</v>
      </c>
      <c r="C149" s="3636"/>
      <c r="D149" s="3309"/>
      <c r="E149" s="3615" t="s">
        <v>1753</v>
      </c>
      <c r="F149" s="3616"/>
      <c r="G149" s="3616"/>
      <c r="H149" s="2091" t="s">
        <v>1695</v>
      </c>
      <c r="I149" s="1681"/>
      <c r="J149" s="183">
        <f>IF(ISNA(AL149),0,MAX(MIN(AL149-VLOOKUP("Apto en campo: "&amp;$B149,Tabla_Ventajas,3,FALSE)-Tablas!$O292-2*Tablas!$Q292-3*Tablas!$S292,3),1))</f>
        <v>0</v>
      </c>
      <c r="K149" s="1513"/>
      <c r="L149" s="183">
        <f>IF(ISNA(AN149),0,MAX(MIN(AN149-VLOOKUP("Apto en campo: "&amp;$B149,Tabla_Ventajas,3,FALSE)-Tablas!$O292-2*Tablas!$Q292-3*Tablas!$S292,3),1))</f>
        <v>0</v>
      </c>
      <c r="M149" s="169"/>
      <c r="N149" s="1209">
        <f>IF(ISNA(AP149),0,MAX(MIN(AP149-VLOOKUP("Apto en campo: "&amp;$B149,Tabla_Ventajas,3,FALSE)-Tablas!$O292-2*Tablas!$Q292-3*Tablas!$S292,3),1))</f>
        <v>0</v>
      </c>
      <c r="O149" s="1513"/>
      <c r="P149" s="183">
        <f>IF(ISNA(AR149),0,MAX(MIN(AR149-VLOOKUP("Apto en campo: "&amp;$B149,Tabla_Ventajas,3,FALSE)-Tablas!$O292-2*Tablas!$Q292-3*Tablas!$S292,3),1))</f>
        <v>0</v>
      </c>
      <c r="Q149" s="169"/>
      <c r="R149" s="1209">
        <f>IF(ISNA(AT149),0,MAX(MIN(AT149-VLOOKUP("Apto en campo: "&amp;$B149,Tabla_Ventajas,3,FALSE)-Tablas!$O292-2*Tablas!$Q292-3*Tablas!$S292,3),1))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3090">
        <f t="shared" si="35"/>
        <v>0</v>
      </c>
      <c r="AC149" s="1706"/>
      <c r="AD149" s="2715">
        <f>Tablas!$K$1746</f>
        <v>0</v>
      </c>
      <c r="AE149" s="302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84">
        <f>IF(AF$123,IF(OR(Region="",ClaseSocial="",Personalización!$AN$21),0,IF(OR(AND(AI149,AJ149),AND(NOT(AI149),NOT(AJ149))),LEFT(AG149,2)+LEFT(AH149,2),0)),0)</f>
        <v>0</v>
      </c>
      <c r="AG149" s="2715" t="e">
        <f>HLOOKUP(Region&amp;ClaseSocial,Tabla_RaicesCulturales,Tablas!F165,FALSE)</f>
        <v>#N/A</v>
      </c>
      <c r="AH149" s="3022">
        <f>IF(AND(E149="Historia",Personalización!$E$26="Historia (Local)"),20&amp;" "&amp;Personalización!$E$26,IF(OR(E149=Personalización!$E$25,E149=Personalización!$E$26),VLOOKUP(E149,Tablas!$L$136:$M$137,2,FALSE),0))</f>
        <v>0</v>
      </c>
      <c r="AI149" s="3022" t="b">
        <f t="shared" si="47"/>
        <v>0</v>
      </c>
      <c r="AJ149" s="3022" t="b">
        <f t="shared" si="48"/>
        <v>0</v>
      </c>
      <c r="AL149" s="1900" t="e">
        <f t="shared" si="38"/>
        <v>#N/A</v>
      </c>
      <c r="AN149" s="1900" t="e">
        <f t="shared" si="39"/>
        <v>#N/A</v>
      </c>
      <c r="AP149" s="1900" t="e">
        <f t="shared" si="40"/>
        <v>#N/A</v>
      </c>
      <c r="AR149" s="1900" t="e">
        <f t="shared" si="41"/>
        <v>#N/A</v>
      </c>
      <c r="AT149" s="1900" t="e">
        <f t="shared" si="42"/>
        <v>#N/A</v>
      </c>
    </row>
    <row r="150" spans="1:46" ht="12" customHeight="1" x14ac:dyDescent="0.2">
      <c r="A150" s="1880"/>
      <c r="B150" s="2157" t="str">
        <f t="shared" si="45"/>
        <v>Intelectuales</v>
      </c>
      <c r="C150" s="3636"/>
      <c r="D150" s="3309"/>
      <c r="E150" s="3613" t="s">
        <v>1754</v>
      </c>
      <c r="F150" s="3614"/>
      <c r="G150" s="3614"/>
      <c r="H150" s="2092" t="s">
        <v>1695</v>
      </c>
      <c r="I150" s="2077"/>
      <c r="J150" s="184">
        <f>IF(ISNA(AL150),0,MAX(MIN(AL150-VLOOKUP("Apto en campo: "&amp;$B150,Tabla_Ventajas,3,FALSE)-Tablas!$O293-2*Tablas!$Q293-3*Tablas!$S293,3),1))</f>
        <v>0</v>
      </c>
      <c r="K150" s="1514"/>
      <c r="L150" s="184">
        <f>IF(ISNA(AN150),0,MAX(MIN(AN150-VLOOKUP("Apto en campo: "&amp;$B150,Tabla_Ventajas,3,FALSE)-Tablas!$O293-2*Tablas!$Q293-3*Tablas!$S293,3),1))</f>
        <v>0</v>
      </c>
      <c r="M150" s="1549"/>
      <c r="N150" s="1210">
        <f>IF(ISNA(AP150),0,MAX(MIN(AP150-VLOOKUP("Apto en campo: "&amp;$B150,Tabla_Ventajas,3,FALSE)-Tablas!$O293-2*Tablas!$Q293-3*Tablas!$S293,3),1))</f>
        <v>0</v>
      </c>
      <c r="O150" s="1514"/>
      <c r="P150" s="184">
        <f>IF(ISNA(AR150),0,MAX(MIN(AR150-VLOOKUP("Apto en campo: "&amp;$B150,Tabla_Ventajas,3,FALSE)-Tablas!$O293-2*Tablas!$Q293-3*Tablas!$S293,3),1))</f>
        <v>0</v>
      </c>
      <c r="Q150" s="1549"/>
      <c r="R150" s="1210">
        <f>IF(ISNA(AT150),0,MAX(MIN(AT150-VLOOKUP("Apto en campo: "&amp;$B150,Tabla_Ventajas,3,FALSE)-Tablas!$O293-2*Tablas!$Q293-3*Tablas!$S293,3),1))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3090">
        <f t="shared" si="35"/>
        <v>0</v>
      </c>
      <c r="AC150" s="1706"/>
      <c r="AD150" s="2715">
        <f>Tablas!$K$1746</f>
        <v>0</v>
      </c>
      <c r="AE150" s="302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84">
        <f>IF(AF$123,IF(OR(Region="",ClaseSocial="",Personalización!$AN$21),0,IF(OR(AND(AI150,AJ150),AND(NOT(AI150),NOT(AJ150))),LEFT(AG150,2)+LEFT(AH150,2),0)),0)</f>
        <v>0</v>
      </c>
      <c r="AG150" s="2715" t="e">
        <f>HLOOKUP(Region&amp;ClaseSocial,Tabla_RaicesCulturales,Tablas!F166,FALSE)</f>
        <v>#N/A</v>
      </c>
      <c r="AH150" s="3022">
        <f>IF(AND(E150="Historia",Personalización!$E$26="Historia (Local)"),20&amp;" "&amp;Personalización!$E$26,IF(OR(E150=Personalización!$E$25,E150=Personalización!$E$26),VLOOKUP(E150,Tablas!$L$136:$M$137,2,FALSE),0))</f>
        <v>0</v>
      </c>
      <c r="AI150" s="3022" t="b">
        <f t="shared" si="47"/>
        <v>0</v>
      </c>
      <c r="AJ150" s="3022" t="b">
        <f t="shared" si="48"/>
        <v>0</v>
      </c>
      <c r="AL150" s="1900" t="e">
        <f t="shared" si="38"/>
        <v>#N/A</v>
      </c>
      <c r="AN150" s="1900" t="e">
        <f t="shared" si="39"/>
        <v>#N/A</v>
      </c>
      <c r="AP150" s="1900" t="e">
        <f t="shared" si="40"/>
        <v>#N/A</v>
      </c>
      <c r="AR150" s="1900" t="e">
        <f t="shared" si="41"/>
        <v>#N/A</v>
      </c>
      <c r="AT150" s="1900" t="e">
        <f t="shared" si="42"/>
        <v>#N/A</v>
      </c>
    </row>
    <row r="151" spans="1:46" ht="12" customHeight="1" x14ac:dyDescent="0.2">
      <c r="A151" s="1880"/>
      <c r="B151" s="2157" t="str">
        <f t="shared" si="45"/>
        <v>Intelectuales</v>
      </c>
      <c r="C151" s="3636"/>
      <c r="D151" s="3309"/>
      <c r="E151" s="3615" t="s">
        <v>1755</v>
      </c>
      <c r="F151" s="3616"/>
      <c r="G151" s="3616"/>
      <c r="H151" s="2091" t="s">
        <v>1695</v>
      </c>
      <c r="I151" s="2076"/>
      <c r="J151" s="183">
        <f>IF(ISNA(AL151),0,MAX(MIN(AL151-VLOOKUP("Apto en campo: "&amp;$B151,Tabla_Ventajas,3,FALSE)-Tablas!$O294-2*Tablas!$Q294-3*Tablas!$S294,3),1))</f>
        <v>0</v>
      </c>
      <c r="K151" s="1513"/>
      <c r="L151" s="183">
        <f>IF(ISNA(AN151),0,MAX(MIN(AN151-VLOOKUP("Apto en campo: "&amp;$B151,Tabla_Ventajas,3,FALSE)-Tablas!$O294-2*Tablas!$Q294-3*Tablas!$S294,3),1))</f>
        <v>0</v>
      </c>
      <c r="M151" s="169"/>
      <c r="N151" s="1209">
        <f>IF(ISNA(AP151),0,MAX(MIN(AP151-VLOOKUP("Apto en campo: "&amp;$B151,Tabla_Ventajas,3,FALSE)-Tablas!$O294-2*Tablas!$Q294-3*Tablas!$S294,3),1))</f>
        <v>0</v>
      </c>
      <c r="O151" s="1513"/>
      <c r="P151" s="183">
        <f>IF(ISNA(AR151),0,MAX(MIN(AR151-VLOOKUP("Apto en campo: "&amp;$B151,Tabla_Ventajas,3,FALSE)-Tablas!$O294-2*Tablas!$Q294-3*Tablas!$S294,3),1))</f>
        <v>0</v>
      </c>
      <c r="Q151" s="169"/>
      <c r="R151" s="1209">
        <f>IF(ISNA(AT151),0,MAX(MIN(AT151-VLOOKUP("Apto en campo: "&amp;$B151,Tabla_Ventajas,3,FALSE)-Tablas!$O294-2*Tablas!$Q294-3*Tablas!$S294,3),1))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3090">
        <f t="shared" si="35"/>
        <v>0</v>
      </c>
      <c r="AC151" s="1706"/>
      <c r="AD151" s="2715">
        <f>Tablas!$K$1746</f>
        <v>0</v>
      </c>
      <c r="AE151" s="302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84">
        <f>IF(AF$123,IF(OR(Region="",ClaseSocial="",Personalización!$AN$21),0,IF(OR(AND(AI151,AJ151),AND(NOT(AI151),NOT(AJ151))),LEFT(AG151,2)+LEFT(AH151,2),0)),0)</f>
        <v>0</v>
      </c>
      <c r="AG151" s="2715" t="e">
        <f>HLOOKUP(Region&amp;ClaseSocial,Tabla_RaicesCulturales,Tablas!F167,FALSE)</f>
        <v>#N/A</v>
      </c>
      <c r="AH151" s="3022">
        <f>IF(AND(E151="Historia",Personalización!$E$26="Historia (Local)"),20&amp;" "&amp;Personalización!$E$26,IF(OR(E151=Personalización!$E$25,E151=Personalización!$E$26),VLOOKUP(E151,Tablas!$L$136:$M$137,2,FALSE),0))</f>
        <v>0</v>
      </c>
      <c r="AI151" s="3022" t="b">
        <f t="shared" si="47"/>
        <v>0</v>
      </c>
      <c r="AJ151" s="3022" t="b">
        <f t="shared" si="48"/>
        <v>0</v>
      </c>
      <c r="AL151" s="1900" t="e">
        <f t="shared" si="38"/>
        <v>#N/A</v>
      </c>
      <c r="AN151" s="1900" t="e">
        <f t="shared" si="39"/>
        <v>#N/A</v>
      </c>
      <c r="AP151" s="1900" t="e">
        <f t="shared" si="40"/>
        <v>#N/A</v>
      </c>
      <c r="AR151" s="1900" t="e">
        <f t="shared" si="41"/>
        <v>#N/A</v>
      </c>
      <c r="AT151" s="1900" t="e">
        <f t="shared" si="42"/>
        <v>#N/A</v>
      </c>
    </row>
    <row r="152" spans="1:46" ht="12" customHeight="1" x14ac:dyDescent="0.2">
      <c r="A152" s="1880"/>
      <c r="B152" s="2157" t="str">
        <f t="shared" si="45"/>
        <v>Intelectuales</v>
      </c>
      <c r="C152" s="3636"/>
      <c r="D152" s="3309"/>
      <c r="E152" s="3613" t="s">
        <v>1756</v>
      </c>
      <c r="F152" s="3614"/>
      <c r="G152" s="3614"/>
      <c r="H152" s="2092" t="s">
        <v>1695</v>
      </c>
      <c r="I152" s="1682"/>
      <c r="J152" s="184">
        <f>IF(ISNA(AL152),0,MAX(MIN(AL152-VLOOKUP("Apto en campo: "&amp;$B152,Tabla_Ventajas,3,FALSE)-Tablas!$O295-2*Tablas!$Q295-3*Tablas!$S295,3),1))</f>
        <v>0</v>
      </c>
      <c r="K152" s="1514"/>
      <c r="L152" s="184">
        <f>IF(ISNA(AN152),0,MAX(MIN(AN152-VLOOKUP("Apto en campo: "&amp;$B152,Tabla_Ventajas,3,FALSE)-Tablas!$O295-2*Tablas!$Q295-3*Tablas!$S295,3),1))</f>
        <v>0</v>
      </c>
      <c r="M152" s="1549"/>
      <c r="N152" s="1210">
        <f>IF(ISNA(AP152),0,MAX(MIN(AP152-VLOOKUP("Apto en campo: "&amp;$B152,Tabla_Ventajas,3,FALSE)-Tablas!$O295-2*Tablas!$Q295-3*Tablas!$S295,3),1))</f>
        <v>0</v>
      </c>
      <c r="O152" s="1514"/>
      <c r="P152" s="184">
        <f>IF(ISNA(AR152),0,MAX(MIN(AR152-VLOOKUP("Apto en campo: "&amp;$B152,Tabla_Ventajas,3,FALSE)-Tablas!$O295-2*Tablas!$Q295-3*Tablas!$S295,3),1))</f>
        <v>0</v>
      </c>
      <c r="Q152" s="1549"/>
      <c r="R152" s="1210">
        <f>IF(ISNA(AT152),0,MAX(MIN(AT152-VLOOKUP("Apto en campo: "&amp;$B152,Tabla_Ventajas,3,FALSE)-Tablas!$O295-2*Tablas!$Q295-3*Tablas!$S295,3),1))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3090">
        <f t="shared" si="35"/>
        <v>0</v>
      </c>
      <c r="AC152" s="1706"/>
      <c r="AD152" s="2715">
        <f>Tablas!$K$1746+Tablas!$K$1796</f>
        <v>0</v>
      </c>
      <c r="AE152" s="302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84">
        <f>IF(AF$123,IF(OR(Region="",ClaseSocial="",Personalización!$AN$21),0,IF(OR(AND(AI152,AJ152),AND(NOT(AI152),NOT(AJ152))),LEFT(AG152,2)+LEFT(AH152,2),0)),0)</f>
        <v>0</v>
      </c>
      <c r="AG152" s="2715" t="e">
        <f>HLOOKUP(Region&amp;ClaseSocial,Tabla_RaicesCulturales,Tablas!F168,FALSE)</f>
        <v>#N/A</v>
      </c>
      <c r="AH152" s="3022">
        <f>IF(AND(E152="Historia",Personalización!$E$26="Historia (Local)"),20&amp;" "&amp;Personalización!$E$26,IF(OR(E152=Personalización!$E$25,E152=Personalización!$E$26),VLOOKUP(E152,Tablas!$L$136:$M$137,2,FALSE),0))</f>
        <v>0</v>
      </c>
      <c r="AI152" s="3022" t="b">
        <f t="shared" si="47"/>
        <v>0</v>
      </c>
      <c r="AJ152" s="3022" t="b">
        <f t="shared" si="48"/>
        <v>0</v>
      </c>
      <c r="AL152" s="1900" t="e">
        <f t="shared" si="38"/>
        <v>#N/A</v>
      </c>
      <c r="AN152" s="1900" t="e">
        <f t="shared" si="39"/>
        <v>#N/A</v>
      </c>
      <c r="AP152" s="1900" t="e">
        <f t="shared" si="40"/>
        <v>#N/A</v>
      </c>
      <c r="AR152" s="1900" t="e">
        <f t="shared" si="41"/>
        <v>#N/A</v>
      </c>
      <c r="AT152" s="1900" t="e">
        <f t="shared" si="42"/>
        <v>#N/A</v>
      </c>
    </row>
    <row r="153" spans="1:46" ht="12" customHeight="1" x14ac:dyDescent="0.2">
      <c r="A153" s="1880"/>
      <c r="B153" s="2157" t="str">
        <f t="shared" si="45"/>
        <v>Intelectuales</v>
      </c>
      <c r="C153" s="3636"/>
      <c r="D153" s="3309"/>
      <c r="E153" s="3615" t="s">
        <v>1757</v>
      </c>
      <c r="F153" s="3616"/>
      <c r="G153" s="3616"/>
      <c r="H153" s="2091" t="s">
        <v>1695</v>
      </c>
      <c r="I153" s="2076"/>
      <c r="J153" s="183">
        <f>IF(ISNA(AL153),0,MAX(MIN(AL153-VLOOKUP("Apto en campo: "&amp;$B153,Tabla_Ventajas,3,FALSE)-Tablas!$O296-2*Tablas!$Q296-3*Tablas!$S296,3),1))</f>
        <v>0</v>
      </c>
      <c r="K153" s="1513"/>
      <c r="L153" s="183">
        <f>IF(ISNA(AN153),0,MAX(MIN(AN153-VLOOKUP("Apto en campo: "&amp;$B153,Tabla_Ventajas,3,FALSE)-Tablas!$O296-2*Tablas!$Q296-3*Tablas!$S296,3),1))</f>
        <v>0</v>
      </c>
      <c r="M153" s="169"/>
      <c r="N153" s="1209">
        <f>IF(ISNA(AP153),0,MAX(MIN(AP153-VLOOKUP("Apto en campo: "&amp;$B153,Tabla_Ventajas,3,FALSE)-Tablas!$O296-2*Tablas!$Q296-3*Tablas!$S296,3),1))</f>
        <v>0</v>
      </c>
      <c r="O153" s="1513"/>
      <c r="P153" s="183">
        <f>IF(ISNA(AR153),0,MAX(MIN(AR153-VLOOKUP("Apto en campo: "&amp;$B153,Tabla_Ventajas,3,FALSE)-Tablas!$O296-2*Tablas!$Q296-3*Tablas!$S296,3),1))</f>
        <v>0</v>
      </c>
      <c r="Q153" s="169"/>
      <c r="R153" s="1209">
        <f>IF(ISNA(AT153),0,MAX(MIN(AT153-VLOOKUP("Apto en campo: "&amp;$B153,Tabla_Ventajas,3,FALSE)-Tablas!$O296-2*Tablas!$Q296-3*Tablas!$S296,3),1))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3090">
        <f t="shared" si="35"/>
        <v>0</v>
      </c>
      <c r="AC153" s="1706"/>
      <c r="AD153" s="2715">
        <f>Tablas!$K$1746</f>
        <v>0</v>
      </c>
      <c r="AE153" s="302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84">
        <f>IF(AF$123,IF(OR(Region="",ClaseSocial="",Personalización!$AN$21),0,IF(OR(AND(AI153,AJ153),AND(NOT(AI153),NOT(AJ153))),LEFT(AG153,2)+LEFT(AH153,2),0)),0)</f>
        <v>0</v>
      </c>
      <c r="AG153" s="2715" t="e">
        <f>HLOOKUP(Region&amp;ClaseSocial,Tabla_RaicesCulturales,Tablas!F169,FALSE)</f>
        <v>#N/A</v>
      </c>
      <c r="AH153" s="3022">
        <f>IF(AND(E153="Historia",Personalización!$E$26="Historia (Local)"),20&amp;" "&amp;Personalización!$E$26,IF(OR(E153=Personalización!$E$25,E153=Personalización!$E$26),VLOOKUP(E153,Tablas!$L$136:$M$137,2,FALSE),0))</f>
        <v>0</v>
      </c>
      <c r="AI153" s="3022" t="b">
        <f t="shared" si="47"/>
        <v>0</v>
      </c>
      <c r="AJ153" s="3022" t="b">
        <f t="shared" si="48"/>
        <v>0</v>
      </c>
      <c r="AL153" s="1900" t="e">
        <f t="shared" si="38"/>
        <v>#N/A</v>
      </c>
      <c r="AN153" s="1900" t="e">
        <f t="shared" si="39"/>
        <v>#N/A</v>
      </c>
      <c r="AP153" s="1900" t="e">
        <f t="shared" si="40"/>
        <v>#N/A</v>
      </c>
      <c r="AR153" s="1900" t="e">
        <f t="shared" si="41"/>
        <v>#N/A</v>
      </c>
      <c r="AT153" s="1900" t="e">
        <f t="shared" si="42"/>
        <v>#N/A</v>
      </c>
    </row>
    <row r="154" spans="1:46" ht="12" customHeight="1" x14ac:dyDescent="0.2">
      <c r="A154" s="1880"/>
      <c r="B154" s="2157" t="str">
        <f t="shared" si="45"/>
        <v>Intelectuales</v>
      </c>
      <c r="C154" s="3636"/>
      <c r="D154" s="3310"/>
      <c r="E154" s="3625" t="s">
        <v>1758</v>
      </c>
      <c r="F154" s="3626"/>
      <c r="G154" s="3626"/>
      <c r="H154" s="2095" t="s">
        <v>1700</v>
      </c>
      <c r="I154" s="2080"/>
      <c r="J154" s="1506">
        <f>IF(ISNA(AL154),0,MAX(MIN(AL154-VLOOKUP("Apto en campo: "&amp;$B154,Tabla_Ventajas,3,FALSE)-Tablas!$O297-2*Tablas!$Q297-3*Tablas!$S297,3),1))</f>
        <v>0</v>
      </c>
      <c r="K154" s="1516"/>
      <c r="L154" s="1506">
        <f>IF(ISNA(AN154),0,MAX(MIN(AN154-VLOOKUP("Apto en campo: "&amp;$B154,Tabla_Ventajas,3,FALSE)-Tablas!$O297-2*Tablas!$Q297-3*Tablas!$S297,3),1))</f>
        <v>0</v>
      </c>
      <c r="M154" s="1507"/>
      <c r="N154" s="1515">
        <f>IF(ISNA(AP154),0,MAX(MIN(AP154-VLOOKUP("Apto en campo: "&amp;$B154,Tabla_Ventajas,3,FALSE)-Tablas!$O297-2*Tablas!$Q297-3*Tablas!$S297,3),1))</f>
        <v>0</v>
      </c>
      <c r="O154" s="1516"/>
      <c r="P154" s="1506">
        <f>IF(ISNA(AR154),0,MAX(MIN(AR154-VLOOKUP("Apto en campo: "&amp;$B154,Tabla_Ventajas,3,FALSE)-Tablas!$O297-2*Tablas!$Q297-3*Tablas!$S297,3),1))</f>
        <v>0</v>
      </c>
      <c r="Q154" s="1507"/>
      <c r="R154" s="1515">
        <f>IF(ISNA(AT154),0,MAX(MIN(AT154-VLOOKUP("Apto en campo: "&amp;$B154,Tabla_Ventajas,3,FALSE)-Tablas!$O297-2*Tablas!$Q297-3*Tablas!$S297,3),1))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3090">
        <f t="shared" si="35"/>
        <v>0</v>
      </c>
      <c r="AC154" s="1706"/>
      <c r="AD154" s="2715">
        <f>Tablas!$K$1746</f>
        <v>0</v>
      </c>
      <c r="AE154" s="302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84">
        <f>IF(AF$123,IF(OR(Region="",ClaseSocial="",Personalización!$AN$21),0,IF(OR(AND(AI154,AJ154),AND(NOT(AI154),NOT(AJ154))),LEFT(AG154,2)+LEFT(AH154,2),0)),0)</f>
        <v>0</v>
      </c>
      <c r="AG154" s="2715" t="e">
        <f>HLOOKUP(Region&amp;ClaseSocial,Tabla_RaicesCulturales,Tablas!F170,FALSE)</f>
        <v>#N/A</v>
      </c>
      <c r="AH154" s="3022">
        <f>IF(AND(E154="Historia",Personalización!$E$26="Historia (Local)"),20&amp;" "&amp;Personalización!$E$26,IF(OR(E154=Personalización!$E$25,E154=Personalización!$E$26),VLOOKUP(E154,Tablas!$L$136:$M$137,2,FALSE),0))</f>
        <v>0</v>
      </c>
      <c r="AI154" s="3022" t="b">
        <f t="shared" si="47"/>
        <v>0</v>
      </c>
      <c r="AJ154" s="3022" t="b">
        <f t="shared" si="48"/>
        <v>0</v>
      </c>
      <c r="AL154" s="1900" t="e">
        <f t="shared" si="38"/>
        <v>#N/A</v>
      </c>
      <c r="AN154" s="1900" t="e">
        <f t="shared" si="39"/>
        <v>#N/A</v>
      </c>
      <c r="AP154" s="1900" t="e">
        <f t="shared" si="40"/>
        <v>#N/A</v>
      </c>
      <c r="AR154" s="1900" t="e">
        <f t="shared" si="41"/>
        <v>#N/A</v>
      </c>
      <c r="AT154" s="1900" t="e">
        <f t="shared" si="42"/>
        <v>#N/A</v>
      </c>
    </row>
    <row r="155" spans="1:46" ht="12" customHeight="1" x14ac:dyDescent="0.2">
      <c r="A155" s="1880"/>
      <c r="B155" s="2157" t="str">
        <f>D155</f>
        <v>Vigor</v>
      </c>
      <c r="C155" s="3636"/>
      <c r="D155" s="3309" t="s">
        <v>1759</v>
      </c>
      <c r="E155" s="3615" t="s">
        <v>1760</v>
      </c>
      <c r="F155" s="3616"/>
      <c r="G155" s="3616"/>
      <c r="H155" s="2091" t="s">
        <v>1701</v>
      </c>
      <c r="I155" s="2076"/>
      <c r="J155" s="183">
        <f>IF(ISNA(AL155),0,MAX(MIN(AL155-VLOOKUP("Apto en campo: "&amp;$B155,Tabla_Ventajas,3,FALSE)-Tablas!$O298-2*Tablas!$Q298-3*Tablas!$S298,3),1))</f>
        <v>0</v>
      </c>
      <c r="K155" s="1513"/>
      <c r="L155" s="183">
        <f>IF(ISNA(AN155),0,MAX(MIN(AN155-VLOOKUP("Apto en campo: "&amp;$B155,Tabla_Ventajas,3,FALSE)-Tablas!$O298-2*Tablas!$Q298-3*Tablas!$S298,3),1))</f>
        <v>0</v>
      </c>
      <c r="M155" s="169"/>
      <c r="N155" s="1209">
        <f>IF(ISNA(AP155),0,MAX(MIN(AP155-VLOOKUP("Apto en campo: "&amp;$B155,Tabla_Ventajas,3,FALSE)-Tablas!$O298-2*Tablas!$Q298-3*Tablas!$S298,3),1))</f>
        <v>0</v>
      </c>
      <c r="O155" s="1513"/>
      <c r="P155" s="183">
        <f>IF(ISNA(AR155),0,MAX(MIN(AR155-VLOOKUP("Apto en campo: "&amp;$B155,Tabla_Ventajas,3,FALSE)-Tablas!$O298-2*Tablas!$Q298-3*Tablas!$S298,3),1))</f>
        <v>0</v>
      </c>
      <c r="Q155" s="169"/>
      <c r="R155" s="1209">
        <f>IF(ISNA(AT155),0,MAX(MIN(AT155-VLOOKUP("Apto en campo: "&amp;$B155,Tabla_Ventajas,3,FALSE)-Tablas!$O298-2*Tablas!$Q298-3*Tablas!$S298,3),1))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3090">
        <f t="shared" si="35"/>
        <v>0</v>
      </c>
      <c r="AC155" s="1706"/>
      <c r="AD155" s="2715">
        <f>Tablas!$K$1809+Tablas!$K$1871</f>
        <v>0</v>
      </c>
      <c r="AE155" s="302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84">
        <f>IF(AF$123,IF(OR(Region="",ClaseSocial="",Personalización!$AN$21),0,IF(OR(AND(AI155,AJ155),AND(NOT(AI155),NOT(AJ155))),LEFT(AG155,2)+LEFT(AH155,2),0)),0)</f>
        <v>0</v>
      </c>
      <c r="AG155" s="2715" t="e">
        <f>HLOOKUP(Region&amp;ClaseSocial,Tabla_RaicesCulturales,Tablas!F171,FALSE)</f>
        <v>#N/A</v>
      </c>
      <c r="AH155" s="3022">
        <f>IF(AND(E155="Historia",Personalización!$E$26="Historia (Local)"),20&amp;" "&amp;Personalización!$E$26,IF(OR(E155=Personalización!$E$25,E155=Personalización!$E$26),VLOOKUP(E155,Tablas!$L$136:$M$137,2,FALSE),0))</f>
        <v>0</v>
      </c>
      <c r="AI155" s="3022" t="b">
        <f t="shared" si="47"/>
        <v>0</v>
      </c>
      <c r="AJ155" s="3022" t="b">
        <f t="shared" si="48"/>
        <v>0</v>
      </c>
      <c r="AL155" s="1900" t="e">
        <f t="shared" si="38"/>
        <v>#N/A</v>
      </c>
      <c r="AN155" s="1900" t="e">
        <f t="shared" si="39"/>
        <v>#N/A</v>
      </c>
      <c r="AP155" s="1900" t="e">
        <f t="shared" si="40"/>
        <v>#N/A</v>
      </c>
      <c r="AR155" s="1900" t="e">
        <f t="shared" si="41"/>
        <v>#N/A</v>
      </c>
      <c r="AT155" s="1900" t="e">
        <f t="shared" si="42"/>
        <v>#N/A</v>
      </c>
    </row>
    <row r="156" spans="1:46" ht="12" customHeight="1" x14ac:dyDescent="0.2">
      <c r="A156" s="1880"/>
      <c r="B156" s="2157" t="str">
        <f>B155</f>
        <v>Vigor</v>
      </c>
      <c r="C156" s="3636"/>
      <c r="D156" s="3309"/>
      <c r="E156" s="3613" t="s">
        <v>1761</v>
      </c>
      <c r="F156" s="3614"/>
      <c r="G156" s="3614"/>
      <c r="H156" s="2092" t="s">
        <v>1692</v>
      </c>
      <c r="I156" s="2077"/>
      <c r="J156" s="184">
        <f>IF(ISNA(AL156),0,MAX(MIN(AL156-VLOOKUP("Apto en campo: "&amp;$B156,Tabla_Ventajas,3,FALSE)-Tablas!$O299-2*Tablas!$Q299-3*Tablas!$S299,3),1))</f>
        <v>0</v>
      </c>
      <c r="K156" s="1514"/>
      <c r="L156" s="184">
        <f>IF(ISNA(AN156),0,MAX(MIN(AN156-VLOOKUP("Apto en campo: "&amp;$B156,Tabla_Ventajas,3,FALSE)-Tablas!$O299-2*Tablas!$Q299-3*Tablas!$S299,3),1))</f>
        <v>0</v>
      </c>
      <c r="M156" s="1549"/>
      <c r="N156" s="1210">
        <f>IF(ISNA(AP156),0,MAX(MIN(AP156-VLOOKUP("Apto en campo: "&amp;$B156,Tabla_Ventajas,3,FALSE)-Tablas!$O299-2*Tablas!$Q299-3*Tablas!$S299,3),1))</f>
        <v>0</v>
      </c>
      <c r="O156" s="1514"/>
      <c r="P156" s="184">
        <f>IF(ISNA(AR156),0,MAX(MIN(AR156-VLOOKUP("Apto en campo: "&amp;$B156,Tabla_Ventajas,3,FALSE)-Tablas!$O299-2*Tablas!$Q299-3*Tablas!$S299,3),1))</f>
        <v>0</v>
      </c>
      <c r="Q156" s="1549"/>
      <c r="R156" s="1210">
        <f>IF(ISNA(AT156),0,MAX(MIN(AT156-VLOOKUP("Apto en campo: "&amp;$B156,Tabla_Ventajas,3,FALSE)-Tablas!$O299-2*Tablas!$Q299-3*Tablas!$S299,3),1))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3090">
        <f t="shared" si="35"/>
        <v>0</v>
      </c>
      <c r="AC156" s="1706"/>
      <c r="AE156" s="302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84">
        <f>IF(AF$123,IF(OR(Region="",ClaseSocial="",Personalización!$AN$21),0,IF(OR(AND(AI156,AJ156),AND(NOT(AI156),NOT(AJ156))),LEFT(AG156,2)+LEFT(AH156,2),0)),0)</f>
        <v>0</v>
      </c>
      <c r="AG156" s="2715" t="e">
        <f>HLOOKUP(Region&amp;ClaseSocial,Tabla_RaicesCulturales,Tablas!F172,FALSE)</f>
        <v>#N/A</v>
      </c>
      <c r="AH156" s="3022">
        <f>IF(AND(E156="Historia",Personalización!$E$26="Historia (Local)"),20&amp;" "&amp;Personalización!$E$26,IF(OR(E156=Personalización!$E$25,E156=Personalización!$E$26),VLOOKUP(E156,Tablas!$L$136:$M$137,2,FALSE),0))</f>
        <v>0</v>
      </c>
      <c r="AI156" s="3022" t="b">
        <f t="shared" si="47"/>
        <v>0</v>
      </c>
      <c r="AJ156" s="3022" t="b">
        <f t="shared" si="48"/>
        <v>0</v>
      </c>
      <c r="AL156" s="1900" t="e">
        <f t="shared" si="38"/>
        <v>#N/A</v>
      </c>
      <c r="AN156" s="1900" t="e">
        <f t="shared" si="39"/>
        <v>#N/A</v>
      </c>
      <c r="AP156" s="1900" t="e">
        <f t="shared" si="40"/>
        <v>#N/A</v>
      </c>
      <c r="AR156" s="1900" t="e">
        <f t="shared" si="41"/>
        <v>#N/A</v>
      </c>
      <c r="AT156" s="1900" t="e">
        <f t="shared" si="42"/>
        <v>#N/A</v>
      </c>
    </row>
    <row r="157" spans="1:46" ht="12" customHeight="1" x14ac:dyDescent="0.2">
      <c r="A157" s="1880"/>
      <c r="B157" s="2157" t="str">
        <f>B156</f>
        <v>Vigor</v>
      </c>
      <c r="C157" s="3636"/>
      <c r="D157" s="3309"/>
      <c r="E157" s="3615" t="s">
        <v>1764</v>
      </c>
      <c r="F157" s="3616"/>
      <c r="G157" s="3616"/>
      <c r="H157" s="2091" t="s">
        <v>1701</v>
      </c>
      <c r="I157" s="2076"/>
      <c r="J157" s="183">
        <f>IF(ISNA(AL157),0,MAX(MIN(AL157-VLOOKUP("Apto en campo: "&amp;$B157,Tabla_Ventajas,3,FALSE)-Tablas!$O300-2*Tablas!$Q300-3*Tablas!$S300,3),1))</f>
        <v>0</v>
      </c>
      <c r="K157" s="1513"/>
      <c r="L157" s="183">
        <f>IF(ISNA(AN157),0,MAX(MIN(AN157-VLOOKUP("Apto en campo: "&amp;$B157,Tabla_Ventajas,3,FALSE)-Tablas!$O300-2*Tablas!$Q300-3*Tablas!$S300,3),1))</f>
        <v>0</v>
      </c>
      <c r="M157" s="169"/>
      <c r="N157" s="1209">
        <f>IF(ISNA(AP157),0,MAX(MIN(AP157-VLOOKUP("Apto en campo: "&amp;$B157,Tabla_Ventajas,3,FALSE)-Tablas!$O300-2*Tablas!$Q300-3*Tablas!$S300,3),1))</f>
        <v>0</v>
      </c>
      <c r="O157" s="1513"/>
      <c r="P157" s="183">
        <f>IF(ISNA(AR157),0,MAX(MIN(AR157-VLOOKUP("Apto en campo: "&amp;$B157,Tabla_Ventajas,3,FALSE)-Tablas!$O300-2*Tablas!$Q300-3*Tablas!$S300,3),1))</f>
        <v>0</v>
      </c>
      <c r="Q157" s="169"/>
      <c r="R157" s="1209">
        <f>IF(ISNA(AT157),0,MAX(MIN(AT157-VLOOKUP("Apto en campo: "&amp;$B157,Tabla_Ventajas,3,FALSE)-Tablas!$O300-2*Tablas!$Q300-3*Tablas!$S300,3),1))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3090">
        <f t="shared" si="35"/>
        <v>0</v>
      </c>
      <c r="AC157" s="1706"/>
      <c r="AD157" s="2715">
        <f>Tablas!$K$1871</f>
        <v>0</v>
      </c>
      <c r="AE157" s="302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84">
        <f>IF(AF$123,IF(OR(Region="",ClaseSocial="",Personalización!$AN$21),0,IF(OR(AND(AI157,AJ157),AND(NOT(AI157),NOT(AJ157))),LEFT(AG157,2)+LEFT(AH157,2),0)),0)</f>
        <v>0</v>
      </c>
      <c r="AG157" s="2715" t="e">
        <f>HLOOKUP(Region&amp;ClaseSocial,Tabla_RaicesCulturales,Tablas!F173,FALSE)</f>
        <v>#N/A</v>
      </c>
      <c r="AH157" s="3022">
        <f>IF(AND(E157="Historia",Personalización!$E$26="Historia (Local)"),20&amp;" "&amp;Personalización!$E$26,IF(OR(E157=Personalización!$E$25,E157=Personalización!$E$26),VLOOKUP(E157,Tablas!$L$136:$M$137,2,FALSE),0))</f>
        <v>0</v>
      </c>
      <c r="AI157" s="3022" t="b">
        <f t="shared" si="47"/>
        <v>0</v>
      </c>
      <c r="AJ157" s="3022" t="b">
        <f t="shared" si="48"/>
        <v>0</v>
      </c>
      <c r="AL157" s="1900" t="e">
        <f t="shared" si="38"/>
        <v>#N/A</v>
      </c>
      <c r="AN157" s="1900" t="e">
        <f t="shared" si="39"/>
        <v>#N/A</v>
      </c>
      <c r="AP157" s="1900" t="e">
        <f t="shared" si="40"/>
        <v>#N/A</v>
      </c>
      <c r="AR157" s="1900" t="e">
        <f t="shared" si="41"/>
        <v>#N/A</v>
      </c>
      <c r="AT157" s="1900" t="e">
        <f t="shared" si="42"/>
        <v>#N/A</v>
      </c>
    </row>
    <row r="158" spans="1:46" ht="12" customHeight="1" x14ac:dyDescent="0.2">
      <c r="A158" s="1880"/>
      <c r="B158" s="2157" t="str">
        <f>D158</f>
        <v>Subterfugio</v>
      </c>
      <c r="C158" s="3636"/>
      <c r="D158" s="3860" t="s">
        <v>1767</v>
      </c>
      <c r="E158" s="3609" t="s">
        <v>1768</v>
      </c>
      <c r="F158" s="3610"/>
      <c r="G158" s="3610"/>
      <c r="H158" s="2096" t="s">
        <v>1687</v>
      </c>
      <c r="I158" s="2081"/>
      <c r="J158" s="1511">
        <f>IF(ISNA(AL158),0,MAX(MIN(AL158-VLOOKUP("Apto en campo: "&amp;$B158,Tabla_Ventajas,3,FALSE)-Tablas!$O301-2*Tablas!$Q301-3*Tablas!$S301,3),1))</f>
        <v>0</v>
      </c>
      <c r="K158" s="1512"/>
      <c r="L158" s="1511">
        <f>IF(ISNA(AN158),0,MAX(MIN(AN158-VLOOKUP("Apto en campo: "&amp;$B158,Tabla_Ventajas,3,FALSE)-Tablas!$O301-2*Tablas!$Q301-3*Tablas!$S301,3),1))</f>
        <v>0</v>
      </c>
      <c r="M158" s="1505"/>
      <c r="N158" s="1208">
        <f>IF(ISNA(AP158),0,MAX(MIN(AP158-VLOOKUP("Apto en campo: "&amp;$B158,Tabla_Ventajas,3,FALSE)-Tablas!$O301-2*Tablas!$Q301-3*Tablas!$S301,3),1))</f>
        <v>0</v>
      </c>
      <c r="O158" s="1512"/>
      <c r="P158" s="1511">
        <f>IF(ISNA(AR158),0,MAX(MIN(AR158-VLOOKUP("Apto en campo: "&amp;$B158,Tabla_Ventajas,3,FALSE)-Tablas!$O301-2*Tablas!$Q301-3*Tablas!$S301,3),1))</f>
        <v>0</v>
      </c>
      <c r="Q158" s="1505"/>
      <c r="R158" s="1208">
        <f>IF(ISNA(AT158),0,MAX(MIN(AT158-VLOOKUP("Apto en campo: "&amp;$B158,Tabla_Ventajas,3,FALSE)-Tablas!$O301-2*Tablas!$Q301-3*Tablas!$S301,3),1))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0</v>
      </c>
      <c r="V158" s="1520">
        <f>IF(ISNA(HLOOKUP($E158,Bonos_Cat_Base,2,FALSE)),0,HLOOKUP($E158,Bonos_Cat_Base,2,FALSE))+Tablas!$Z301*Nivel_Total+10*Y158</f>
        <v>0</v>
      </c>
      <c r="W158" s="1528"/>
      <c r="X158" s="1512"/>
      <c r="Y158" s="1505"/>
      <c r="Z158" s="2890"/>
      <c r="AA158" s="1546">
        <f>IF(AND(T158&lt;5,Tablas!G$303=0),-30,0)+T158+U158+V158+Z158+IF(I158="",0,40)+Bono_ATA+AD158+AF158</f>
        <v>-30</v>
      </c>
      <c r="AB158" s="3090">
        <f t="shared" ref="AB158:AB181" si="51">IF(AA158="-",0,IF(AA158&gt;VLOOKUP(Nivel_Total,Tabla_LímiteSecundarias,2),1,0))</f>
        <v>0</v>
      </c>
      <c r="AC158" s="1706"/>
      <c r="AE158" s="302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84">
        <f>IF(AF$123,IF(OR(Region="",ClaseSocial="",Personalización!$AN$21),0,IF(OR(AND(AI158,AJ158),AND(NOT(AI158),NOT(AJ158))),LEFT(AG158,2)+LEFT(AH158,2),0)),0)</f>
        <v>0</v>
      </c>
      <c r="AG158" s="2715" t="e">
        <f>HLOOKUP(Region&amp;ClaseSocial,Tabla_RaicesCulturales,Tablas!F174,FALSE)</f>
        <v>#N/A</v>
      </c>
      <c r="AH158" s="3022">
        <f>IF(AND(E158="Historia",Personalización!$E$26="Historia (Local)"),20&amp;" "&amp;Personalización!$E$26,IF(OR(E158=Personalización!$E$25,E158=Personalización!$E$26),VLOOKUP(E158,Tablas!$L$136:$M$137,2,FALSE),0))</f>
        <v>0</v>
      </c>
      <c r="AI158" s="3022" t="b">
        <f t="shared" ref="AI158:AI176" si="52">OR(ISNUMBER(FIND("(",AG158)),ISNUMBER(FIND("(",AH158)))</f>
        <v>0</v>
      </c>
      <c r="AJ158" s="3022" t="b">
        <f t="shared" ref="AJ158:AJ176" si="53">AND(NOT(I158=""),OR(ISNUMBER(SEARCH(I158,AG158)),ISNUMBER(SEARCH(I158,AH158))))</f>
        <v>0</v>
      </c>
      <c r="AL158" s="1900"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00"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00"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00"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00"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636"/>
      <c r="D159" s="3309"/>
      <c r="E159" s="3615" t="s">
        <v>1770</v>
      </c>
      <c r="F159" s="3616"/>
      <c r="G159" s="3616"/>
      <c r="H159" s="2091" t="s">
        <v>1687</v>
      </c>
      <c r="I159" s="2076"/>
      <c r="J159" s="183">
        <f>IF(ISNA(AL159),0,MAX(MIN(AL159-VLOOKUP("Apto en campo: "&amp;$B159,Tabla_Ventajas,3,FALSE)-Tablas!$O302-2*Tablas!$Q302-3*Tablas!$S302,3),1))</f>
        <v>0</v>
      </c>
      <c r="K159" s="1513"/>
      <c r="L159" s="183">
        <f>IF(ISNA(AN159),0,MAX(MIN(AN159-VLOOKUP("Apto en campo: "&amp;$B159,Tabla_Ventajas,3,FALSE)-Tablas!$O302-2*Tablas!$Q302-3*Tablas!$S302,3),1))</f>
        <v>0</v>
      </c>
      <c r="M159" s="169"/>
      <c r="N159" s="1209">
        <f>IF(ISNA(AP159),0,MAX(MIN(AP159-VLOOKUP("Apto en campo: "&amp;$B159,Tabla_Ventajas,3,FALSE)-Tablas!$O302-2*Tablas!$Q302-3*Tablas!$S302,3),1))</f>
        <v>0</v>
      </c>
      <c r="O159" s="1513"/>
      <c r="P159" s="183">
        <f>IF(ISNA(AR159),0,MAX(MIN(AR159-VLOOKUP("Apto en campo: "&amp;$B159,Tabla_Ventajas,3,FALSE)-Tablas!$O302-2*Tablas!$Q302-3*Tablas!$S302,3),1))</f>
        <v>0</v>
      </c>
      <c r="Q159" s="169"/>
      <c r="R159" s="1209">
        <f>IF(ISNA(AT159),0,MAX(MIN(AT159-VLOOKUP("Apto en campo: "&amp;$B159,Tabla_Ventajas,3,FALSE)-Tablas!$O302-2*Tablas!$Q302-3*Tablas!$S302,3),1))</f>
        <v>0</v>
      </c>
      <c r="S159" s="1513"/>
      <c r="T159" s="1521">
        <f t="shared" si="49"/>
        <v>0</v>
      </c>
      <c r="U159" s="1521">
        <f t="shared" si="50"/>
        <v>0</v>
      </c>
      <c r="V159" s="1521">
        <f>IF(ISNA(HLOOKUP($E159,Bonos_Cat_Base,2,FALSE)),0,HLOOKUP($E159,Bonos_Cat_Base,2,FALSE))+Tablas!$Z302*Nivel_Total+10*Y159</f>
        <v>0</v>
      </c>
      <c r="W159" s="1529"/>
      <c r="X159" s="1513"/>
      <c r="Y159" s="169"/>
      <c r="Z159" s="2885"/>
      <c r="AA159" s="1541">
        <f>IF(AND(T159&lt;5,Tablas!G$303=0),-30,0)+T159+U159+V159+Z159+IF(I159="",0,40)+Bono_ATA+AD159+AF159</f>
        <v>-30</v>
      </c>
      <c r="AB159" s="3090">
        <f t="shared" si="51"/>
        <v>0</v>
      </c>
      <c r="AC159" s="1706"/>
      <c r="AE159" s="302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84">
        <f>IF(AF$123,IF(OR(Region="",ClaseSocial="",Personalización!$AN$21),0,IF(OR(AND(AI159,AJ159),AND(NOT(AI159),NOT(AJ159))),LEFT(AG159,2)+LEFT(AH159,2),0)),0)</f>
        <v>0</v>
      </c>
      <c r="AG159" s="2715" t="e">
        <f>HLOOKUP(Region&amp;ClaseSocial,Tabla_RaicesCulturales,Tablas!F175,FALSE)</f>
        <v>#N/A</v>
      </c>
      <c r="AH159" s="3022">
        <f>IF(AND(E159="Historia",Personalización!$E$26="Historia (Local)"),20&amp;" "&amp;Personalización!$E$26,IF(OR(E159=Personalización!$E$25,E159=Personalización!$E$26),VLOOKUP(E159,Tablas!$L$136:$M$137,2,FALSE),0))</f>
        <v>0</v>
      </c>
      <c r="AI159" s="3022" t="b">
        <f t="shared" si="52"/>
        <v>0</v>
      </c>
      <c r="AJ159" s="3022" t="b">
        <f t="shared" si="53"/>
        <v>0</v>
      </c>
      <c r="AL159" s="1900" t="e">
        <f t="shared" si="54"/>
        <v>#N/A</v>
      </c>
      <c r="AN159" s="1900" t="e">
        <f t="shared" si="55"/>
        <v>#N/A</v>
      </c>
      <c r="AP159" s="1900" t="e">
        <f t="shared" si="56"/>
        <v>#N/A</v>
      </c>
      <c r="AR159" s="1900" t="e">
        <f t="shared" si="57"/>
        <v>#N/A</v>
      </c>
      <c r="AT159" s="1900" t="e">
        <f t="shared" si="58"/>
        <v>#N/A</v>
      </c>
    </row>
    <row r="160" spans="1:46" ht="12" customHeight="1" x14ac:dyDescent="0.2">
      <c r="A160" s="1880"/>
      <c r="B160" s="2157" t="str">
        <f t="shared" si="59"/>
        <v>Subterfugio</v>
      </c>
      <c r="C160" s="3636"/>
      <c r="D160" s="3309"/>
      <c r="E160" s="3613" t="s">
        <v>1772</v>
      </c>
      <c r="F160" s="3614"/>
      <c r="G160" s="3614"/>
      <c r="H160" s="2092" t="s">
        <v>1698</v>
      </c>
      <c r="I160" s="2077"/>
      <c r="J160" s="184">
        <f>IF(ISNA(AL160),0,MAX(MIN(AL160-VLOOKUP("Apto en campo: "&amp;$B160,Tabla_Ventajas,3,FALSE)-Tablas!$O303-2*Tablas!$Q303-3*Tablas!$S303,3),1))</f>
        <v>0</v>
      </c>
      <c r="K160" s="1514"/>
      <c r="L160" s="184">
        <f>IF(ISNA(AN160),0,MAX(MIN(AN160-VLOOKUP("Apto en campo: "&amp;$B160,Tabla_Ventajas,3,FALSE)-Tablas!$O303-2*Tablas!$Q303-3*Tablas!$S303,3),1))</f>
        <v>0</v>
      </c>
      <c r="M160" s="1549"/>
      <c r="N160" s="1210">
        <f>IF(ISNA(AP160),0,MAX(MIN(AP160-VLOOKUP("Apto en campo: "&amp;$B160,Tabla_Ventajas,3,FALSE)-Tablas!$O303-2*Tablas!$Q303-3*Tablas!$S303,3),1))</f>
        <v>0</v>
      </c>
      <c r="O160" s="1514"/>
      <c r="P160" s="184">
        <f>IF(ISNA(AR160),0,MAX(MIN(AR160-VLOOKUP("Apto en campo: "&amp;$B160,Tabla_Ventajas,3,FALSE)-Tablas!$O303-2*Tablas!$Q303-3*Tablas!$S303,3),1))</f>
        <v>0</v>
      </c>
      <c r="Q160" s="1549"/>
      <c r="R160" s="1210">
        <f>IF(ISNA(AT160),0,MAX(MIN(AT160-VLOOKUP("Apto en campo: "&amp;$B160,Tabla_Ventajas,3,FALSE)-Tablas!$O303-2*Tablas!$Q303-3*Tablas!$S303,3),1))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3090">
        <f t="shared" si="51"/>
        <v>0</v>
      </c>
      <c r="AC160" s="1706"/>
      <c r="AE160" s="302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84">
        <f>IF(AF$123,IF(OR(Region="",ClaseSocial="",Personalización!$AN$21),0,IF(OR(AND(AI160,AJ160),AND(NOT(AI160),NOT(AJ160))),LEFT(AG160,2)+LEFT(AH160,2),0)),0)</f>
        <v>0</v>
      </c>
      <c r="AG160" s="2715" t="e">
        <f>HLOOKUP(Region&amp;ClaseSocial,Tabla_RaicesCulturales,Tablas!F176,FALSE)</f>
        <v>#N/A</v>
      </c>
      <c r="AH160" s="3022">
        <f>IF(AND(E160="Historia",Personalización!$E$26="Historia (Local)"),20&amp;" "&amp;Personalización!$E$26,IF(OR(E160=Personalización!$E$25,E160=Personalización!$E$26),VLOOKUP(E160,Tablas!$L$136:$M$137,2,FALSE),0))</f>
        <v>0</v>
      </c>
      <c r="AI160" s="3022" t="b">
        <f t="shared" si="52"/>
        <v>0</v>
      </c>
      <c r="AJ160" s="3022" t="b">
        <f t="shared" si="53"/>
        <v>0</v>
      </c>
      <c r="AL160" s="1900" t="e">
        <f t="shared" si="54"/>
        <v>#N/A</v>
      </c>
      <c r="AN160" s="1900" t="e">
        <f t="shared" si="55"/>
        <v>#N/A</v>
      </c>
      <c r="AP160" s="1900" t="e">
        <f t="shared" si="56"/>
        <v>#N/A</v>
      </c>
      <c r="AR160" s="1900" t="e">
        <f t="shared" si="57"/>
        <v>#N/A</v>
      </c>
      <c r="AT160" s="1900" t="e">
        <f t="shared" si="58"/>
        <v>#N/A</v>
      </c>
    </row>
    <row r="161" spans="1:46" ht="12" customHeight="1" x14ac:dyDescent="0.2">
      <c r="A161" s="1880"/>
      <c r="B161" s="2157" t="str">
        <f t="shared" si="59"/>
        <v>Subterfugio</v>
      </c>
      <c r="C161" s="3636"/>
      <c r="D161" s="3309"/>
      <c r="E161" s="3615" t="s">
        <v>1774</v>
      </c>
      <c r="F161" s="3616"/>
      <c r="G161" s="3616"/>
      <c r="H161" s="2091" t="s">
        <v>1687</v>
      </c>
      <c r="I161" s="2076"/>
      <c r="J161" s="183">
        <f>IF(ISNA(AL161),0,MAX(MIN(AL161-VLOOKUP("Apto en campo: "&amp;$B161,Tabla_Ventajas,3,FALSE)-Tablas!$O304-2*Tablas!$Q304-3*Tablas!$S304,3),1))</f>
        <v>0</v>
      </c>
      <c r="K161" s="1513"/>
      <c r="L161" s="183">
        <f>IF(ISNA(AN161),0,MAX(MIN(AN161-VLOOKUP("Apto en campo: "&amp;$B161,Tabla_Ventajas,3,FALSE)-Tablas!$O304-2*Tablas!$Q304-3*Tablas!$S304,3),1))</f>
        <v>0</v>
      </c>
      <c r="M161" s="169"/>
      <c r="N161" s="1209">
        <f>IF(ISNA(AP161),0,MAX(MIN(AP161-VLOOKUP("Apto en campo: "&amp;$B161,Tabla_Ventajas,3,FALSE)-Tablas!$O304-2*Tablas!$Q304-3*Tablas!$S304,3),1))</f>
        <v>0</v>
      </c>
      <c r="O161" s="1513"/>
      <c r="P161" s="183">
        <f>IF(ISNA(AR161),0,MAX(MIN(AR161-VLOOKUP("Apto en campo: "&amp;$B161,Tabla_Ventajas,3,FALSE)-Tablas!$O304-2*Tablas!$Q304-3*Tablas!$S304,3),1))</f>
        <v>0</v>
      </c>
      <c r="Q161" s="169"/>
      <c r="R161" s="1209">
        <f>IF(ISNA(AT161),0,MAX(MIN(AT161-VLOOKUP("Apto en campo: "&amp;$B161,Tabla_Ventajas,3,FALSE)-Tablas!$O304-2*Tablas!$Q304-3*Tablas!$S304,3),1))</f>
        <v>0</v>
      </c>
      <c r="S161" s="1513"/>
      <c r="T161" s="1521">
        <f t="shared" si="49"/>
        <v>0</v>
      </c>
      <c r="U161" s="1521">
        <f t="shared" si="50"/>
        <v>0</v>
      </c>
      <c r="V161" s="1521">
        <f>IF(ISNA(HLOOKUP($E161,Bonos_Cat_Base,2,FALSE)),0,HLOOKUP($E161,Bonos_Cat_Base,2,FALSE))+Tablas!$Z304*Nivel_Total+10*Y161</f>
        <v>0</v>
      </c>
      <c r="W161" s="1529"/>
      <c r="X161" s="1513"/>
      <c r="Y161" s="169"/>
      <c r="Z161" s="2885"/>
      <c r="AA161" s="1541">
        <f>IF(AND(T161&lt;5,Tablas!G$303=0),-30,0)+T161+U161+V161+Z161+IF(I161="",0,40)+Bono_ATA+AD161+AF161</f>
        <v>-30</v>
      </c>
      <c r="AB161" s="3090">
        <f t="shared" si="51"/>
        <v>0</v>
      </c>
      <c r="AC161" s="1706"/>
      <c r="AE161" s="302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84">
        <f>IF(AF$123,IF(OR(Region="",ClaseSocial="",Personalización!$AN$21),0,IF(OR(AND(AI161,AJ161),AND(NOT(AI161),NOT(AJ161))),LEFT(AG161,2)+LEFT(AH161,2),0)),0)</f>
        <v>0</v>
      </c>
      <c r="AG161" s="2715" t="e">
        <f>HLOOKUP(Region&amp;ClaseSocial,Tabla_RaicesCulturales,Tablas!F177,FALSE)</f>
        <v>#N/A</v>
      </c>
      <c r="AH161" s="3022">
        <f>IF(AND(E161="Historia",Personalización!$E$26="Historia (Local)"),20&amp;" "&amp;Personalización!$E$26,IF(OR(E161=Personalización!$E$25,E161=Personalización!$E$26),VLOOKUP(E161,Tablas!$L$136:$M$137,2,FALSE),0))</f>
        <v>0</v>
      </c>
      <c r="AI161" s="3022" t="b">
        <f t="shared" si="52"/>
        <v>0</v>
      </c>
      <c r="AJ161" s="3022" t="b">
        <f t="shared" si="53"/>
        <v>0</v>
      </c>
      <c r="AL161" s="1900" t="e">
        <f t="shared" si="54"/>
        <v>#N/A</v>
      </c>
      <c r="AN161" s="1900" t="e">
        <f t="shared" si="55"/>
        <v>#N/A</v>
      </c>
      <c r="AP161" s="1900" t="e">
        <f t="shared" si="56"/>
        <v>#N/A</v>
      </c>
      <c r="AR161" s="1900" t="e">
        <f t="shared" si="57"/>
        <v>#N/A</v>
      </c>
      <c r="AT161" s="1900" t="e">
        <f t="shared" si="58"/>
        <v>#N/A</v>
      </c>
    </row>
    <row r="162" spans="1:46" ht="12" customHeight="1" x14ac:dyDescent="0.2">
      <c r="A162" s="1880"/>
      <c r="B162" s="2157" t="str">
        <f t="shared" si="59"/>
        <v>Subterfugio</v>
      </c>
      <c r="C162" s="3636"/>
      <c r="D162" s="3309"/>
      <c r="E162" s="3613" t="s">
        <v>1776</v>
      </c>
      <c r="F162" s="3614"/>
      <c r="G162" s="3614"/>
      <c r="H162" s="2092" t="s">
        <v>1682</v>
      </c>
      <c r="I162" s="2077"/>
      <c r="J162" s="184">
        <f>IF(ISNA(AL162),0,MAX(MIN(AL162-VLOOKUP("Apto en campo: "&amp;$B162,Tabla_Ventajas,3,FALSE)-Tablas!$O305-2*Tablas!$Q305-3*Tablas!$S305,3),1))</f>
        <v>0</v>
      </c>
      <c r="K162" s="1514"/>
      <c r="L162" s="184">
        <f>IF(ISNA(AN162),0,MAX(MIN(AN162-VLOOKUP("Apto en campo: "&amp;$B162,Tabla_Ventajas,3,FALSE)-Tablas!$O305-2*Tablas!$Q305-3*Tablas!$S305,3),1))</f>
        <v>0</v>
      </c>
      <c r="M162" s="1549"/>
      <c r="N162" s="1210">
        <f>IF(ISNA(AP162),0,MAX(MIN(AP162-VLOOKUP("Apto en campo: "&amp;$B162,Tabla_Ventajas,3,FALSE)-Tablas!$O305-2*Tablas!$Q305-3*Tablas!$S305,3),1))</f>
        <v>0</v>
      </c>
      <c r="O162" s="1514"/>
      <c r="P162" s="184">
        <f>IF(ISNA(AR162),0,MAX(MIN(AR162-VLOOKUP("Apto en campo: "&amp;$B162,Tabla_Ventajas,3,FALSE)-Tablas!$O305-2*Tablas!$Q305-3*Tablas!$S305,3),1))</f>
        <v>0</v>
      </c>
      <c r="Q162" s="1549"/>
      <c r="R162" s="1210">
        <f>IF(ISNA(AT162),0,MAX(MIN(AT162-VLOOKUP("Apto en campo: "&amp;$B162,Tabla_Ventajas,3,FALSE)-Tablas!$O305-2*Tablas!$Q305-3*Tablas!$S305,3),1))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3090">
        <f t="shared" si="51"/>
        <v>0</v>
      </c>
      <c r="AC162" s="1706"/>
      <c r="AE162" s="302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84">
        <f>IF(AF$123,IF(OR(Region="",ClaseSocial="",Personalización!$AN$21),0,IF(OR(AND(AI162,AJ162),AND(NOT(AI162),NOT(AJ162))),LEFT(AG162,2)+LEFT(AH162,2),0)),0)</f>
        <v>0</v>
      </c>
      <c r="AG162" s="2715" t="e">
        <f>HLOOKUP(Region&amp;ClaseSocial,Tabla_RaicesCulturales,Tablas!F178,FALSE)</f>
        <v>#N/A</v>
      </c>
      <c r="AH162" s="3022">
        <f>IF(AND(E162="Historia",Personalización!$E$26="Historia (Local)"),20&amp;" "&amp;Personalización!$E$26,IF(OR(E162=Personalización!$E$25,E162=Personalización!$E$26),VLOOKUP(E162,Tablas!$L$136:$M$137,2,FALSE),0))</f>
        <v>0</v>
      </c>
      <c r="AI162" s="3022" t="b">
        <f t="shared" si="52"/>
        <v>0</v>
      </c>
      <c r="AJ162" s="3022" t="b">
        <f t="shared" si="53"/>
        <v>0</v>
      </c>
      <c r="AL162" s="1900" t="e">
        <f t="shared" si="54"/>
        <v>#N/A</v>
      </c>
      <c r="AN162" s="1900" t="e">
        <f t="shared" si="55"/>
        <v>#N/A</v>
      </c>
      <c r="AP162" s="1900" t="e">
        <f t="shared" si="56"/>
        <v>#N/A</v>
      </c>
      <c r="AR162" s="1900" t="e">
        <f t="shared" si="57"/>
        <v>#N/A</v>
      </c>
      <c r="AT162" s="1900" t="e">
        <f t="shared" si="58"/>
        <v>#N/A</v>
      </c>
    </row>
    <row r="163" spans="1:46" ht="12" customHeight="1" x14ac:dyDescent="0.2">
      <c r="A163" s="1880"/>
      <c r="B163" s="2157" t="str">
        <f t="shared" si="59"/>
        <v>Subterfugio</v>
      </c>
      <c r="C163" s="3636"/>
      <c r="D163" s="3309"/>
      <c r="E163" s="3615" t="s">
        <v>1778</v>
      </c>
      <c r="F163" s="3616"/>
      <c r="G163" s="3616"/>
      <c r="H163" s="2091" t="s">
        <v>1687</v>
      </c>
      <c r="I163" s="2076"/>
      <c r="J163" s="183">
        <f>IF(ISNA(AL163),0,MAX(MIN(AL163-VLOOKUP("Apto en campo: "&amp;$B163,Tabla_Ventajas,3,FALSE)-Tablas!$O306-2*Tablas!$Q306-3*Tablas!$S306,3),1))</f>
        <v>0</v>
      </c>
      <c r="K163" s="1513"/>
      <c r="L163" s="183">
        <f>IF(ISNA(AN163),0,MAX(MIN(AN163-VLOOKUP("Apto en campo: "&amp;$B163,Tabla_Ventajas,3,FALSE)-Tablas!$O306-2*Tablas!$Q306-3*Tablas!$S306,3),1))</f>
        <v>0</v>
      </c>
      <c r="M163" s="169"/>
      <c r="N163" s="1209">
        <f>IF(ISNA(AP163),0,MAX(MIN(AP163-VLOOKUP("Apto en campo: "&amp;$B163,Tabla_Ventajas,3,FALSE)-Tablas!$O306-2*Tablas!$Q306-3*Tablas!$S306,3),1))</f>
        <v>0</v>
      </c>
      <c r="O163" s="1513"/>
      <c r="P163" s="183">
        <f>IF(ISNA(AR163),0,MAX(MIN(AR163-VLOOKUP("Apto en campo: "&amp;$B163,Tabla_Ventajas,3,FALSE)-Tablas!$O306-2*Tablas!$Q306-3*Tablas!$S306,3),1))</f>
        <v>0</v>
      </c>
      <c r="Q163" s="169"/>
      <c r="R163" s="1209">
        <f>IF(ISNA(AT163),0,MAX(MIN(AT163-VLOOKUP("Apto en campo: "&amp;$B163,Tabla_Ventajas,3,FALSE)-Tablas!$O306-2*Tablas!$Q306-3*Tablas!$S306,3),1))</f>
        <v>0</v>
      </c>
      <c r="S163" s="1513"/>
      <c r="T163" s="1521">
        <f t="shared" si="49"/>
        <v>0</v>
      </c>
      <c r="U163" s="1521">
        <f t="shared" si="50"/>
        <v>0</v>
      </c>
      <c r="V163" s="1521">
        <f>IF(ISNA(HLOOKUP($E163,Bonos_Cat_Base,2,FALSE)),0,HLOOKUP($E163,Bonos_Cat_Base,2,FALSE))+Tablas!$Z306*Nivel_Total+10*Y163</f>
        <v>0</v>
      </c>
      <c r="W163" s="1529"/>
      <c r="X163" s="1513"/>
      <c r="Y163" s="169"/>
      <c r="Z163" s="2885"/>
      <c r="AA163" s="1541">
        <f>IF(AND(T163&lt;5,Tablas!G$303=0),-30,0)+T163+U163+V163+Z163+IF(I163="",0,40)+Bono_ATA+AD163+AF163</f>
        <v>-30</v>
      </c>
      <c r="AB163" s="3090">
        <f t="shared" si="51"/>
        <v>0</v>
      </c>
      <c r="AC163" s="1706"/>
      <c r="AE163" s="302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84">
        <f>IF(AF$123,IF(OR(Region="",ClaseSocial="",Personalización!$AN$21),0,IF(OR(AND(AI163,AJ163),AND(NOT(AI163),NOT(AJ163))),LEFT(AG163,2)+LEFT(AH163,2),0)),0)</f>
        <v>0</v>
      </c>
      <c r="AG163" s="2715" t="e">
        <f>HLOOKUP(Region&amp;ClaseSocial,Tabla_RaicesCulturales,Tablas!F179,FALSE)</f>
        <v>#N/A</v>
      </c>
      <c r="AH163" s="3022">
        <f>IF(AND(E163="Historia",Personalización!$E$26="Historia (Local)"),20&amp;" "&amp;Personalización!$E$26,IF(OR(E163=Personalización!$E$25,E163=Personalización!$E$26),VLOOKUP(E163,Tablas!$L$136:$M$137,2,FALSE),0))</f>
        <v>0</v>
      </c>
      <c r="AI163" s="3022" t="b">
        <f t="shared" si="52"/>
        <v>0</v>
      </c>
      <c r="AJ163" s="3022" t="b">
        <f t="shared" si="53"/>
        <v>0</v>
      </c>
      <c r="AL163" s="1900" t="e">
        <f t="shared" si="54"/>
        <v>#N/A</v>
      </c>
      <c r="AN163" s="1900" t="e">
        <f t="shared" si="55"/>
        <v>#N/A</v>
      </c>
      <c r="AP163" s="1900" t="e">
        <f t="shared" si="56"/>
        <v>#N/A</v>
      </c>
      <c r="AR163" s="1900" t="e">
        <f t="shared" si="57"/>
        <v>#N/A</v>
      </c>
      <c r="AT163" s="1900" t="e">
        <f t="shared" si="58"/>
        <v>#N/A</v>
      </c>
    </row>
    <row r="164" spans="1:46" ht="12" customHeight="1" x14ac:dyDescent="0.2">
      <c r="A164" s="1880"/>
      <c r="B164" s="2157" t="str">
        <f t="shared" si="59"/>
        <v>Subterfugio</v>
      </c>
      <c r="C164" s="3636"/>
      <c r="D164" s="3310"/>
      <c r="E164" s="3625" t="s">
        <v>1779</v>
      </c>
      <c r="F164" s="3626"/>
      <c r="G164" s="3626"/>
      <c r="H164" s="2092" t="s">
        <v>1695</v>
      </c>
      <c r="I164" s="2077"/>
      <c r="J164" s="1506">
        <f>IF(ISNA(AL164),0,MAX(MIN(AL164-VLOOKUP("Apto en campo: "&amp;$B164,Tabla_Ventajas,3,FALSE)-Tablas!$O307-2*Tablas!$Q307-3*Tablas!$S307,3),1))</f>
        <v>0</v>
      </c>
      <c r="K164" s="1516"/>
      <c r="L164" s="1506">
        <f>IF(ISNA(AN164),0,MAX(MIN(AN164-VLOOKUP("Apto en campo: "&amp;$B164,Tabla_Ventajas,3,FALSE)-Tablas!$O307-2*Tablas!$Q307-3*Tablas!$S307,3),1))</f>
        <v>0</v>
      </c>
      <c r="M164" s="1507"/>
      <c r="N164" s="1515">
        <f>IF(ISNA(AP164),0,MAX(MIN(AP164-VLOOKUP("Apto en campo: "&amp;$B164,Tabla_Ventajas,3,FALSE)-Tablas!$O307-2*Tablas!$Q307-3*Tablas!$S307,3),1))</f>
        <v>0</v>
      </c>
      <c r="O164" s="1516"/>
      <c r="P164" s="1506">
        <f>IF(ISNA(AR164),0,MAX(MIN(AR164-VLOOKUP("Apto en campo: "&amp;$B164,Tabla_Ventajas,3,FALSE)-Tablas!$O307-2*Tablas!$Q307-3*Tablas!$S307,3),1))</f>
        <v>0</v>
      </c>
      <c r="Q164" s="1507"/>
      <c r="R164" s="1515">
        <f>IF(ISNA(AT164),0,MAX(MIN(AT164-VLOOKUP("Apto en campo: "&amp;$B164,Tabla_Ventajas,3,FALSE)-Tablas!$O307-2*Tablas!$Q307-3*Tablas!$S307,3),1))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3090">
        <f t="shared" si="51"/>
        <v>0</v>
      </c>
      <c r="AC164" s="1706"/>
      <c r="AE164" s="302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84">
        <f>IF(AF$123,IF(OR(Region="",ClaseSocial="",Personalización!$AN$21),0,IF(OR(AND(AI164,AJ164),AND(NOT(AI164),NOT(AJ164))),LEFT(AG164,2)+LEFT(AH164,2),0)),0)</f>
        <v>0</v>
      </c>
      <c r="AG164" s="2715" t="e">
        <f>HLOOKUP(Region&amp;ClaseSocial,Tabla_RaicesCulturales,Tablas!F180,FALSE)</f>
        <v>#N/A</v>
      </c>
      <c r="AH164" s="3022">
        <f>IF(AND(E164="Historia",Personalización!$E$26="Historia (Local)"),20&amp;" "&amp;Personalización!$E$26,IF(OR(E164=Personalización!$E$25,E164=Personalización!$E$26),VLOOKUP(E164,Tablas!$L$136:$M$137,2,FALSE),0))</f>
        <v>0</v>
      </c>
      <c r="AI164" s="3022" t="b">
        <f t="shared" si="52"/>
        <v>0</v>
      </c>
      <c r="AJ164" s="3022" t="b">
        <f t="shared" si="53"/>
        <v>0</v>
      </c>
      <c r="AL164" s="1900" t="e">
        <f t="shared" si="54"/>
        <v>#N/A</v>
      </c>
      <c r="AN164" s="1900" t="e">
        <f t="shared" si="55"/>
        <v>#N/A</v>
      </c>
      <c r="AP164" s="1900" t="e">
        <f t="shared" si="56"/>
        <v>#N/A</v>
      </c>
      <c r="AR164" s="1900" t="e">
        <f t="shared" si="57"/>
        <v>#N/A</v>
      </c>
      <c r="AT164" s="1900" t="e">
        <f t="shared" si="58"/>
        <v>#N/A</v>
      </c>
    </row>
    <row r="165" spans="1:46" ht="12" customHeight="1" x14ac:dyDescent="0.2">
      <c r="A165" s="1880"/>
      <c r="B165" s="2157" t="str">
        <f>D165</f>
        <v>Creativas</v>
      </c>
      <c r="C165" s="3636"/>
      <c r="D165" s="3309" t="s">
        <v>1780</v>
      </c>
      <c r="E165" s="3615" t="s">
        <v>1781</v>
      </c>
      <c r="F165" s="3616"/>
      <c r="G165" s="3616"/>
      <c r="H165" s="2093" t="s">
        <v>1700</v>
      </c>
      <c r="I165" s="1683"/>
      <c r="J165" s="183">
        <f>IF(ISNA(AL165),0,MAX(MIN(AL165-VLOOKUP("Apto en campo: "&amp;$B165,Tabla_Ventajas,3,FALSE)-Tablas!$O308-2*Tablas!$Q308-3*Tablas!$S308,3),1))</f>
        <v>0</v>
      </c>
      <c r="K165" s="1513"/>
      <c r="L165" s="183">
        <f>IF(ISNA(AN165),0,MAX(MIN(AN165-VLOOKUP("Apto en campo: "&amp;$B165,Tabla_Ventajas,3,FALSE)-Tablas!$O308-2*Tablas!$Q308-3*Tablas!$S308,3),1))</f>
        <v>0</v>
      </c>
      <c r="M165" s="169"/>
      <c r="N165" s="1209">
        <f>IF(ISNA(AP165),0,MAX(MIN(AP165-VLOOKUP("Apto en campo: "&amp;$B165,Tabla_Ventajas,3,FALSE)-Tablas!$O308-2*Tablas!$Q308-3*Tablas!$S308,3),1))</f>
        <v>0</v>
      </c>
      <c r="O165" s="1513"/>
      <c r="P165" s="183">
        <f>IF(ISNA(AR165),0,MAX(MIN(AR165-VLOOKUP("Apto en campo: "&amp;$B165,Tabla_Ventajas,3,FALSE)-Tablas!$O308-2*Tablas!$Q308-3*Tablas!$S308,3),1))</f>
        <v>0</v>
      </c>
      <c r="Q165" s="169"/>
      <c r="R165" s="1209">
        <f>IF(ISNA(AT165),0,MAX(MIN(AT165-VLOOKUP("Apto en campo: "&amp;$B165,Tabla_Ventajas,3,FALSE)-Tablas!$O308-2*Tablas!$Q308-3*Tablas!$S308,3),1))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3090">
        <f t="shared" si="51"/>
        <v>0</v>
      </c>
      <c r="AC165" s="1706"/>
      <c r="AD165" s="2715">
        <f>Tablas!$K$1756</f>
        <v>0</v>
      </c>
      <c r="AE165" s="302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84">
        <f>IF(AF$123,IF(OR(Region="",ClaseSocial="",Personalización!$AN$21),0,IF(OR(AND(AI165,AJ165),AND(NOT(AI165),NOT(AJ165))),LEFT(AG165,2)+LEFT(AH165,2),0)),0)</f>
        <v>0</v>
      </c>
      <c r="AG165" s="2715" t="e">
        <f>HLOOKUP(Region&amp;ClaseSocial,Tabla_RaicesCulturales,Tablas!F181,FALSE)</f>
        <v>#N/A</v>
      </c>
      <c r="AH165" s="3022">
        <f>IF(AND(E165="Historia",Personalización!$E$26="Historia (Local)"),20&amp;" "&amp;Personalización!$E$26,IF(OR(E165=Personalización!$E$25,E165=Personalización!$E$26),VLOOKUP(E165,Tablas!$L$136:$M$137,2,FALSE),0))</f>
        <v>0</v>
      </c>
      <c r="AI165" s="3022" t="b">
        <f t="shared" si="52"/>
        <v>0</v>
      </c>
      <c r="AJ165" s="3022" t="b">
        <f t="shared" si="53"/>
        <v>0</v>
      </c>
      <c r="AL165" s="1900" t="e">
        <f t="shared" si="54"/>
        <v>#N/A</v>
      </c>
      <c r="AN165" s="1900" t="e">
        <f t="shared" si="55"/>
        <v>#N/A</v>
      </c>
      <c r="AP165" s="1900" t="e">
        <f t="shared" si="56"/>
        <v>#N/A</v>
      </c>
      <c r="AR165" s="1900" t="e">
        <f t="shared" si="57"/>
        <v>#N/A</v>
      </c>
      <c r="AT165" s="1900" t="e">
        <f t="shared" si="58"/>
        <v>#N/A</v>
      </c>
    </row>
    <row r="166" spans="1:46" ht="12" customHeight="1" x14ac:dyDescent="0.2">
      <c r="A166" s="1880"/>
      <c r="B166" s="2157" t="str">
        <f>B165</f>
        <v>Creativas</v>
      </c>
      <c r="C166" s="3636"/>
      <c r="D166" s="3309"/>
      <c r="E166" s="3613" t="s">
        <v>1782</v>
      </c>
      <c r="F166" s="3614"/>
      <c r="G166" s="3614"/>
      <c r="H166" s="2092" t="s">
        <v>1682</v>
      </c>
      <c r="I166" s="1682"/>
      <c r="J166" s="184">
        <f>IF(ISNA(AL166),0,MAX(MIN(AL166-VLOOKUP("Apto en campo: "&amp;$B166,Tabla_Ventajas,3,FALSE)-Tablas!$O309-2*Tablas!$Q309-3*Tablas!$S309,3),1))</f>
        <v>0</v>
      </c>
      <c r="K166" s="1514"/>
      <c r="L166" s="184">
        <f>IF(ISNA(AN166),0,MAX(MIN(AN166-VLOOKUP("Apto en campo: "&amp;$B166,Tabla_Ventajas,3,FALSE)-Tablas!$O309-2*Tablas!$Q309-3*Tablas!$S309,3),1))</f>
        <v>0</v>
      </c>
      <c r="M166" s="1549"/>
      <c r="N166" s="1210">
        <f>IF(ISNA(AP166),0,MAX(MIN(AP166-VLOOKUP("Apto en campo: "&amp;$B166,Tabla_Ventajas,3,FALSE)-Tablas!$O309-2*Tablas!$Q309-3*Tablas!$S309,3),1))</f>
        <v>0</v>
      </c>
      <c r="O166" s="1514"/>
      <c r="P166" s="184">
        <f>IF(ISNA(AR166),0,MAX(MIN(AR166-VLOOKUP("Apto en campo: "&amp;$B166,Tabla_Ventajas,3,FALSE)-Tablas!$O309-2*Tablas!$Q309-3*Tablas!$S309,3),1))</f>
        <v>0</v>
      </c>
      <c r="Q166" s="1549"/>
      <c r="R166" s="1210">
        <f>IF(ISNA(AT166),0,MAX(MIN(AT166-VLOOKUP("Apto en campo: "&amp;$B166,Tabla_Ventajas,3,FALSE)-Tablas!$O309-2*Tablas!$Q309-3*Tablas!$S309,3),1))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3090">
        <f t="shared" si="51"/>
        <v>0</v>
      </c>
      <c r="AC166" s="1706"/>
      <c r="AE166" s="302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84">
        <f>IF(AF$123,IF(OR(Region="",ClaseSocial="",Personalización!$AN$21),0,IF(OR(AND(AI166,AJ166),AND(NOT(AI166),NOT(AJ166))),LEFT(AG166,2)+LEFT(AH166,2),0)),0)</f>
        <v>0</v>
      </c>
      <c r="AG166" s="2715" t="e">
        <f>HLOOKUP(Region&amp;ClaseSocial,Tabla_RaicesCulturales,Tablas!F182,FALSE)</f>
        <v>#N/A</v>
      </c>
      <c r="AH166" s="3022">
        <f>IF(AND(E166="Historia",Personalización!$E$26="Historia (Local)"),20&amp;" "&amp;Personalización!$E$26,IF(OR(E166=Personalización!$E$25,E166=Personalización!$E$26),VLOOKUP(E166,Tablas!$L$136:$M$137,2,FALSE),0))</f>
        <v>0</v>
      </c>
      <c r="AI166" s="3022" t="b">
        <f t="shared" si="52"/>
        <v>0</v>
      </c>
      <c r="AJ166" s="3022" t="b">
        <f t="shared" si="53"/>
        <v>0</v>
      </c>
      <c r="AL166" s="1900" t="e">
        <f t="shared" si="54"/>
        <v>#N/A</v>
      </c>
      <c r="AN166" s="1900" t="e">
        <f t="shared" si="55"/>
        <v>#N/A</v>
      </c>
      <c r="AP166" s="1900" t="e">
        <f t="shared" si="56"/>
        <v>#N/A</v>
      </c>
      <c r="AR166" s="1900" t="e">
        <f t="shared" si="57"/>
        <v>#N/A</v>
      </c>
      <c r="AT166" s="1900" t="e">
        <f t="shared" si="58"/>
        <v>#N/A</v>
      </c>
    </row>
    <row r="167" spans="1:46" ht="12" customHeight="1" x14ac:dyDescent="0.2">
      <c r="A167" s="1880"/>
      <c r="B167" s="2157" t="str">
        <f t="shared" ref="B167:B176" si="60">B166</f>
        <v>Creativas</v>
      </c>
      <c r="C167" s="3636"/>
      <c r="D167" s="3309"/>
      <c r="E167" s="3615" t="s">
        <v>1783</v>
      </c>
      <c r="F167" s="3616"/>
      <c r="G167" s="3616"/>
      <c r="H167" s="2091" t="s">
        <v>1687</v>
      </c>
      <c r="I167" s="1681"/>
      <c r="J167" s="183">
        <f>IF(ISNA(AL167),0,MAX(MIN(AL167-VLOOKUP("Apto en campo: "&amp;$B167,Tabla_Ventajas,3,FALSE)-Tablas!$O310-2*Tablas!$Q310-3*Tablas!$S310,3),1))</f>
        <v>0</v>
      </c>
      <c r="K167" s="1513"/>
      <c r="L167" s="183">
        <f>IF(ISNA(AN167),0,MAX(MIN(AN167-VLOOKUP("Apto en campo: "&amp;$B167,Tabla_Ventajas,3,FALSE)-Tablas!$O310-2*Tablas!$Q310-3*Tablas!$S310,3),1))</f>
        <v>0</v>
      </c>
      <c r="M167" s="169"/>
      <c r="N167" s="1209">
        <f>IF(ISNA(AP167),0,MAX(MIN(AP167-VLOOKUP("Apto en campo: "&amp;$B167,Tabla_Ventajas,3,FALSE)-Tablas!$O310-2*Tablas!$Q310-3*Tablas!$S310,3),1))</f>
        <v>0</v>
      </c>
      <c r="O167" s="1513"/>
      <c r="P167" s="183">
        <f>IF(ISNA(AR167),0,MAX(MIN(AR167-VLOOKUP("Apto en campo: "&amp;$B167,Tabla_Ventajas,3,FALSE)-Tablas!$O310-2*Tablas!$Q310-3*Tablas!$S310,3),1))</f>
        <v>0</v>
      </c>
      <c r="Q167" s="169"/>
      <c r="R167" s="1209">
        <f>IF(ISNA(AT167),0,MAX(MIN(AT167-VLOOKUP("Apto en campo: "&amp;$B167,Tabla_Ventajas,3,FALSE)-Tablas!$O310-2*Tablas!$Q310-3*Tablas!$S310,3),1))</f>
        <v>0</v>
      </c>
      <c r="S167" s="1513"/>
      <c r="T167" s="1521">
        <f t="shared" si="49"/>
        <v>0</v>
      </c>
      <c r="U167" s="1521">
        <f t="shared" si="50"/>
        <v>0</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3090">
        <f t="shared" si="51"/>
        <v>0</v>
      </c>
      <c r="AC167" s="1706"/>
      <c r="AE167" s="302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84">
        <f>IF(AF$123,IF(OR(Region="",ClaseSocial="",Personalización!$AN$21),0,IF(OR(AND(AI167,AJ167),AND(NOT(AI167),NOT(AJ167))),LEFT(AG167,2)+LEFT(AH167,2),0)),0)</f>
        <v>0</v>
      </c>
      <c r="AG167" s="2715" t="e">
        <f>HLOOKUP(Region&amp;ClaseSocial,Tabla_RaicesCulturales,Tablas!F183,FALSE)</f>
        <v>#N/A</v>
      </c>
      <c r="AH167" s="3022">
        <f>IF(AND(E167="Historia",Personalización!$E$26="Historia (Local)"),20&amp;" "&amp;Personalización!$E$26,IF(OR(E167=Personalización!$E$25,E167=Personalización!$E$26),VLOOKUP(E167,Tablas!$L$136:$M$137,2,FALSE),0))</f>
        <v>0</v>
      </c>
      <c r="AI167" s="3022" t="b">
        <f t="shared" si="52"/>
        <v>0</v>
      </c>
      <c r="AJ167" s="3022" t="b">
        <f t="shared" si="53"/>
        <v>0</v>
      </c>
      <c r="AL167" s="1900" t="e">
        <f t="shared" si="54"/>
        <v>#N/A</v>
      </c>
      <c r="AN167" s="1900" t="e">
        <f t="shared" si="55"/>
        <v>#N/A</v>
      </c>
      <c r="AP167" s="1900" t="e">
        <f t="shared" si="56"/>
        <v>#N/A</v>
      </c>
      <c r="AR167" s="1900" t="e">
        <f t="shared" si="57"/>
        <v>#N/A</v>
      </c>
      <c r="AT167" s="1900" t="e">
        <f t="shared" si="58"/>
        <v>#N/A</v>
      </c>
    </row>
    <row r="168" spans="1:46" ht="12" customHeight="1" x14ac:dyDescent="0.2">
      <c r="A168" s="1880"/>
      <c r="B168" s="2157" t="str">
        <f t="shared" si="60"/>
        <v>Creativas</v>
      </c>
      <c r="C168" s="3636"/>
      <c r="D168" s="3309"/>
      <c r="E168" s="3613" t="s">
        <v>1082</v>
      </c>
      <c r="F168" s="3614"/>
      <c r="G168" s="3614"/>
      <c r="H168" s="2092" t="s">
        <v>1687</v>
      </c>
      <c r="I168" s="2077"/>
      <c r="J168" s="184">
        <f>IF(ISNA(AL168),0,MAX(MIN(AL168-VLOOKUP("Apto en campo: "&amp;$B168,Tabla_Ventajas,3,FALSE)-Tablas!$O311-2*Tablas!$Q311-3*Tablas!$S311,3),1))</f>
        <v>0</v>
      </c>
      <c r="K168" s="1514"/>
      <c r="L168" s="184">
        <f>IF(ISNA(AN168),0,MAX(MIN(AN168-VLOOKUP("Apto en campo: "&amp;$B168,Tabla_Ventajas,3,FALSE)-Tablas!$O311-2*Tablas!$Q311-3*Tablas!$S311,3),1))</f>
        <v>0</v>
      </c>
      <c r="M168" s="1549"/>
      <c r="N168" s="1210">
        <f>IF(ISNA(AP168),0,MAX(MIN(AP168-VLOOKUP("Apto en campo: "&amp;$B168,Tabla_Ventajas,3,FALSE)-Tablas!$O311-2*Tablas!$Q311-3*Tablas!$S311,3),1))</f>
        <v>0</v>
      </c>
      <c r="O168" s="1514"/>
      <c r="P168" s="184">
        <f>IF(ISNA(AR168),0,MAX(MIN(AR168-VLOOKUP("Apto en campo: "&amp;$B168,Tabla_Ventajas,3,FALSE)-Tablas!$O311-2*Tablas!$Q311-3*Tablas!$S311,3),1))</f>
        <v>0</v>
      </c>
      <c r="Q168" s="1549"/>
      <c r="R168" s="1210">
        <f>IF(ISNA(AT168),0,MAX(MIN(AT168-VLOOKUP("Apto en campo: "&amp;$B168,Tabla_Ventajas,3,FALSE)-Tablas!$O311-2*Tablas!$Q311-3*Tablas!$S311,3),1))</f>
        <v>0</v>
      </c>
      <c r="S168" s="1514"/>
      <c r="T168" s="1522">
        <f t="shared" si="49"/>
        <v>0</v>
      </c>
      <c r="U168" s="1522">
        <f t="shared" si="50"/>
        <v>0</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3090">
        <f t="shared" si="51"/>
        <v>0</v>
      </c>
      <c r="AC168" s="1706"/>
      <c r="AE168" s="302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84">
        <f>IF(AF$123,IF(OR(Region="",ClaseSocial="",Personalización!$AN$21),0,IF(OR(AND(AI168,AJ168),AND(NOT(AI168),NOT(AJ168))),LEFT(AG168,2)+LEFT(AH168,2),0)),0)</f>
        <v>0</v>
      </c>
      <c r="AG168" s="2715" t="e">
        <f>HLOOKUP(Region&amp;ClaseSocial,Tabla_RaicesCulturales,Tablas!F184,FALSE)</f>
        <v>#N/A</v>
      </c>
      <c r="AH168" s="3022">
        <f>IF(AND(E168="Historia",Personalización!$E$26="Historia (Local)"),20&amp;" "&amp;Personalización!$E$26,IF(OR(E168=Personalización!$E$25,E168=Personalización!$E$26),VLOOKUP(E168,Tablas!$L$136:$M$137,2,FALSE),0))</f>
        <v>0</v>
      </c>
      <c r="AI168" s="3022" t="b">
        <f t="shared" si="52"/>
        <v>0</v>
      </c>
      <c r="AJ168" s="3022" t="b">
        <f t="shared" si="53"/>
        <v>0</v>
      </c>
      <c r="AL168" s="1900" t="e">
        <f t="shared" si="54"/>
        <v>#N/A</v>
      </c>
      <c r="AN168" s="1900" t="e">
        <f t="shared" si="55"/>
        <v>#N/A</v>
      </c>
      <c r="AP168" s="1900" t="e">
        <f t="shared" si="56"/>
        <v>#N/A</v>
      </c>
      <c r="AR168" s="1900" t="e">
        <f t="shared" si="57"/>
        <v>#N/A</v>
      </c>
      <c r="AT168" s="1900" t="e">
        <f t="shared" si="58"/>
        <v>#N/A</v>
      </c>
    </row>
    <row r="169" spans="1:46" ht="12" customHeight="1" x14ac:dyDescent="0.2">
      <c r="A169" s="1880"/>
      <c r="B169" s="2157" t="str">
        <f t="shared" si="60"/>
        <v>Creativas</v>
      </c>
      <c r="C169" s="3636"/>
      <c r="D169" s="3309"/>
      <c r="E169" s="3615" t="s">
        <v>1083</v>
      </c>
      <c r="F169" s="3616"/>
      <c r="G169" s="3616"/>
      <c r="H169" s="2091" t="s">
        <v>1695</v>
      </c>
      <c r="I169" s="2076"/>
      <c r="J169" s="183">
        <f>IF(ISNA(AL169),0,MAX(MIN(AL169-VLOOKUP("Apto en campo: "&amp;$B169,Tabla_Ventajas,3,FALSE)-Tablas!$O312-2*Tablas!$Q312-3*Tablas!$S312,3),1))</f>
        <v>0</v>
      </c>
      <c r="K169" s="1513"/>
      <c r="L169" s="183">
        <f>IF(ISNA(AN169),0,MAX(MIN(AN169-VLOOKUP("Apto en campo: "&amp;$B169,Tabla_Ventajas,3,FALSE)-Tablas!$O312-2*Tablas!$Q312-3*Tablas!$S312,3),1))</f>
        <v>0</v>
      </c>
      <c r="M169" s="169"/>
      <c r="N169" s="1209">
        <f>IF(ISNA(AP169),0,MAX(MIN(AP169-VLOOKUP("Apto en campo: "&amp;$B169,Tabla_Ventajas,3,FALSE)-Tablas!$O312-2*Tablas!$Q312-3*Tablas!$S312,3),1))</f>
        <v>0</v>
      </c>
      <c r="O169" s="1513"/>
      <c r="P169" s="183">
        <f>IF(ISNA(AR169),0,MAX(MIN(AR169-VLOOKUP("Apto en campo: "&amp;$B169,Tabla_Ventajas,3,FALSE)-Tablas!$O312-2*Tablas!$Q312-3*Tablas!$S312,3),1))</f>
        <v>0</v>
      </c>
      <c r="Q169" s="169"/>
      <c r="R169" s="1209">
        <f>IF(ISNA(AT169),0,MAX(MIN(AT169-VLOOKUP("Apto en campo: "&amp;$B169,Tabla_Ventajas,3,FALSE)-Tablas!$O312-2*Tablas!$Q312-3*Tablas!$S312,3),1))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3090">
        <f t="shared" si="51"/>
        <v>0</v>
      </c>
      <c r="AC169" s="1706"/>
      <c r="AE169" s="302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84">
        <f>IF(AF$123,IF(OR(Region="",ClaseSocial="",Personalización!$AN$21),0,IF(OR(AND(AI169,AJ169),AND(NOT(AI169),NOT(AJ169))),LEFT(AG169,2)+LEFT(AH169,2),0)),0)</f>
        <v>0</v>
      </c>
      <c r="AG169" s="2715" t="e">
        <f>HLOOKUP(Region&amp;ClaseSocial,Tabla_RaicesCulturales,Tablas!F185,FALSE)</f>
        <v>#N/A</v>
      </c>
      <c r="AH169" s="3022">
        <f>IF(AND(E169="Historia",Personalización!$E$26="Historia (Local)"),20&amp;" "&amp;Personalización!$E$26,IF(OR(E169=Personalización!$E$25,E169=Personalización!$E$26),VLOOKUP(E169,Tablas!$L$136:$M$137,2,FALSE),0))</f>
        <v>0</v>
      </c>
      <c r="AI169" s="3022" t="b">
        <f>OR(ISNUMBER(FIND("(",AG169)),ISNUMBER(FIND("(",AH169)))</f>
        <v>0</v>
      </c>
      <c r="AJ169" s="3022" t="b">
        <f>AND(NOT(I169=""),OR(ISNUMBER(SEARCH(I169,AG169)),ISNUMBER(SEARCH(I169,AH169))))</f>
        <v>0</v>
      </c>
      <c r="AL169" s="1900" t="e">
        <f t="shared" si="54"/>
        <v>#N/A</v>
      </c>
      <c r="AN169" s="1900" t="e">
        <f t="shared" si="55"/>
        <v>#N/A</v>
      </c>
      <c r="AP169" s="1900" t="e">
        <f t="shared" si="56"/>
        <v>#N/A</v>
      </c>
      <c r="AR169" s="1900" t="e">
        <f t="shared" si="57"/>
        <v>#N/A</v>
      </c>
      <c r="AT169" s="1900" t="e">
        <f t="shared" si="58"/>
        <v>#N/A</v>
      </c>
    </row>
    <row r="170" spans="1:46" ht="12" customHeight="1" x14ac:dyDescent="0.2">
      <c r="A170" s="1880"/>
      <c r="B170" s="2157" t="str">
        <f t="shared" si="60"/>
        <v>Creativas</v>
      </c>
      <c r="C170" s="3636"/>
      <c r="D170" s="3309"/>
      <c r="E170" s="3613" t="s">
        <v>1084</v>
      </c>
      <c r="F170" s="3614"/>
      <c r="G170" s="3614"/>
      <c r="H170" s="2092" t="s">
        <v>1700</v>
      </c>
      <c r="I170" s="2077"/>
      <c r="J170" s="184">
        <f>IF(ISNA(AL170),0,MAX(MIN(AL170-VLOOKUP("Apto en campo: "&amp;$B170,Tabla_Ventajas,3,FALSE)-Tablas!$O313-2*Tablas!$Q313-3*Tablas!$S313,3),1))</f>
        <v>0</v>
      </c>
      <c r="K170" s="1514"/>
      <c r="L170" s="184">
        <f>IF(ISNA(AN170),0,MAX(MIN(AN170-VLOOKUP("Apto en campo: "&amp;$B170,Tabla_Ventajas,3,FALSE)-Tablas!$O313-2*Tablas!$Q313-3*Tablas!$S313,3),1))</f>
        <v>0</v>
      </c>
      <c r="M170" s="1549"/>
      <c r="N170" s="1210">
        <f>IF(ISNA(AP170),0,MAX(MIN(AP170-VLOOKUP("Apto en campo: "&amp;$B170,Tabla_Ventajas,3,FALSE)-Tablas!$O313-2*Tablas!$Q313-3*Tablas!$S313,3),1))</f>
        <v>0</v>
      </c>
      <c r="O170" s="1514"/>
      <c r="P170" s="184">
        <f>IF(ISNA(AR170),0,MAX(MIN(AR170-VLOOKUP("Apto en campo: "&amp;$B170,Tabla_Ventajas,3,FALSE)-Tablas!$O313-2*Tablas!$Q313-3*Tablas!$S313,3),1))</f>
        <v>0</v>
      </c>
      <c r="Q170" s="1549"/>
      <c r="R170" s="1210">
        <f>IF(ISNA(AT170),0,MAX(MIN(AT170-VLOOKUP("Apto en campo: "&amp;$B170,Tabla_Ventajas,3,FALSE)-Tablas!$O313-2*Tablas!$Q313-3*Tablas!$S313,3),1))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3090">
        <f t="shared" si="51"/>
        <v>0</v>
      </c>
      <c r="AC170" s="1706"/>
      <c r="AE170" s="302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84">
        <f>IF(AF$123,IF(OR(Region="",ClaseSocial="",Personalización!$AN$21),0,IF(OR(AND(AI170,AJ170),AND(NOT(AI170),NOT(AJ170))),LEFT(AG170,2)+LEFT(AH170,2),0)),0)</f>
        <v>0</v>
      </c>
      <c r="AG170" s="2715" t="e">
        <f>HLOOKUP(Region&amp;ClaseSocial,Tabla_RaicesCulturales,Tablas!F186,FALSE)</f>
        <v>#N/A</v>
      </c>
      <c r="AH170" s="3022">
        <f>IF(AND(E170="Historia",Personalización!$E$26="Historia (Local)"),20&amp;" "&amp;Personalización!$E$26,IF(OR(E170=Personalización!$E$25,E170=Personalización!$E$26),VLOOKUP(E170,Tablas!$L$136:$M$137,2,FALSE),0))</f>
        <v>0</v>
      </c>
      <c r="AI170" s="3022" t="b">
        <f>OR(ISNUMBER(FIND("(",AG170)),ISNUMBER(FIND("(",AH170)))</f>
        <v>0</v>
      </c>
      <c r="AJ170" s="3022" t="b">
        <f>AND(NOT(I170=""),OR(ISNUMBER(SEARCH(I170,AG170)),ISNUMBER(SEARCH(I170,AH170))))</f>
        <v>0</v>
      </c>
      <c r="AL170" s="1900" t="e">
        <f t="shared" si="54"/>
        <v>#N/A</v>
      </c>
      <c r="AN170" s="1900" t="e">
        <f t="shared" si="55"/>
        <v>#N/A</v>
      </c>
      <c r="AP170" s="1900" t="e">
        <f t="shared" si="56"/>
        <v>#N/A</v>
      </c>
      <c r="AR170" s="1900" t="e">
        <f t="shared" si="57"/>
        <v>#N/A</v>
      </c>
      <c r="AT170" s="1900" t="e">
        <f t="shared" si="58"/>
        <v>#N/A</v>
      </c>
    </row>
    <row r="171" spans="1:46" ht="12" customHeight="1" x14ac:dyDescent="0.2">
      <c r="A171" s="1880"/>
      <c r="B171" s="2157" t="str">
        <f t="shared" si="60"/>
        <v>Creativas</v>
      </c>
      <c r="C171" s="3636"/>
      <c r="D171" s="3309"/>
      <c r="E171" s="3615" t="s">
        <v>1784</v>
      </c>
      <c r="F171" s="3616"/>
      <c r="G171" s="3616"/>
      <c r="H171" s="2091" t="s">
        <v>1700</v>
      </c>
      <c r="I171" s="1681"/>
      <c r="J171" s="183">
        <f>IF(ISNA(AL171),0,MAX(MIN(AL171-VLOOKUP("Apto en campo: "&amp;$B171,Tabla_Ventajas,3,FALSE)-Tablas!$O314-2*Tablas!$Q314-3*Tablas!$S314,3),1))</f>
        <v>0</v>
      </c>
      <c r="K171" s="1513"/>
      <c r="L171" s="183">
        <f>IF(ISNA(AN171),0,MAX(MIN(AN171-VLOOKUP("Apto en campo: "&amp;$B171,Tabla_Ventajas,3,FALSE)-Tablas!$O314-2*Tablas!$Q314-3*Tablas!$S314,3),1))</f>
        <v>0</v>
      </c>
      <c r="M171" s="169"/>
      <c r="N171" s="1209">
        <f>IF(ISNA(AP171),0,MAX(MIN(AP171-VLOOKUP("Apto en campo: "&amp;$B171,Tabla_Ventajas,3,FALSE)-Tablas!$O314-2*Tablas!$Q314-3*Tablas!$S314,3),1))</f>
        <v>0</v>
      </c>
      <c r="O171" s="1513"/>
      <c r="P171" s="183">
        <f>IF(ISNA(AR171),0,MAX(MIN(AR171-VLOOKUP("Apto en campo: "&amp;$B171,Tabla_Ventajas,3,FALSE)-Tablas!$O314-2*Tablas!$Q314-3*Tablas!$S314,3),1))</f>
        <v>0</v>
      </c>
      <c r="Q171" s="169"/>
      <c r="R171" s="1209">
        <f>IF(ISNA(AT171),0,MAX(MIN(AT171-VLOOKUP("Apto en campo: "&amp;$B171,Tabla_Ventajas,3,FALSE)-Tablas!$O314-2*Tablas!$Q314-3*Tablas!$S314,3),1))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3090">
        <f t="shared" si="51"/>
        <v>0</v>
      </c>
      <c r="AC171" s="1706"/>
      <c r="AD171" s="2715">
        <f>Tablas!$K$1756</f>
        <v>0</v>
      </c>
      <c r="AE171" s="302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84">
        <f>IF(AF$123,IF(OR(Region="",ClaseSocial="",Personalización!$AN$21),0,IF(OR(AND(AI171,AJ171),AND(NOT(AI171),NOT(AJ171))),LEFT(AG171,2)+LEFT(AH171,2),0)),0)</f>
        <v>0</v>
      </c>
      <c r="AG171" s="2715" t="e">
        <f>HLOOKUP(Region&amp;ClaseSocial,Tabla_RaicesCulturales,Tablas!F187,FALSE)</f>
        <v>#N/A</v>
      </c>
      <c r="AH171" s="3022">
        <f>IF(AND(E171="Historia",Personalización!$E$26="Historia (Local)"),20&amp;" "&amp;Personalización!$E$26,IF(OR(E171=Personalización!$E$25,E171=Personalización!$E$26),VLOOKUP(E171,Tablas!$L$136:$M$137,2,FALSE),0))</f>
        <v>0</v>
      </c>
      <c r="AI171" s="3022" t="b">
        <f t="shared" si="52"/>
        <v>0</v>
      </c>
      <c r="AJ171" s="3022" t="b">
        <f t="shared" si="53"/>
        <v>0</v>
      </c>
      <c r="AL171" s="1900" t="e">
        <f t="shared" si="54"/>
        <v>#N/A</v>
      </c>
      <c r="AN171" s="1900" t="e">
        <f t="shared" si="55"/>
        <v>#N/A</v>
      </c>
      <c r="AP171" s="1900" t="e">
        <f t="shared" si="56"/>
        <v>#N/A</v>
      </c>
      <c r="AR171" s="1900" t="e">
        <f t="shared" si="57"/>
        <v>#N/A</v>
      </c>
      <c r="AT171" s="1900" t="e">
        <f t="shared" si="58"/>
        <v>#N/A</v>
      </c>
    </row>
    <row r="172" spans="1:46" ht="12" customHeight="1" x14ac:dyDescent="0.2">
      <c r="A172" s="1880"/>
      <c r="B172" s="2157" t="str">
        <f t="shared" si="60"/>
        <v>Creativas</v>
      </c>
      <c r="C172" s="3636"/>
      <c r="D172" s="3309"/>
      <c r="E172" s="3613" t="s">
        <v>1787</v>
      </c>
      <c r="F172" s="3614"/>
      <c r="G172" s="3614"/>
      <c r="H172" s="2092" t="s">
        <v>1687</v>
      </c>
      <c r="I172" s="1682"/>
      <c r="J172" s="184">
        <f>IF(ISNA(AL172),0,MAX(MIN(AL172-VLOOKUP("Apto en campo: "&amp;$B172,Tabla_Ventajas,3,FALSE)-Tablas!$O315-2*Tablas!$Q315-3*Tablas!$S315,3),1))</f>
        <v>0</v>
      </c>
      <c r="K172" s="1514"/>
      <c r="L172" s="184">
        <f>IF(ISNA(AN172),0,MAX(MIN(AN172-VLOOKUP("Apto en campo: "&amp;$B172,Tabla_Ventajas,3,FALSE)-Tablas!$O315-2*Tablas!$Q315-3*Tablas!$S315,3),1))</f>
        <v>0</v>
      </c>
      <c r="M172" s="1549"/>
      <c r="N172" s="1210">
        <f>IF(ISNA(AP172),0,MAX(MIN(AP172-VLOOKUP("Apto en campo: "&amp;$B172,Tabla_Ventajas,3,FALSE)-Tablas!$O315-2*Tablas!$Q315-3*Tablas!$S315,3),1))</f>
        <v>0</v>
      </c>
      <c r="O172" s="1514"/>
      <c r="P172" s="184">
        <f>IF(ISNA(AR172),0,MAX(MIN(AR172-VLOOKUP("Apto en campo: "&amp;$B172,Tabla_Ventajas,3,FALSE)-Tablas!$O315-2*Tablas!$Q315-3*Tablas!$S315,3),1))</f>
        <v>0</v>
      </c>
      <c r="Q172" s="1549"/>
      <c r="R172" s="1210">
        <f>IF(ISNA(AT172),0,MAX(MIN(AT172-VLOOKUP("Apto en campo: "&amp;$B172,Tabla_Ventajas,3,FALSE)-Tablas!$O315-2*Tablas!$Q315-3*Tablas!$S315,3),1))</f>
        <v>0</v>
      </c>
      <c r="S172" s="1514"/>
      <c r="T172" s="1522">
        <f t="shared" si="49"/>
        <v>0</v>
      </c>
      <c r="U172" s="1522">
        <f t="shared" si="50"/>
        <v>0</v>
      </c>
      <c r="V172" s="1522">
        <f>IF(ISNA(HLOOKUP($E172,Bonos_Cat_Base,2,FALSE)),0,HLOOKUP($E172,Bonos_Cat_Base,2,FALSE))+Tablas!$Z315*Nivel_Total+10*Y172</f>
        <v>0</v>
      </c>
      <c r="W172" s="1530"/>
      <c r="X172" s="1514"/>
      <c r="Y172" s="1549"/>
      <c r="Z172" s="2886"/>
      <c r="AA172" s="1542">
        <f>IF(AND(T172&lt;5,Tablas!G$303=0),-30,0)+T172+U172+V172+Z172+IF(I172="",0,40)+Bono_ATA+AD172+AF172</f>
        <v>-30</v>
      </c>
      <c r="AB172" s="3090">
        <f t="shared" si="51"/>
        <v>0</v>
      </c>
      <c r="AC172" s="1706"/>
      <c r="AD172" s="2715">
        <f>IF(Tablas!$G$368&gt;0,30,0)</f>
        <v>0</v>
      </c>
      <c r="AE172" s="302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84">
        <f>IF(AF$123,IF(OR(Region="",ClaseSocial="",Personalización!$AN$21),0,IF(OR(AND(AI172,AJ172),AND(NOT(AI172),NOT(AJ172))),LEFT(AG172,2)+LEFT(AH172,2),0)),0)</f>
        <v>0</v>
      </c>
      <c r="AG172" s="2715" t="e">
        <f>HLOOKUP(Region&amp;ClaseSocial,Tabla_RaicesCulturales,Tablas!F188,FALSE)</f>
        <v>#N/A</v>
      </c>
      <c r="AH172" s="3022">
        <f>IF(AND(E172="Historia",Personalización!$E$26="Historia (Local)"),20&amp;" "&amp;Personalización!$E$26,IF(OR(E172=Personalización!$E$25,E172=Personalización!$E$26),VLOOKUP(E172,Tablas!$L$136:$M$137,2,FALSE),0))</f>
        <v>0</v>
      </c>
      <c r="AI172" s="3022" t="b">
        <f t="shared" si="52"/>
        <v>0</v>
      </c>
      <c r="AJ172" s="3022" t="b">
        <f t="shared" si="53"/>
        <v>0</v>
      </c>
      <c r="AL172" s="1900" t="e">
        <f t="shared" si="54"/>
        <v>#N/A</v>
      </c>
      <c r="AN172" s="1900" t="e">
        <f t="shared" si="55"/>
        <v>#N/A</v>
      </c>
      <c r="AP172" s="1900" t="e">
        <f t="shared" si="56"/>
        <v>#N/A</v>
      </c>
      <c r="AR172" s="1900" t="e">
        <f t="shared" si="57"/>
        <v>#N/A</v>
      </c>
      <c r="AT172" s="1900" t="e">
        <f t="shared" si="58"/>
        <v>#N/A</v>
      </c>
    </row>
    <row r="173" spans="1:46" ht="12" customHeight="1" x14ac:dyDescent="0.2">
      <c r="A173" s="1880"/>
      <c r="B173" s="2157" t="str">
        <f t="shared" si="60"/>
        <v>Creativas</v>
      </c>
      <c r="C173" s="3636"/>
      <c r="D173" s="3309"/>
      <c r="E173" s="3615" t="s">
        <v>7755</v>
      </c>
      <c r="F173" s="3616"/>
      <c r="G173" s="3616"/>
      <c r="H173" s="2091" t="s">
        <v>1687</v>
      </c>
      <c r="I173" s="2076"/>
      <c r="J173" s="183">
        <f>IF(ISNA(AL173),0,MAX(MIN(AL173-VLOOKUP("Apto en campo: "&amp;$B173,Tabla_Ventajas,3,FALSE)-Tablas!$O316-2*Tablas!$Q316-3*Tablas!$S316,3),1))</f>
        <v>0</v>
      </c>
      <c r="K173" s="1513"/>
      <c r="L173" s="183">
        <f>IF(ISNA(AN173),0,MAX(MIN(AN173-VLOOKUP("Apto en campo: "&amp;$B173,Tabla_Ventajas,3,FALSE)-Tablas!$O316-2*Tablas!$Q316-3*Tablas!$S316,3),1))</f>
        <v>0</v>
      </c>
      <c r="M173" s="169"/>
      <c r="N173" s="1209">
        <f>IF(ISNA(AP173),0,MAX(MIN(AP173-VLOOKUP("Apto en campo: "&amp;$B173,Tabla_Ventajas,3,FALSE)-Tablas!$O316-2*Tablas!$Q316-3*Tablas!$S316,3),1))</f>
        <v>0</v>
      </c>
      <c r="O173" s="1513"/>
      <c r="P173" s="183">
        <f>IF(ISNA(AR173),0,MAX(MIN(AR173-VLOOKUP("Apto en campo: "&amp;$B173,Tabla_Ventajas,3,FALSE)-Tablas!$O316-2*Tablas!$Q316-3*Tablas!$S316,3),1))</f>
        <v>0</v>
      </c>
      <c r="Q173" s="169"/>
      <c r="R173" s="1209">
        <f>IF(ISNA(AT173),0,MAX(MIN(AT173-VLOOKUP("Apto en campo: "&amp;$B173,Tabla_Ventajas,3,FALSE)-Tablas!$O316-2*Tablas!$Q316-3*Tablas!$S316,3),1))</f>
        <v>0</v>
      </c>
      <c r="S173" s="1513"/>
      <c r="T173" s="1521">
        <f t="shared" si="49"/>
        <v>0</v>
      </c>
      <c r="U173" s="1521">
        <f t="shared" si="50"/>
        <v>0</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3090">
        <f t="shared" si="51"/>
        <v>0</v>
      </c>
      <c r="AC173" s="1706"/>
      <c r="AE173" s="302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84">
        <f>IF(AF$123,IF(OR(Region="",ClaseSocial="",Personalización!$AN$21),0,IF(OR(AND(AI173,AJ173),AND(NOT(AI173),NOT(AJ173))),LEFT(AG173,2)+LEFT(AH173,2),0)),0)</f>
        <v>0</v>
      </c>
      <c r="AG173" s="2715" t="e">
        <f>HLOOKUP(Region&amp;ClaseSocial,Tabla_RaicesCulturales,Tablas!F189,FALSE)</f>
        <v>#N/A</v>
      </c>
      <c r="AH173" s="3022">
        <f>IF(AND(E173="Historia",Personalización!$E$26="Historia (Local)"),20&amp;" "&amp;Personalización!$E$26,IF(OR(E173=Personalización!$E$25,E173=Personalización!$E$26),VLOOKUP(E173,Tablas!$L$136:$M$137,2,FALSE),0))</f>
        <v>0</v>
      </c>
      <c r="AI173" s="3022" t="b">
        <f t="shared" si="52"/>
        <v>0</v>
      </c>
      <c r="AJ173" s="3022" t="b">
        <f t="shared" si="53"/>
        <v>0</v>
      </c>
      <c r="AL173" s="1900" t="e">
        <f t="shared" si="54"/>
        <v>#N/A</v>
      </c>
      <c r="AN173" s="1900" t="e">
        <f t="shared" si="55"/>
        <v>#N/A</v>
      </c>
      <c r="AP173" s="1900" t="e">
        <f t="shared" si="56"/>
        <v>#N/A</v>
      </c>
      <c r="AR173" s="1900" t="e">
        <f t="shared" si="57"/>
        <v>#N/A</v>
      </c>
      <c r="AT173" s="1900" t="e">
        <f t="shared" si="58"/>
        <v>#N/A</v>
      </c>
    </row>
    <row r="174" spans="1:46" ht="12" customHeight="1" x14ac:dyDescent="0.2">
      <c r="A174" s="1880"/>
      <c r="B174" s="2157" t="str">
        <f t="shared" si="60"/>
        <v>Creativas</v>
      </c>
      <c r="C174" s="3636"/>
      <c r="D174" s="3309"/>
      <c r="E174" s="3613" t="s">
        <v>7756</v>
      </c>
      <c r="F174" s="3614"/>
      <c r="G174" s="3614"/>
      <c r="H174" s="2092" t="s">
        <v>1687</v>
      </c>
      <c r="I174" s="1682"/>
      <c r="J174" s="184">
        <f>IF(ISNA(AL174),0,MAX(MIN(AL174-VLOOKUP("Apto en campo: "&amp;$B174,Tabla_Ventajas,3,FALSE)-Tablas!$O317-2*Tablas!$Q317-3*Tablas!$S317,3),1))</f>
        <v>0</v>
      </c>
      <c r="K174" s="1514"/>
      <c r="L174" s="184">
        <f>IF(ISNA(AN174),0,MAX(MIN(AN174-VLOOKUP("Apto en campo: "&amp;$B174,Tabla_Ventajas,3,FALSE)-Tablas!$O317-2*Tablas!$Q317-3*Tablas!$S317,3),1))</f>
        <v>0</v>
      </c>
      <c r="M174" s="1549"/>
      <c r="N174" s="1210">
        <f>IF(ISNA(AP174),0,MAX(MIN(AP174-VLOOKUP("Apto en campo: "&amp;$B174,Tabla_Ventajas,3,FALSE)-Tablas!$O317-2*Tablas!$Q317-3*Tablas!$S317,3),1))</f>
        <v>0</v>
      </c>
      <c r="O174" s="1514"/>
      <c r="P174" s="184">
        <f>IF(ISNA(AR174),0,MAX(MIN(AR174-VLOOKUP("Apto en campo: "&amp;$B174,Tabla_Ventajas,3,FALSE)-Tablas!$O317-2*Tablas!$Q317-3*Tablas!$S317,3),1))</f>
        <v>0</v>
      </c>
      <c r="Q174" s="1549"/>
      <c r="R174" s="1210">
        <f>IF(ISNA(AT174),0,MAX(MIN(AT174-VLOOKUP("Apto en campo: "&amp;$B174,Tabla_Ventajas,3,FALSE)-Tablas!$O317-2*Tablas!$Q317-3*Tablas!$S317,3),1))</f>
        <v>0</v>
      </c>
      <c r="S174" s="1514"/>
      <c r="T174" s="1522">
        <f t="shared" si="49"/>
        <v>0</v>
      </c>
      <c r="U174" s="1522">
        <f t="shared" si="50"/>
        <v>0</v>
      </c>
      <c r="V174" s="1522">
        <f>IF(ISNA(HLOOKUP($E174,Bonos_Cat_Base,2,FALSE)),0,HLOOKUP($E174,Bonos_Cat_Base,2,FALSE))+Tablas!$Z317*Nivel_Total+10*Y174</f>
        <v>0</v>
      </c>
      <c r="W174" s="1530"/>
      <c r="X174" s="1514"/>
      <c r="Y174" s="1549"/>
      <c r="Z174" s="2886"/>
      <c r="AA174" s="1542">
        <f>IF(AND(T174&lt;5,Tablas!G$303=0),-30,0)+T174+U174+V174+Z174+IF(I174="",0,40)+Bono_ATA+AD174+AF174</f>
        <v>-30</v>
      </c>
      <c r="AB174" s="3090">
        <f t="shared" si="51"/>
        <v>0</v>
      </c>
      <c r="AC174" s="1706"/>
      <c r="AE174" s="302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84">
        <f>IF(AF$123,IF(OR(Region="",ClaseSocial="",Personalización!$AN$21),0,IF(OR(AND(AI174,AJ174),AND(NOT(AI174),NOT(AJ174))),LEFT(AG174,2)+LEFT(AH174,2),0)),0)</f>
        <v>0</v>
      </c>
      <c r="AG174" s="2715" t="e">
        <f>HLOOKUP(Region&amp;ClaseSocial,Tabla_RaicesCulturales,Tablas!F190,FALSE)</f>
        <v>#N/A</v>
      </c>
      <c r="AH174" s="3022">
        <f>IF(AND(E174="Historia",Personalización!$E$26="Historia (Local)"),20&amp;" "&amp;Personalización!$E$26,IF(OR(E174=Personalización!$E$25,E174=Personalización!$E$26),VLOOKUP(E174,Tablas!$L$136:$M$137,2,FALSE),0))</f>
        <v>0</v>
      </c>
      <c r="AI174" s="3022" t="b">
        <f t="shared" si="52"/>
        <v>0</v>
      </c>
      <c r="AJ174" s="3022" t="b">
        <f t="shared" si="53"/>
        <v>0</v>
      </c>
      <c r="AL174" s="1900" t="e">
        <f t="shared" si="54"/>
        <v>#N/A</v>
      </c>
      <c r="AN174" s="1900" t="e">
        <f t="shared" si="55"/>
        <v>#N/A</v>
      </c>
      <c r="AP174" s="1900" t="e">
        <f t="shared" si="56"/>
        <v>#N/A</v>
      </c>
      <c r="AR174" s="1900" t="e">
        <f t="shared" si="57"/>
        <v>#N/A</v>
      </c>
      <c r="AT174" s="1900" t="e">
        <f t="shared" si="58"/>
        <v>#N/A</v>
      </c>
    </row>
    <row r="175" spans="1:46" ht="12" customHeight="1" x14ac:dyDescent="0.2">
      <c r="A175" s="1880"/>
      <c r="B175" s="2157" t="str">
        <f t="shared" si="60"/>
        <v>Creativas</v>
      </c>
      <c r="C175" s="3636"/>
      <c r="D175" s="3309"/>
      <c r="E175" s="3615" t="s">
        <v>7757</v>
      </c>
      <c r="F175" s="3616"/>
      <c r="G175" s="3616"/>
      <c r="H175" s="2091" t="s">
        <v>1687</v>
      </c>
      <c r="I175" s="2076"/>
      <c r="J175" s="183">
        <f>IF(ISNA(AL175),0,MAX(MIN(AL175-VLOOKUP("Apto en campo: "&amp;$B175,Tabla_Ventajas,3,FALSE)-Tablas!$O318-2*Tablas!$Q318-3*Tablas!$S318,3),1))</f>
        <v>0</v>
      </c>
      <c r="K175" s="1513"/>
      <c r="L175" s="183">
        <f>IF(ISNA(AN175),0,MAX(MIN(AN175-VLOOKUP("Apto en campo: "&amp;$B175,Tabla_Ventajas,3,FALSE)-Tablas!$O318-2*Tablas!$Q318-3*Tablas!$S318,3),1))</f>
        <v>0</v>
      </c>
      <c r="M175" s="169"/>
      <c r="N175" s="1209">
        <f>IF(ISNA(AP175),0,MAX(MIN(AP175-VLOOKUP("Apto en campo: "&amp;$B175,Tabla_Ventajas,3,FALSE)-Tablas!$O318-2*Tablas!$Q318-3*Tablas!$S318,3),1))</f>
        <v>0</v>
      </c>
      <c r="O175" s="1513"/>
      <c r="P175" s="183">
        <f>IF(ISNA(AR175),0,MAX(MIN(AR175-VLOOKUP("Apto en campo: "&amp;$B175,Tabla_Ventajas,3,FALSE)-Tablas!$O318-2*Tablas!$Q318-3*Tablas!$S318,3),1))</f>
        <v>0</v>
      </c>
      <c r="Q175" s="169"/>
      <c r="R175" s="1209">
        <f>IF(ISNA(AT175),0,MAX(MIN(AT175-VLOOKUP("Apto en campo: "&amp;$B175,Tabla_Ventajas,3,FALSE)-Tablas!$O318-2*Tablas!$Q318-3*Tablas!$S318,3),1))</f>
        <v>0</v>
      </c>
      <c r="S175" s="1513"/>
      <c r="T175" s="1521">
        <f t="shared" si="49"/>
        <v>0</v>
      </c>
      <c r="U175" s="1521">
        <f t="shared" si="50"/>
        <v>0</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3090">
        <f t="shared" si="51"/>
        <v>0</v>
      </c>
      <c r="AC175" s="1706"/>
      <c r="AE175" s="302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84">
        <f>IF(AF$123,IF(OR(Region="",ClaseSocial="",Personalización!$AN$21),0,IF(OR(AND(AI175,AJ175),AND(NOT(AI175),NOT(AJ175))),LEFT(AG175,2)+LEFT(AH175,2),0)),0)</f>
        <v>0</v>
      </c>
      <c r="AG175" s="2715" t="e">
        <f>HLOOKUP(Region&amp;ClaseSocial,Tabla_RaicesCulturales,Tablas!F191,FALSE)</f>
        <v>#N/A</v>
      </c>
      <c r="AH175" s="3022">
        <f>IF(AND(E175="Historia",Personalización!$E$26="Historia (Local)"),20&amp;" "&amp;Personalización!$E$26,IF(OR(E175=Personalización!$E$25,E175=Personalización!$E$26),VLOOKUP(E175,Tablas!$L$136:$M$137,2,FALSE),0))</f>
        <v>0</v>
      </c>
      <c r="AI175" s="3022" t="b">
        <f t="shared" si="52"/>
        <v>0</v>
      </c>
      <c r="AJ175" s="3022" t="b">
        <f t="shared" si="53"/>
        <v>0</v>
      </c>
      <c r="AL175" s="1900" t="e">
        <f t="shared" si="54"/>
        <v>#N/A</v>
      </c>
      <c r="AN175" s="1900" t="e">
        <f t="shared" si="55"/>
        <v>#N/A</v>
      </c>
      <c r="AP175" s="1900" t="e">
        <f t="shared" si="56"/>
        <v>#N/A</v>
      </c>
      <c r="AR175" s="1900" t="e">
        <f t="shared" si="57"/>
        <v>#N/A</v>
      </c>
      <c r="AT175" s="1900" t="e">
        <f t="shared" si="58"/>
        <v>#N/A</v>
      </c>
    </row>
    <row r="176" spans="1:46" ht="12" customHeight="1" x14ac:dyDescent="0.2">
      <c r="A176" s="1880"/>
      <c r="B176" s="2157" t="str">
        <f t="shared" si="60"/>
        <v>Creativas</v>
      </c>
      <c r="C176" s="3636"/>
      <c r="D176" s="3309"/>
      <c r="E176" s="3613" t="s">
        <v>7758</v>
      </c>
      <c r="F176" s="3614"/>
      <c r="G176" s="3614"/>
      <c r="H176" s="2095" t="s">
        <v>1700</v>
      </c>
      <c r="I176" s="2077"/>
      <c r="J176" s="184">
        <f>IF(ISNA(AL176),0,MAX(MIN(AL176-VLOOKUP("Apto en campo: "&amp;$B176,Tabla_Ventajas,3,FALSE)-Tablas!$O319-2*Tablas!$Q319-3*Tablas!$S319,3),1))</f>
        <v>0</v>
      </c>
      <c r="K176" s="1514"/>
      <c r="L176" s="184">
        <f>IF(ISNA(AN176),0,MAX(MIN(AN176-VLOOKUP("Apto en campo: "&amp;$B176,Tabla_Ventajas,3,FALSE)-Tablas!$O319-2*Tablas!$Q319-3*Tablas!$S319,3),1))</f>
        <v>0</v>
      </c>
      <c r="M176" s="1549"/>
      <c r="N176" s="1210">
        <f>IF(ISNA(AP176),0,MAX(MIN(AP176-VLOOKUP("Apto en campo: "&amp;$B176,Tabla_Ventajas,3,FALSE)-Tablas!$O319-2*Tablas!$Q319-3*Tablas!$S319,3),1))</f>
        <v>0</v>
      </c>
      <c r="O176" s="1514"/>
      <c r="P176" s="184">
        <f>IF(ISNA(AR176),0,MAX(MIN(AR176-VLOOKUP("Apto en campo: "&amp;$B176,Tabla_Ventajas,3,FALSE)-Tablas!$O319-2*Tablas!$Q319-3*Tablas!$S319,3),1))</f>
        <v>0</v>
      </c>
      <c r="Q176" s="1549"/>
      <c r="R176" s="1210">
        <f>IF(ISNA(AT176),0,MAX(MIN(AT176-VLOOKUP("Apto en campo: "&amp;$B176,Tabla_Ventajas,3,FALSE)-Tablas!$O319-2*Tablas!$Q319-3*Tablas!$S319,3),1))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3090">
        <f t="shared" si="51"/>
        <v>0</v>
      </c>
      <c r="AC176" s="1706"/>
      <c r="AE176" s="302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84">
        <f>IF(AF$123,IF(OR(Region="",ClaseSocial="",Personalización!$AN$21),0,IF(OR(AND(AI176,AJ176),AND(NOT(AI176),NOT(AJ176))),LEFT(AG176,2)+LEFT(AH176,2),0)),0)</f>
        <v>0</v>
      </c>
      <c r="AG176" s="2715" t="e">
        <f>HLOOKUP(Region&amp;ClaseSocial,Tabla_RaicesCulturales,Tablas!F192,FALSE)</f>
        <v>#N/A</v>
      </c>
      <c r="AH176" s="3022">
        <f>IF(AND(E176="Historia",Personalización!$E$26="Historia (Local)"),20&amp;" "&amp;Personalización!$E$26,IF(OR(E176=Personalización!$E$25,E176=Personalización!$E$26),VLOOKUP(E176,Tablas!$L$136:$M$137,2,FALSE),0))</f>
        <v>0</v>
      </c>
      <c r="AI176" s="3022" t="b">
        <f t="shared" si="52"/>
        <v>0</v>
      </c>
      <c r="AJ176" s="3022" t="b">
        <f t="shared" si="53"/>
        <v>0</v>
      </c>
      <c r="AL176" s="1900" t="e">
        <f t="shared" si="54"/>
        <v>#N/A</v>
      </c>
      <c r="AN176" s="1900" t="e">
        <f t="shared" si="55"/>
        <v>#N/A</v>
      </c>
      <c r="AP176" s="1900" t="e">
        <f t="shared" si="56"/>
        <v>#N/A</v>
      </c>
      <c r="AR176" s="1900" t="e">
        <f t="shared" si="57"/>
        <v>#N/A</v>
      </c>
      <c r="AT176" s="1900" t="e">
        <f t="shared" si="58"/>
        <v>#N/A</v>
      </c>
    </row>
    <row r="177" spans="1:35" ht="12" customHeight="1" x14ac:dyDescent="0.2">
      <c r="A177" s="1880"/>
      <c r="B177" s="2157">
        <f>IF(OR(U177="FUE",U177="CON",U177="DES",U177="AGI"),1,IF(OR(U177="INT",U177="POD",U177="VOL",U177="PER"),2,0))</f>
        <v>0</v>
      </c>
      <c r="C177" s="3636"/>
      <c r="D177" s="2240" t="s">
        <v>1766</v>
      </c>
      <c r="E177" s="3824"/>
      <c r="F177" s="3825"/>
      <c r="G177" s="3825"/>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3090">
        <f>IF(AA177="-",0,IF(AA177&gt;VLOOKUP(Nivel_Total,Tabla_LímiteSecundarias,2),1,0))</f>
        <v>0</v>
      </c>
      <c r="AC177" s="1706"/>
      <c r="AE177" s="3084"/>
      <c r="AH177" s="3085" t="s">
        <v>1766</v>
      </c>
    </row>
    <row r="178" spans="1:35" ht="12" customHeight="1" x14ac:dyDescent="0.2">
      <c r="A178" s="1880"/>
      <c r="B178" s="2157">
        <f>IF(OR(U178="FUE",U178="CON",U178="DES",U178="AGI"),1,IF(OR(U178="INT",U178="POD",U178="VOL",U178="PER"),2,0))</f>
        <v>0</v>
      </c>
      <c r="C178" s="3636"/>
      <c r="D178" s="2241" t="s">
        <v>1766</v>
      </c>
      <c r="E178" s="3826"/>
      <c r="F178" s="3827"/>
      <c r="G178" s="3827"/>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3090">
        <f t="shared" si="51"/>
        <v>0</v>
      </c>
      <c r="AC178" s="1706"/>
      <c r="AH178" s="3085" t="s">
        <v>8694</v>
      </c>
      <c r="AI178" s="3022" t="s">
        <v>1713</v>
      </c>
    </row>
    <row r="179" spans="1:35" ht="12" customHeight="1" x14ac:dyDescent="0.2">
      <c r="A179" s="1883"/>
      <c r="B179" s="2157">
        <f>IF(OR(U179="FUE",U179="CON",U179="DES",U179="AGI"),1,IF(OR(U179="INT",U179="POD",U179="VOL",U179="PER"),2,0))</f>
        <v>0</v>
      </c>
      <c r="C179" s="3636"/>
      <c r="D179" s="2241" t="s">
        <v>1766</v>
      </c>
      <c r="E179" s="3828"/>
      <c r="F179" s="3829"/>
      <c r="G179" s="3829"/>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3090">
        <f t="shared" si="51"/>
        <v>0</v>
      </c>
      <c r="AC179" s="1706"/>
      <c r="AH179" s="3085" t="s">
        <v>8690</v>
      </c>
      <c r="AI179" s="3022" t="s">
        <v>1732</v>
      </c>
    </row>
    <row r="180" spans="1:35" ht="12" customHeight="1" x14ac:dyDescent="0.2">
      <c r="A180" s="1883"/>
      <c r="B180" s="2157">
        <f>IF(OR(U180="FUE",U180="CON",U180="DES",U180="AGI"),1,IF(OR(U180="INT",U180="POD",U180="VOL",U180="PER"),2,0))</f>
        <v>0</v>
      </c>
      <c r="C180" s="3636"/>
      <c r="D180" s="2241" t="s">
        <v>1766</v>
      </c>
      <c r="E180" s="3826"/>
      <c r="F180" s="3827"/>
      <c r="G180" s="3827"/>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3090">
        <f t="shared" si="51"/>
        <v>0</v>
      </c>
      <c r="AC180" s="1706"/>
      <c r="AH180" s="3085" t="s">
        <v>8695</v>
      </c>
      <c r="AI180" s="3022" t="s">
        <v>8675</v>
      </c>
    </row>
    <row r="181" spans="1:35" ht="12" customHeight="1" x14ac:dyDescent="0.2">
      <c r="A181" s="1883"/>
      <c r="B181" s="2157">
        <f>IF(OR(U181="FUE",U181="CON",U181="DES",U181="AGI"),1,IF(OR(U181="INT",U181="POD",U181="VOL",U181="PER"),2,0))</f>
        <v>0</v>
      </c>
      <c r="C181" s="3636"/>
      <c r="D181" s="2242" t="s">
        <v>1766</v>
      </c>
      <c r="E181" s="3858"/>
      <c r="F181" s="3859"/>
      <c r="G181" s="3859"/>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3090">
        <f t="shared" si="51"/>
        <v>0</v>
      </c>
      <c r="AC181" s="1706"/>
      <c r="AH181" s="3085" t="s">
        <v>8691</v>
      </c>
      <c r="AI181" s="3022" t="s">
        <v>1745</v>
      </c>
    </row>
    <row r="182" spans="1:35" ht="12" customHeight="1" thickBot="1" x14ac:dyDescent="0.25">
      <c r="A182" s="1883"/>
      <c r="B182" s="2157"/>
      <c r="C182" s="3636"/>
      <c r="D182" s="3832" t="s">
        <v>1852</v>
      </c>
      <c r="E182" s="3833"/>
      <c r="F182" s="3833"/>
      <c r="G182" s="3833"/>
      <c r="H182" s="3833"/>
      <c r="I182" s="3833"/>
      <c r="J182" s="3833"/>
      <c r="K182" s="3833"/>
      <c r="L182" s="3833"/>
      <c r="M182" s="3833"/>
      <c r="N182" s="3833"/>
      <c r="O182" s="3833"/>
      <c r="P182" s="3833"/>
      <c r="Q182" s="3833"/>
      <c r="R182" s="3833"/>
      <c r="S182" s="3833"/>
      <c r="T182" s="3833"/>
      <c r="U182" s="3833"/>
      <c r="V182" s="3833"/>
      <c r="W182" s="3833"/>
      <c r="X182" s="3833"/>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3092"/>
      <c r="AC182" s="1706"/>
      <c r="AH182" s="3085" t="s">
        <v>1759</v>
      </c>
      <c r="AI182" s="3022" t="s">
        <v>1759</v>
      </c>
    </row>
    <row r="183" spans="1:35" ht="12" customHeight="1" x14ac:dyDescent="0.2">
      <c r="A183" s="1883"/>
      <c r="B183" s="2157"/>
      <c r="C183" s="3636"/>
      <c r="D183" s="3834" t="s">
        <v>1854</v>
      </c>
      <c r="E183" s="3835"/>
      <c r="F183" s="3835"/>
      <c r="G183" s="3835"/>
      <c r="H183" s="3835"/>
      <c r="I183" s="3835"/>
      <c r="J183" s="3835"/>
      <c r="K183" s="3835"/>
      <c r="L183" s="3835"/>
      <c r="M183" s="3835"/>
      <c r="N183" s="3835"/>
      <c r="O183" s="3835"/>
      <c r="P183" s="3835"/>
      <c r="Q183" s="3835"/>
      <c r="R183" s="3835"/>
      <c r="S183" s="3835"/>
      <c r="T183" s="3835"/>
      <c r="U183" s="3835"/>
      <c r="V183" s="3835"/>
      <c r="W183" s="3835"/>
      <c r="X183" s="3835"/>
      <c r="Y183" s="190">
        <f>SUM($X126:$X181)</f>
        <v>0</v>
      </c>
      <c r="Z183" s="189" t="s">
        <v>1853</v>
      </c>
      <c r="AA183" s="1547">
        <f>IF(Nivel_Total=0,5,Nivel_Total*5)</f>
        <v>5</v>
      </c>
      <c r="AB183" s="3092"/>
      <c r="AC183" s="1706"/>
      <c r="AH183" s="3085" t="s">
        <v>8692</v>
      </c>
      <c r="AI183" s="3022" t="s">
        <v>1767</v>
      </c>
    </row>
    <row r="184" spans="1:35" ht="12" customHeight="1" x14ac:dyDescent="0.2">
      <c r="A184" s="1883"/>
      <c r="B184" s="2157"/>
      <c r="C184" s="3636"/>
      <c r="D184" s="3836" t="s">
        <v>1855</v>
      </c>
      <c r="E184" s="3614"/>
      <c r="F184" s="3614"/>
      <c r="G184" s="3614"/>
      <c r="H184" s="3614"/>
      <c r="I184" s="3614"/>
      <c r="J184" s="3614"/>
      <c r="K184" s="3614"/>
      <c r="L184" s="3614"/>
      <c r="M184" s="3614"/>
      <c r="N184" s="3614"/>
      <c r="O184" s="3614"/>
      <c r="P184" s="3614"/>
      <c r="Q184" s="3614"/>
      <c r="R184" s="3614"/>
      <c r="S184" s="3614"/>
      <c r="T184" s="3614"/>
      <c r="U184" s="3614"/>
      <c r="V184" s="3614"/>
      <c r="W184" s="3614"/>
      <c r="X184" s="3614"/>
      <c r="Y184" s="191">
        <f>SUM($Y126:$Y181)</f>
        <v>0</v>
      </c>
      <c r="Z184" s="192" t="s">
        <v>1853</v>
      </c>
      <c r="AA184" s="1548">
        <f>(IF(ISNUMBER(MATCH("Novel",P5:P14,0)),VLOOKUP("Novel",P5:S14,4,FALSE)))*5</f>
        <v>0</v>
      </c>
      <c r="AB184" s="3105"/>
      <c r="AC184" s="1706"/>
      <c r="AH184" s="3085" t="s">
        <v>8693</v>
      </c>
      <c r="AI184" s="3022" t="s">
        <v>1780</v>
      </c>
    </row>
    <row r="185" spans="1:35" ht="12" customHeight="1" x14ac:dyDescent="0.2">
      <c r="A185" s="1883"/>
      <c r="B185" s="2157"/>
      <c r="C185" s="3636"/>
      <c r="D185" s="3837" t="s">
        <v>1856</v>
      </c>
      <c r="E185" s="3819" t="str">
        <f>IF(Acumulacion="Si","Múltiplos de Acumulación","Múltiplos de Vida")</f>
        <v>Múltiplos de Vida</v>
      </c>
      <c r="F185" s="3820"/>
      <c r="G185" s="3820"/>
      <c r="H185" s="3820"/>
      <c r="I185" s="3821"/>
      <c r="J185" s="3805">
        <f>IF(Acumulacion="Si","X",IF(Categoría_1=0,0,VLOOKUP(Categoría_1,Tabla_Categorías,4,FALSE)))</f>
        <v>0</v>
      </c>
      <c r="K185" s="3807"/>
      <c r="L185" s="3805">
        <f>IF(Acumulacion="Si","X",IF(Categoría_2=0,0,VLOOKUP(Categoría_2,Tabla_Categorías,4,FALSE)))</f>
        <v>0</v>
      </c>
      <c r="M185" s="3807"/>
      <c r="N185" s="3805">
        <f>IF(Acumulacion="Si","X",IF(Categoría_3=0,0,VLOOKUP(Categoría_3,Tabla_Categorías,4,FALSE)))</f>
        <v>0</v>
      </c>
      <c r="O185" s="3807"/>
      <c r="P185" s="3805">
        <f>IF(Acumulacion="Si","X",IF(Categoría_4=0,0,VLOOKUP(Categoría_4,Tabla_Categorías,4,FALSE)))</f>
        <v>0</v>
      </c>
      <c r="Q185" s="3807"/>
      <c r="R185" s="3805">
        <f>IF(Acumulacion="Si","X",IF(Categoría_5=0,0,VLOOKUP(Categoría_5,Tabla_Categorías,4,FALSE)))</f>
        <v>0</v>
      </c>
      <c r="S185" s="3807"/>
      <c r="T185" s="3805">
        <f>IF(Acumulacion="Si",IF(Tablas!$S$1676&gt;0,Tablas!$S$1676,VLOOKUP(Tamaño,Tabla_CreaciónSeres,5)),IF(J185=0,0,TRUNC((K185/J185),0))+IF(L185=0,0,TRUNC((M185/L185),0))+IF(N185=0,0,TRUNC((O185/N185),0))+IF(P185=0,0,TRUNC((Q185/P185),0))+IF(R185=0,0,TRUNC((S185/R185),0)))</f>
        <v>0</v>
      </c>
      <c r="U185" s="3839">
        <f>20+CON*10+Bono_Con</f>
        <v>20</v>
      </c>
      <c r="V185" s="3839">
        <f>(HLOOKUP("PV",Bonos_Cat_Base,2,FALSE)+(10*Tablas!$G$349+20*Tablas!$G$350+30*Tablas!$G$351)*Nivel_Total)*IF(Acumulacion="Si",VLOOKUP(Tamaño,Tabla_CreaciónSeres,5),1)</f>
        <v>0</v>
      </c>
      <c r="W185" s="3839">
        <f>IF(Acumulacion="Si",T185*(K185+M185+O185+Q185+S185),T185*CON)</f>
        <v>0</v>
      </c>
      <c r="X185" s="3840"/>
      <c r="Y185" s="3841"/>
      <c r="Z185" s="3854">
        <f>U185+W185+V185+X185</f>
        <v>20</v>
      </c>
      <c r="AA185" s="3855"/>
      <c r="AB185" s="2956"/>
      <c r="AC185" s="1706"/>
    </row>
    <row r="186" spans="1:35" ht="12" customHeight="1" thickBot="1" x14ac:dyDescent="0.25">
      <c r="A186" s="1883"/>
      <c r="B186" s="2157"/>
      <c r="C186" s="3637"/>
      <c r="D186" s="3838"/>
      <c r="E186" s="3806"/>
      <c r="F186" s="3822"/>
      <c r="G186" s="3822"/>
      <c r="H186" s="3822"/>
      <c r="I186" s="3823"/>
      <c r="J186" s="3806"/>
      <c r="K186" s="3808"/>
      <c r="L186" s="3806"/>
      <c r="M186" s="3808"/>
      <c r="N186" s="3806"/>
      <c r="O186" s="3808"/>
      <c r="P186" s="3806"/>
      <c r="Q186" s="3808"/>
      <c r="R186" s="3806"/>
      <c r="S186" s="3808"/>
      <c r="T186" s="3806"/>
      <c r="U186" s="3822"/>
      <c r="V186" s="3822"/>
      <c r="W186" s="3822"/>
      <c r="X186" s="3842"/>
      <c r="Y186" s="3843"/>
      <c r="Z186" s="3856"/>
      <c r="AA186" s="3857"/>
      <c r="AB186" s="3106"/>
      <c r="AC186" s="1706"/>
    </row>
    <row r="187" spans="1:35" ht="12" customHeight="1" x14ac:dyDescent="0.2">
      <c r="A187" s="1883"/>
      <c r="B187" s="2415"/>
      <c r="AB187" s="2956"/>
      <c r="AC187" s="1706"/>
    </row>
    <row r="188" spans="1:35" ht="12" customHeight="1" thickBot="1" x14ac:dyDescent="0.25">
      <c r="A188" s="1883"/>
      <c r="B188" s="2157"/>
      <c r="AB188" s="2956"/>
      <c r="AC188" s="1706"/>
    </row>
    <row r="189" spans="1:35" ht="12" customHeight="1" x14ac:dyDescent="0.2">
      <c r="A189" s="1883"/>
      <c r="B189" s="2157"/>
      <c r="C189" s="3814" t="s">
        <v>1857</v>
      </c>
      <c r="D189" s="3815"/>
      <c r="E189" s="3815"/>
      <c r="F189" s="3815"/>
      <c r="G189" s="3815"/>
      <c r="H189" s="3815"/>
      <c r="I189" s="3645"/>
      <c r="J189" s="3646">
        <f>$T$5</f>
        <v>400</v>
      </c>
      <c r="K189" s="3648">
        <f>M83+M101+M117+SUM(K126:K181)+K185+Z7+W18</f>
        <v>0</v>
      </c>
      <c r="L189" s="3646">
        <f>$T$7</f>
        <v>0</v>
      </c>
      <c r="M189" s="3648">
        <f>IF(Categoría_2="",0,O83+O101+O117+M185+SUM(M126:M181)-M83-M101-M117+AA7+Z9+X18)</f>
        <v>0</v>
      </c>
      <c r="N189" s="3646">
        <f>$T$9</f>
        <v>0</v>
      </c>
      <c r="O189" s="3648">
        <f>IF(Categoría_3="",0,Q83+Q101+Q117+O185+SUM(O126:O181)-O83-O101-O117+AA9+Z11+Y18)</f>
        <v>0</v>
      </c>
      <c r="P189" s="3646">
        <f>$T$11</f>
        <v>0</v>
      </c>
      <c r="Q189" s="3648">
        <f>IF(Categoría_4="",0,S83+S101+S117+Q185+SUM(Q126:Q181)-Q83-Q101-Q117+AA11+Z13+Z18)</f>
        <v>0</v>
      </c>
      <c r="R189" s="3646">
        <f>$T$13</f>
        <v>0</v>
      </c>
      <c r="S189" s="3830">
        <f>IF(Categoría_4="",0,U83+U101+U117+S185+SUM(S126:S181)-S83-S101-S117+AA13+AA18)</f>
        <v>0</v>
      </c>
      <c r="T189" s="3493" t="str">
        <f>IF(AA189&gt;Z189,"Exceso de PDs",IF(OR(K189&gt;J189,M189&gt;L189,O189&gt;N189,Q189&gt;P189,S189&gt;R189),"Límite por Categoría excedido",""))</f>
        <v/>
      </c>
      <c r="U189" s="3494"/>
      <c r="V189" s="3494"/>
      <c r="W189" s="3495"/>
      <c r="X189" s="3489" t="s">
        <v>4551</v>
      </c>
      <c r="Y189" s="3490"/>
      <c r="Z189" s="3499">
        <f>J189+L189+N189+P189+R189</f>
        <v>400</v>
      </c>
      <c r="AA189" s="3501">
        <f>K189+M189+O189+Q189+S189</f>
        <v>0</v>
      </c>
      <c r="AB189" s="2956"/>
      <c r="AC189" s="1706"/>
    </row>
    <row r="190" spans="1:35" ht="12" customHeight="1" thickBot="1" x14ac:dyDescent="0.25">
      <c r="A190" s="1883"/>
      <c r="B190" s="2157"/>
      <c r="C190" s="3816"/>
      <c r="D190" s="3817"/>
      <c r="E190" s="3817"/>
      <c r="F190" s="3817"/>
      <c r="G190" s="3817"/>
      <c r="H190" s="3817"/>
      <c r="I190" s="3547"/>
      <c r="J190" s="3647"/>
      <c r="K190" s="3649"/>
      <c r="L190" s="3647"/>
      <c r="M190" s="3649"/>
      <c r="N190" s="3647"/>
      <c r="O190" s="3649"/>
      <c r="P190" s="3647"/>
      <c r="Q190" s="3649"/>
      <c r="R190" s="3647"/>
      <c r="S190" s="3831"/>
      <c r="T190" s="3496"/>
      <c r="U190" s="3497"/>
      <c r="V190" s="3497"/>
      <c r="W190" s="3498"/>
      <c r="X190" s="3491"/>
      <c r="Y190" s="3492"/>
      <c r="Z190" s="3500"/>
      <c r="AA190" s="3502"/>
      <c r="AB190" s="2956"/>
      <c r="AC190" s="1706"/>
    </row>
    <row r="191" spans="1:35" ht="12" customHeight="1" x14ac:dyDescent="0.2">
      <c r="A191" s="1881"/>
      <c r="B191" s="2157"/>
      <c r="AB191" s="2956"/>
      <c r="AC191" s="2960"/>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02"/>
      <c r="AC192" s="2960"/>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06"/>
      <c r="AC193" s="170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22" zoomScaleNormal="100" zoomScaleSheetLayoutView="55" workbookViewId="0">
      <selection activeCell="E37" sqref="E37:G37"/>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213"/>
      <c r="D3" s="3213"/>
      <c r="E3" s="3213"/>
      <c r="F3" s="3213"/>
      <c r="G3" s="3213"/>
      <c r="H3" s="3213"/>
      <c r="I3" s="9"/>
      <c r="J3" s="9"/>
      <c r="K3" s="9"/>
      <c r="L3" s="9"/>
      <c r="M3" s="9"/>
      <c r="N3" s="9"/>
      <c r="O3" s="9"/>
      <c r="P3" s="9"/>
      <c r="Q3" s="9"/>
      <c r="R3" s="9"/>
      <c r="S3" s="9"/>
      <c r="T3" s="9"/>
      <c r="U3" s="9"/>
      <c r="V3" s="9"/>
      <c r="W3" s="2072"/>
      <c r="X3" s="2852"/>
      <c r="Y3" s="45"/>
      <c r="Z3" s="45"/>
      <c r="AA3" s="2851"/>
      <c r="AB3" s="3213"/>
      <c r="AC3" s="3213"/>
      <c r="AD3" s="3213"/>
      <c r="AE3" s="3213"/>
      <c r="AF3" s="3213"/>
      <c r="AG3" s="3213"/>
      <c r="AH3" s="9"/>
      <c r="AI3" s="9"/>
      <c r="AJ3" s="9"/>
      <c r="AK3" s="9"/>
      <c r="AL3" s="9"/>
      <c r="AM3" s="9"/>
      <c r="AN3" s="9"/>
      <c r="AO3" s="9"/>
      <c r="AP3" s="9"/>
      <c r="AQ3" s="10"/>
      <c r="AR3" s="2964"/>
      <c r="AS3" s="2961"/>
      <c r="AZ3" s="2962"/>
      <c r="BF3" s="43"/>
      <c r="BG3" s="43"/>
      <c r="BH3" s="43"/>
    </row>
    <row r="4" spans="1:60" ht="12" customHeight="1" thickBot="1" x14ac:dyDescent="0.25">
      <c r="A4" s="45"/>
      <c r="B4" s="3011"/>
      <c r="C4" s="3213"/>
      <c r="D4" s="3213"/>
      <c r="E4" s="3213"/>
      <c r="F4" s="3213"/>
      <c r="G4" s="3213"/>
      <c r="H4" s="3213"/>
      <c r="I4" s="12"/>
      <c r="J4" s="12"/>
      <c r="K4" s="3167" t="s">
        <v>1625</v>
      </c>
      <c r="L4" s="3167"/>
      <c r="M4" s="3168" t="str">
        <f>IF(OR(General!$G$22="",General!$G$22=0),"",General!$G$22)</f>
        <v/>
      </c>
      <c r="N4" s="3168"/>
      <c r="O4" s="3168"/>
      <c r="P4" s="3168"/>
      <c r="Q4" s="3168"/>
      <c r="R4" s="2070"/>
      <c r="S4" s="2070"/>
      <c r="T4" s="2070"/>
      <c r="U4" s="2070"/>
      <c r="V4" s="2070"/>
      <c r="W4" s="13"/>
      <c r="X4" s="2852"/>
      <c r="Y4" s="45"/>
      <c r="Z4" s="45"/>
      <c r="AA4" s="2851"/>
      <c r="AB4" s="3213"/>
      <c r="AC4" s="3213"/>
      <c r="AD4" s="3213"/>
      <c r="AE4" s="3213"/>
      <c r="AF4" s="3213"/>
      <c r="AG4" s="3213"/>
      <c r="AH4" s="12"/>
      <c r="AI4" s="12"/>
      <c r="AJ4" s="3167" t="s">
        <v>1625</v>
      </c>
      <c r="AK4" s="3167"/>
      <c r="AL4" s="3168" t="str">
        <f>IF(OR(General!$G$22="",General!$G$22=0),"",General!$G$22)</f>
        <v/>
      </c>
      <c r="AM4" s="3168"/>
      <c r="AN4" s="3168"/>
      <c r="AO4" s="3168"/>
      <c r="AP4" s="3168"/>
      <c r="AQ4" s="13"/>
      <c r="AR4" s="2964"/>
      <c r="AS4" s="2961"/>
      <c r="AZ4" s="2962"/>
      <c r="BF4" s="43"/>
      <c r="BG4" s="43"/>
      <c r="BH4" s="43"/>
    </row>
    <row r="5" spans="1:60" ht="12" customHeight="1" thickBot="1" x14ac:dyDescent="0.25">
      <c r="A5" s="45"/>
      <c r="B5" s="3011"/>
      <c r="C5" s="3213"/>
      <c r="D5" s="3213"/>
      <c r="E5" s="3213"/>
      <c r="F5" s="3213"/>
      <c r="G5" s="3213"/>
      <c r="H5" s="3213"/>
      <c r="I5" s="12"/>
      <c r="J5" s="12"/>
      <c r="K5" s="3210" t="s">
        <v>1626</v>
      </c>
      <c r="L5" s="3210"/>
      <c r="M5" s="3211" t="str">
        <f>Principal!$L$5</f>
        <v/>
      </c>
      <c r="N5" s="3211"/>
      <c r="O5" s="3211"/>
      <c r="P5" s="14" t="s">
        <v>1627</v>
      </c>
      <c r="Q5" s="15" t="str">
        <f>Principal!$P$5</f>
        <v>0</v>
      </c>
      <c r="R5" s="12"/>
      <c r="S5" s="12"/>
      <c r="T5" s="12"/>
      <c r="U5" s="12"/>
      <c r="V5" s="12"/>
      <c r="W5" s="16"/>
      <c r="X5" s="2852"/>
      <c r="Y5" s="45"/>
      <c r="Z5" s="45"/>
      <c r="AA5" s="2851"/>
      <c r="AB5" s="3213"/>
      <c r="AC5" s="3213"/>
      <c r="AD5" s="3213"/>
      <c r="AE5" s="3213"/>
      <c r="AF5" s="3213"/>
      <c r="AG5" s="3213"/>
      <c r="AH5" s="12"/>
      <c r="AI5" s="12"/>
      <c r="AJ5" s="3210" t="s">
        <v>1626</v>
      </c>
      <c r="AK5" s="3210"/>
      <c r="AL5" s="3211" t="str">
        <f>Principal!$L$5</f>
        <v/>
      </c>
      <c r="AM5" s="3211"/>
      <c r="AN5" s="3211"/>
      <c r="AO5" s="14" t="s">
        <v>1627</v>
      </c>
      <c r="AP5" s="15" t="str">
        <f>Principal!$P$5</f>
        <v>0</v>
      </c>
      <c r="AQ5" s="16"/>
      <c r="AR5" s="2964"/>
      <c r="AS5" s="2961"/>
      <c r="AZ5" s="2962"/>
      <c r="BF5" s="43"/>
      <c r="BG5" s="43"/>
      <c r="BH5" s="43"/>
    </row>
    <row r="6" spans="1:60" ht="12" customHeight="1" thickBot="1" x14ac:dyDescent="0.25">
      <c r="A6" s="45"/>
      <c r="B6" s="3011"/>
      <c r="C6" s="3213"/>
      <c r="D6" s="3213"/>
      <c r="E6" s="3213"/>
      <c r="F6" s="3213"/>
      <c r="G6" s="3213"/>
      <c r="H6" s="3213"/>
      <c r="I6" s="12"/>
      <c r="J6" s="12"/>
      <c r="K6" s="3212" t="s">
        <v>1858</v>
      </c>
      <c r="L6" s="3212"/>
      <c r="M6" s="3212"/>
      <c r="N6" s="3212"/>
      <c r="O6" s="3212"/>
      <c r="P6" s="3212"/>
      <c r="Q6" s="3212"/>
      <c r="R6" s="12"/>
      <c r="S6" s="12"/>
      <c r="T6" s="12"/>
      <c r="U6" s="12"/>
      <c r="V6" s="12"/>
      <c r="W6" s="16"/>
      <c r="X6" s="2852"/>
      <c r="Y6" s="45"/>
      <c r="Z6" s="45"/>
      <c r="AA6" s="2851"/>
      <c r="AB6" s="3213"/>
      <c r="AC6" s="3213"/>
      <c r="AD6" s="3213"/>
      <c r="AE6" s="3213"/>
      <c r="AF6" s="3213"/>
      <c r="AG6" s="3213"/>
      <c r="AH6" s="12"/>
      <c r="AI6" s="12"/>
      <c r="AJ6" s="3212" t="s">
        <v>1859</v>
      </c>
      <c r="AK6" s="3212"/>
      <c r="AL6" s="3212"/>
      <c r="AM6" s="3212"/>
      <c r="AN6" s="3212"/>
      <c r="AO6" s="3212"/>
      <c r="AP6" s="3212"/>
      <c r="AQ6" s="16"/>
      <c r="AR6" s="2964"/>
      <c r="AS6" s="2961"/>
      <c r="AZ6" s="2962"/>
      <c r="BF6" s="43"/>
      <c r="BG6" s="43"/>
      <c r="BH6" s="43"/>
    </row>
    <row r="7" spans="1:60" ht="12" customHeight="1" thickBot="1" x14ac:dyDescent="0.25">
      <c r="A7" s="45"/>
      <c r="B7" s="3011"/>
      <c r="C7" s="3213"/>
      <c r="D7" s="3213"/>
      <c r="E7" s="3213"/>
      <c r="F7" s="3213"/>
      <c r="G7" s="3213"/>
      <c r="H7" s="3213"/>
      <c r="I7" s="12"/>
      <c r="J7" s="12"/>
      <c r="K7" s="3212"/>
      <c r="L7" s="3212"/>
      <c r="M7" s="3212"/>
      <c r="N7" s="3212"/>
      <c r="O7" s="3212"/>
      <c r="P7" s="3212"/>
      <c r="Q7" s="3212"/>
      <c r="R7" s="12"/>
      <c r="S7" s="12"/>
      <c r="T7" s="12"/>
      <c r="U7" s="12"/>
      <c r="V7" s="12"/>
      <c r="W7" s="16"/>
      <c r="X7" s="2852"/>
      <c r="Y7" s="45"/>
      <c r="Z7" s="45"/>
      <c r="AA7" s="2851"/>
      <c r="AB7" s="3213"/>
      <c r="AC7" s="3213"/>
      <c r="AD7" s="3213"/>
      <c r="AE7" s="3213"/>
      <c r="AF7" s="3213"/>
      <c r="AG7" s="3213"/>
      <c r="AH7" s="12"/>
      <c r="AI7" s="12"/>
      <c r="AJ7" s="3212"/>
      <c r="AK7" s="3212"/>
      <c r="AL7" s="3212"/>
      <c r="AM7" s="3212"/>
      <c r="AN7" s="3212"/>
      <c r="AO7" s="3212"/>
      <c r="AP7" s="3212"/>
      <c r="AQ7" s="16"/>
      <c r="AR7" s="2964"/>
      <c r="AS7" s="2961"/>
      <c r="AZ7" s="2962"/>
      <c r="BF7" s="43"/>
      <c r="BG7" s="43"/>
      <c r="BH7" s="43"/>
    </row>
    <row r="8" spans="1:60" ht="12" customHeight="1" thickBot="1" x14ac:dyDescent="0.25">
      <c r="A8" s="45"/>
      <c r="B8" s="3011"/>
      <c r="C8" s="3213"/>
      <c r="D8" s="3213"/>
      <c r="E8" s="3213"/>
      <c r="F8" s="3213"/>
      <c r="G8" s="3213"/>
      <c r="H8" s="3213"/>
      <c r="I8" s="17"/>
      <c r="J8" s="17"/>
      <c r="K8" s="17"/>
      <c r="L8" s="17"/>
      <c r="M8" s="17"/>
      <c r="N8" s="17"/>
      <c r="O8" s="17"/>
      <c r="P8" s="17"/>
      <c r="Q8" s="17"/>
      <c r="R8" s="17"/>
      <c r="S8" s="17"/>
      <c r="T8" s="17"/>
      <c r="U8" s="17"/>
      <c r="V8" s="17"/>
      <c r="W8" s="2073"/>
      <c r="X8" s="2852"/>
      <c r="Y8" s="45"/>
      <c r="Z8" s="45"/>
      <c r="AA8" s="2851"/>
      <c r="AB8" s="3213"/>
      <c r="AC8" s="3213"/>
      <c r="AD8" s="3213"/>
      <c r="AE8" s="3213"/>
      <c r="AF8" s="3213"/>
      <c r="AG8" s="3213"/>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4014" t="s">
        <v>1860</v>
      </c>
      <c r="F10" s="4015"/>
      <c r="G10" s="4015"/>
      <c r="H10" s="4015"/>
      <c r="I10" s="4015"/>
      <c r="J10" s="4015"/>
      <c r="K10" s="4015"/>
      <c r="L10" s="4015"/>
      <c r="M10" s="4015"/>
      <c r="N10" s="4015"/>
      <c r="O10" s="4015"/>
      <c r="P10" s="4015"/>
      <c r="Q10" s="4015"/>
      <c r="R10" s="4015"/>
      <c r="S10" s="4015"/>
      <c r="T10" s="4015"/>
      <c r="U10" s="3006"/>
      <c r="X10" s="2852"/>
      <c r="Y10" s="45"/>
      <c r="Z10" s="45"/>
      <c r="AA10" s="2851"/>
      <c r="AB10" s="4016" t="s">
        <v>1707</v>
      </c>
      <c r="AC10" s="4017" t="s">
        <v>10083</v>
      </c>
      <c r="AD10" s="4017"/>
      <c r="AE10" s="4017"/>
      <c r="AF10" s="196"/>
      <c r="AG10" s="67"/>
      <c r="AH10" s="3172" t="s">
        <v>1813</v>
      </c>
      <c r="AI10" s="3172"/>
      <c r="AJ10" s="3172"/>
      <c r="AK10" s="3172"/>
      <c r="AL10" s="3990" t="s">
        <v>1861</v>
      </c>
      <c r="AM10" s="3990"/>
      <c r="AN10" s="3990"/>
      <c r="AO10" s="3990"/>
      <c r="AP10" s="3990"/>
      <c r="AQ10" s="3990"/>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4018" t="s">
        <v>1860</v>
      </c>
      <c r="F11" s="4019"/>
      <c r="G11" s="4019"/>
      <c r="H11" s="4020" t="s">
        <v>1630</v>
      </c>
      <c r="I11" s="4020"/>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4016"/>
      <c r="AC11" s="4021" t="s">
        <v>10084</v>
      </c>
      <c r="AD11" s="4021"/>
      <c r="AE11" s="4021"/>
      <c r="AF11" s="197"/>
      <c r="AG11" s="67"/>
      <c r="AH11" s="3898" t="str">
        <f>IF(PDs!$E40=0,"",PDs!$E40)</f>
        <v/>
      </c>
      <c r="AI11" s="3898"/>
      <c r="AJ11" s="3898"/>
      <c r="AK11" s="3898"/>
      <c r="AL11" s="4022" t="str">
        <f>IF(PDs!$AD40=0,"",PDs!$V40&amp;" ")&amp;IF(PDs!$AD40=0,"",IF(PDs!$Y40=0,"",PDs!$Y40))</f>
        <v xml:space="preserve"> </v>
      </c>
      <c r="AM11" s="4022"/>
      <c r="AN11" s="4022"/>
      <c r="AO11" s="4022"/>
      <c r="AP11" s="4022"/>
      <c r="AQ11" s="4022"/>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4027"/>
      <c r="F12" s="4028"/>
      <c r="G12" s="4028"/>
      <c r="H12" s="4026" t="str">
        <f>IF(E12=0,"",VLOOKUP(E12,Tabla_Armaduras,7,FALSE))</f>
        <v/>
      </c>
      <c r="I12" s="4026"/>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4016"/>
      <c r="AC12" s="4021" t="s">
        <v>1872</v>
      </c>
      <c r="AD12" s="4021"/>
      <c r="AE12" s="4021"/>
      <c r="AF12" s="197"/>
      <c r="AG12" s="67"/>
      <c r="AH12" s="3872" t="str">
        <f>IF(PDs!$E41=0,"",PDs!$E41)</f>
        <v/>
      </c>
      <c r="AI12" s="3872"/>
      <c r="AJ12" s="3872"/>
      <c r="AK12" s="3872"/>
      <c r="AL12" s="3994" t="str">
        <f>IF(PDs!$AD41=0,"",PDs!$V41&amp;" ")&amp;IF(PDs!$AD41=0,"",IF(PDs!$Y41=0,"",PDs!$Y41))</f>
        <v xml:space="preserve"> </v>
      </c>
      <c r="AM12" s="3994"/>
      <c r="AN12" s="3994"/>
      <c r="AO12" s="3994"/>
      <c r="AP12" s="3994"/>
      <c r="AQ12" s="3994"/>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4024"/>
      <c r="F13" s="4025"/>
      <c r="G13" s="4025"/>
      <c r="H13" s="4026" t="str">
        <f>IF(E13=0,"",VLOOKUP(E13,Tabla_Armaduras,7,FALSE))</f>
        <v/>
      </c>
      <c r="I13" s="4026"/>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4016"/>
      <c r="AC13" s="4021" t="s">
        <v>1873</v>
      </c>
      <c r="AD13" s="4021"/>
      <c r="AE13" s="4021"/>
      <c r="AF13" s="197"/>
      <c r="AG13" s="67"/>
      <c r="AH13" s="3872" t="str">
        <f>IF(PDs!$E42=0,"",PDs!$E42)</f>
        <v/>
      </c>
      <c r="AI13" s="3872"/>
      <c r="AJ13" s="3872"/>
      <c r="AK13" s="3872"/>
      <c r="AL13" s="3994" t="str">
        <f>IF(PDs!$AD42=0,"",PDs!$V42&amp;" ")&amp;IF(PDs!$AD42=0,"",IF(PDs!$Y42=0,"",PDs!$Y42))</f>
        <v xml:space="preserve"> </v>
      </c>
      <c r="AM13" s="3994"/>
      <c r="AN13" s="3994"/>
      <c r="AO13" s="3994"/>
      <c r="AP13" s="3994"/>
      <c r="AQ13" s="3994"/>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4011"/>
      <c r="F14" s="4012"/>
      <c r="G14" s="4012"/>
      <c r="H14" s="4013" t="str">
        <f>IF(E14=0,"",VLOOKUP(E14,Tabla_Armaduras,7,FALSE))</f>
        <v/>
      </c>
      <c r="I14" s="4013"/>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4016"/>
      <c r="AC14" s="4023" t="s">
        <v>1874</v>
      </c>
      <c r="AD14" s="4023"/>
      <c r="AE14" s="4023"/>
      <c r="AF14" s="201"/>
      <c r="AG14" s="67"/>
      <c r="AH14" s="3872" t="str">
        <f>IF(PDs!$E43=0,"",PDs!$E43)</f>
        <v/>
      </c>
      <c r="AI14" s="3872"/>
      <c r="AJ14" s="3872"/>
      <c r="AK14" s="3872"/>
      <c r="AL14" s="3994" t="str">
        <f>IF(PDs!$AD43=0,"",PDs!$V43&amp;" ")&amp;IF(PDs!$AD43=0,"",IF(PDs!$Y43=0,"",PDs!$Y43))</f>
        <v xml:space="preserve"> </v>
      </c>
      <c r="AM14" s="3994"/>
      <c r="AN14" s="3994"/>
      <c r="AO14" s="3994"/>
      <c r="AP14" s="3994"/>
      <c r="AQ14" s="3994"/>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999"/>
      <c r="F15" s="4000"/>
      <c r="G15" s="3171"/>
      <c r="H15" s="4001" t="s">
        <v>1875</v>
      </c>
      <c r="I15" s="4001"/>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4016"/>
      <c r="AC15" s="3991" t="s">
        <v>1658</v>
      </c>
      <c r="AD15" s="3991"/>
      <c r="AE15" s="3991"/>
      <c r="AF15" s="3993">
        <f>SUM(AF10:AF14)+U16</f>
        <v>0</v>
      </c>
      <c r="AG15" s="67"/>
      <c r="AH15" s="3872" t="str">
        <f>IF(PDs!$E44=0,"",PDs!$E44)</f>
        <v/>
      </c>
      <c r="AI15" s="3872"/>
      <c r="AJ15" s="3872"/>
      <c r="AK15" s="3872"/>
      <c r="AL15" s="3994" t="str">
        <f>IF(PDs!$AD44=0,"",PDs!$V44&amp;" ")&amp;IF(PDs!$AD44=0,"",IF(PDs!$Y44=0,"",PDs!$Y44))</f>
        <v xml:space="preserve"> </v>
      </c>
      <c r="AM15" s="3994"/>
      <c r="AN15" s="3994"/>
      <c r="AO15" s="3994"/>
      <c r="AP15" s="3994"/>
      <c r="AQ15" s="3994"/>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4002" t="s">
        <v>1876</v>
      </c>
      <c r="F16" s="4003"/>
      <c r="G16" s="4006">
        <f>MAX(0,T12+T13+T14-MAX(0,TRUNC(LlevarArmadura_final-J16,0)/50))</f>
        <v>0</v>
      </c>
      <c r="H16" s="4008" t="s">
        <v>1877</v>
      </c>
      <c r="I16" s="4008"/>
      <c r="J16" s="2825">
        <f>IF(E12="",0,MAX(0,VLOOKUP(E12,Tabla_Armaduras,2,FALSE)-J12)+IF(E13="",0,VLOOKUP(E13,Tabla_Armaduras,2,FALSE)-J13)+IF(E14="",0,VLOOKUP(E14,Tabla_Armaduras,2,FALSE)-J14)+IF(E15="",0,MAX(VLOOKUP(E15,Tabla_Yelmos,2,FALSE)-J15,0)))</f>
        <v>0</v>
      </c>
      <c r="K16" s="4009">
        <f t="shared" ref="K16:Q16" si="4">AX$10</f>
        <v>0</v>
      </c>
      <c r="L16" s="3989">
        <f t="shared" si="4"/>
        <v>0</v>
      </c>
      <c r="M16" s="3989">
        <f t="shared" si="4"/>
        <v>0</v>
      </c>
      <c r="N16" s="3989">
        <f t="shared" si="4"/>
        <v>0</v>
      </c>
      <c r="O16" s="3989">
        <f t="shared" si="4"/>
        <v>0</v>
      </c>
      <c r="P16" s="3989">
        <f t="shared" si="4"/>
        <v>0</v>
      </c>
      <c r="Q16" s="3903">
        <f t="shared" si="4"/>
        <v>0</v>
      </c>
      <c r="R16" s="4029" t="s">
        <v>10090</v>
      </c>
      <c r="S16" s="4030"/>
      <c r="T16" s="4030"/>
      <c r="U16" s="3014">
        <f>IF(J16=0,0,MIN(LlevarArmadura_final-J16,0))</f>
        <v>0</v>
      </c>
      <c r="X16" s="2852"/>
      <c r="Y16" s="45"/>
      <c r="Z16" s="45"/>
      <c r="AA16" s="2851"/>
      <c r="AB16" s="4016"/>
      <c r="AC16" s="3991"/>
      <c r="AD16" s="3991"/>
      <c r="AE16" s="3991"/>
      <c r="AF16" s="3993"/>
      <c r="AG16" s="67"/>
      <c r="AH16" s="3870" t="str">
        <f>IF(PDs!$E45=0,"",PDs!$E45)</f>
        <v/>
      </c>
      <c r="AI16" s="3870"/>
      <c r="AJ16" s="3870"/>
      <c r="AK16" s="3870"/>
      <c r="AL16" s="3992" t="str">
        <f>IF(PDs!$AD45=0,"",PDs!$V45&amp;" ")&amp;IF(PDs!$AD45=0,"",IF(PDs!$Y45=0,"",PDs!$Y45))</f>
        <v xml:space="preserve"> </v>
      </c>
      <c r="AM16" s="3992"/>
      <c r="AN16" s="3992"/>
      <c r="AO16" s="3992"/>
      <c r="AP16" s="3992"/>
      <c r="AQ16" s="3992"/>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4004"/>
      <c r="F17" s="4005"/>
      <c r="G17" s="4007"/>
      <c r="H17" s="3998" t="s">
        <v>1878</v>
      </c>
      <c r="I17" s="3998"/>
      <c r="J17" s="1291">
        <f>IF(E12="",0,MIN(VLOOKUP(E12,Tabla_Armaduras,3)+J12,0))+IF(E13="",0,MIN(VLOOKUP(E13,Tabla_Armaduras,3)+J13,0))+IF(E14="",0,MIN(VLOOKUP(E14,Tabla_Armaduras,3)+J14,0))</f>
        <v>0</v>
      </c>
      <c r="K17" s="4010"/>
      <c r="L17" s="3492"/>
      <c r="M17" s="3492"/>
      <c r="N17" s="3492"/>
      <c r="O17" s="3492"/>
      <c r="P17" s="3492"/>
      <c r="Q17" s="3995"/>
      <c r="R17" s="3996" t="s">
        <v>10082</v>
      </c>
      <c r="S17" s="3997"/>
      <c r="T17" s="3997"/>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72" t="s">
        <v>1814</v>
      </c>
      <c r="AC18" s="3172"/>
      <c r="AD18" s="3172"/>
      <c r="AE18" s="3172"/>
      <c r="AF18" s="3172"/>
      <c r="AG18" s="3172"/>
      <c r="AH18" s="3990" t="s">
        <v>1861</v>
      </c>
      <c r="AI18" s="3990"/>
      <c r="AJ18" s="3990"/>
      <c r="AK18" s="3990"/>
      <c r="AL18" s="3990"/>
      <c r="AM18" s="3990"/>
      <c r="AN18" s="3990"/>
      <c r="AO18" s="3990"/>
      <c r="AP18" s="3990"/>
      <c r="AQ18" s="3990"/>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977" t="s">
        <v>1879</v>
      </c>
      <c r="D19" s="3978"/>
      <c r="E19" s="3979" t="str">
        <f>IF(COUNTA(PDs!$E$56:$E$74)&gt;0,"Artes Marciales","Desarmado")</f>
        <v>Desarmado</v>
      </c>
      <c r="F19" s="3979"/>
      <c r="G19" s="3979"/>
      <c r="H19" s="1287" t="s">
        <v>1702</v>
      </c>
      <c r="I19" s="2867" t="s">
        <v>1880</v>
      </c>
      <c r="J19" s="3891" t="s">
        <v>1881</v>
      </c>
      <c r="K19" s="3891"/>
      <c r="L19" s="2844" t="s">
        <v>1882</v>
      </c>
      <c r="P19" s="3977" t="s">
        <v>10043</v>
      </c>
      <c r="Q19" s="3980"/>
      <c r="R19" s="3980"/>
      <c r="S19" s="3980"/>
      <c r="T19" s="3980"/>
      <c r="U19" s="3981"/>
      <c r="X19" s="1710"/>
      <c r="Y19" s="45"/>
      <c r="Z19" s="45"/>
      <c r="AA19" s="2851"/>
      <c r="AB19" s="3946" t="str">
        <f>IF(PDs!$E46="","",PDs!$E46)</f>
        <v/>
      </c>
      <c r="AC19" s="3946"/>
      <c r="AD19" s="3946"/>
      <c r="AE19" s="3946"/>
      <c r="AF19" s="3946"/>
      <c r="AG19" s="3946"/>
      <c r="AH19" s="3902" t="str">
        <f>IF(PDs!$V46=0,"",PDs!$V46)</f>
        <v/>
      </c>
      <c r="AI19" s="3902"/>
      <c r="AJ19" s="3902"/>
      <c r="AK19" s="3902"/>
      <c r="AL19" s="3902"/>
      <c r="AM19" s="3902"/>
      <c r="AN19" s="3902"/>
      <c r="AO19" s="3902"/>
      <c r="AP19" s="3902"/>
      <c r="AQ19" s="3902"/>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974" t="str">
        <f>IF(E19="Artes Marciales","Conocida",VLOOKUP(E19,Tabla_ArmasyEscudos,9,FALSE))</f>
        <v>Distinta</v>
      </c>
      <c r="D20" s="3975"/>
      <c r="E20" s="3976" t="str">
        <f>IF(E19&lt;&gt;"Artes Marciales",IF(OR(COUNTIF(PoderesDeCriatura_Adquiridos,"Armas naturales")&gt;0,Tablas!$P$256&gt;0,Raza="Jayán",Raza="Daimah",Raza="Tuan Dalyr",Nephilim="Nephilim Turak",Raza="Turak"),"Armas Naturales",""),"")</f>
        <v/>
      </c>
      <c r="F20" s="3976"/>
      <c r="G20" s="3976"/>
      <c r="H20" s="3908">
        <f>Turno_Nat_final+Combate!D23+Personalización!Y7</f>
        <v>40</v>
      </c>
      <c r="I20" s="3908">
        <f>IF(E19="Desarmado",MAX(HA_final-IF(C20="Conocida",0,60),0),HA_final-PDs!$X$22+MIN(PDs!$X$22+F23,50)+BonoMaestro_HA)-IF(Tablas!$H$519&lt;0,IF(Arma_Desarrollada="Desarmado",0,30),0)+Personalización!Y8</f>
        <v>0</v>
      </c>
      <c r="J20" s="3911">
        <f>MAX(HP_SinArmas,HE_SinArmas)+Personalización!Y9</f>
        <v>0</v>
      </c>
      <c r="K20" s="3903" t="str">
        <f>IF(HP_SinArmas&gt;HE_SinArmas,"Par","Esq")</f>
        <v>Esq</v>
      </c>
      <c r="L20" s="3877">
        <f>IF(E19="Desarmado",IF(Raza="Criatura",IF(E20="Armas Naturales",VLOOKUP(Tamaño,Tabla_CreaciónSeres,8),VLOOKUP(Tamaño,Tabla_CreaciónSeres,7)),IF(E20="Armas Naturales",ArmasNaturales_Daño,10)+Bono_Fue),ArtesM_Daño)+L23+Personalización!Y10</f>
        <v>10</v>
      </c>
      <c r="P20" s="3985" t="s">
        <v>1725</v>
      </c>
      <c r="Q20" s="3986"/>
      <c r="R20" s="2906" t="s">
        <v>1882</v>
      </c>
      <c r="S20" s="2906" t="s">
        <v>1883</v>
      </c>
      <c r="T20" s="3987" t="s">
        <v>10044</v>
      </c>
      <c r="U20" s="3988"/>
      <c r="X20" s="1710"/>
      <c r="Y20" s="45"/>
      <c r="Z20" s="45"/>
      <c r="AA20" s="2851"/>
      <c r="AB20" s="3946" t="str">
        <f>IF(PDs!$E47="","",PDs!$E47)</f>
        <v/>
      </c>
      <c r="AC20" s="3946"/>
      <c r="AD20" s="3946"/>
      <c r="AE20" s="3946"/>
      <c r="AF20" s="3946"/>
      <c r="AG20" s="3946"/>
      <c r="AH20" s="3902" t="str">
        <f>IF(PDs!$V47=0,"",PDs!$V47)</f>
        <v/>
      </c>
      <c r="AI20" s="3902"/>
      <c r="AJ20" s="3902"/>
      <c r="AK20" s="3902"/>
      <c r="AL20" s="3902"/>
      <c r="AM20" s="3902"/>
      <c r="AN20" s="3902"/>
      <c r="AO20" s="3902"/>
      <c r="AP20" s="3902"/>
      <c r="AQ20" s="3902"/>
      <c r="AR20" s="2964"/>
      <c r="AS20" s="2961"/>
      <c r="AT20" s="2962">
        <f>HP_final-PDs!$X$23-IF(E19="Desarmado",IF(C20="Conocida",0,60),0)+MIN(PDs!$X$23+H23,50)-IF(Tablas!$H$519&lt;0,IF(Arma_Desarrollada="Desarmado",0,30),0)</f>
        <v>-60</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909"/>
      <c r="I21" s="3909"/>
      <c r="J21" s="3911"/>
      <c r="K21" s="3903"/>
      <c r="L21" s="3916"/>
      <c r="P21" s="3966"/>
      <c r="Q21" s="3967"/>
      <c r="R21" s="3970"/>
      <c r="S21" s="3972"/>
      <c r="T21" s="3962">
        <f>R21/100*S21</f>
        <v>0</v>
      </c>
      <c r="U21" s="3963"/>
      <c r="X21" s="1710"/>
      <c r="Y21" s="45"/>
      <c r="Z21" s="45"/>
      <c r="AA21" s="2851"/>
      <c r="AB21" s="3946" t="str">
        <f>IF(PDs!$E48="","",PDs!$E48)</f>
        <v/>
      </c>
      <c r="AC21" s="3946"/>
      <c r="AD21" s="3946"/>
      <c r="AE21" s="3946"/>
      <c r="AF21" s="3946"/>
      <c r="AG21" s="3946"/>
      <c r="AH21" s="3902" t="str">
        <f>IF(PDs!$V48=0,"",PDs!$V48)</f>
        <v/>
      </c>
      <c r="AI21" s="3902"/>
      <c r="AJ21" s="3902"/>
      <c r="AK21" s="3902"/>
      <c r="AL21" s="3902"/>
      <c r="AM21" s="3902"/>
      <c r="AN21" s="3902"/>
      <c r="AO21" s="3902"/>
      <c r="AP21" s="3902"/>
      <c r="AQ21" s="3902"/>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0</v>
      </c>
      <c r="F22" s="2860">
        <f>IF(FUE=0,0,-2+MAX(0,VLOOKUP(FUE,Tabla_Fuerza,2))+IF(Extensióndelauraalarma,5,0)+IF($E$20="Armas Naturales",VLOOKUP(Tamaño,Tabla_CreaciónSeres,9),0))</f>
        <v>0</v>
      </c>
      <c r="G22" s="2860">
        <f>Presencia_final*IF(OR(Extrusióndepresencia,Extrusióndevacío),2,1)</f>
        <v>20</v>
      </c>
      <c r="H22" s="3982"/>
      <c r="I22" s="3983"/>
      <c r="J22" s="3983"/>
      <c r="K22" s="3983"/>
      <c r="L22" s="3984"/>
      <c r="P22" s="3966"/>
      <c r="Q22" s="3967"/>
      <c r="R22" s="3970"/>
      <c r="S22" s="3972"/>
      <c r="T22" s="3964"/>
      <c r="U22" s="3965"/>
      <c r="X22" s="1710"/>
      <c r="Y22" s="45"/>
      <c r="Z22" s="45"/>
      <c r="AA22" s="2851"/>
      <c r="AB22" s="3946" t="str">
        <f>IF(PDs!$E49="","",PDs!$E49)</f>
        <v/>
      </c>
      <c r="AC22" s="3946"/>
      <c r="AD22" s="3946"/>
      <c r="AE22" s="3946"/>
      <c r="AF22" s="3946"/>
      <c r="AG22" s="3946"/>
      <c r="AH22" s="3902" t="str">
        <f>IF(PDs!$V49=0,"",PDs!$V49)</f>
        <v/>
      </c>
      <c r="AI22" s="3902"/>
      <c r="AJ22" s="3902"/>
      <c r="AK22" s="3902"/>
      <c r="AL22" s="3902"/>
      <c r="AM22" s="3902"/>
      <c r="AN22" s="3902"/>
      <c r="AO22" s="3902"/>
      <c r="AP22" s="3902"/>
      <c r="AQ22" s="3902"/>
      <c r="AR22" s="2964"/>
      <c r="AS22" s="2961"/>
      <c r="AT22" s="2962">
        <f>HE_final-PDs!$X$24+MIN(PDs!$X$24+J23,50)</f>
        <v>0</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52" t="s">
        <v>1887</v>
      </c>
      <c r="D23" s="3954">
        <f>Tablas!$K$896</f>
        <v>0</v>
      </c>
      <c r="E23" s="3956" t="s">
        <v>1888</v>
      </c>
      <c r="F23" s="3954">
        <f>MIN(Tablas!$H$896,50)</f>
        <v>0</v>
      </c>
      <c r="G23" s="3956" t="s">
        <v>1889</v>
      </c>
      <c r="H23" s="3957">
        <f>MIN(Tablas!$J$896,50)</f>
        <v>0</v>
      </c>
      <c r="I23" s="3950" t="s">
        <v>1890</v>
      </c>
      <c r="J23" s="3957">
        <f>MIN(Tablas!$I$896,50)</f>
        <v>0</v>
      </c>
      <c r="K23" s="3950" t="s">
        <v>1891</v>
      </c>
      <c r="L23" s="3960">
        <f>IF(Extensióndelauraalarma,10,0)+IF(DañoIncrementado,10,0)+IF($E$19="Artes Marciales",Tablas!F896,0)+Tablas!$K$1717</f>
        <v>0</v>
      </c>
      <c r="P23" s="3966"/>
      <c r="Q23" s="3967"/>
      <c r="R23" s="3970"/>
      <c r="S23" s="3972"/>
      <c r="T23" s="3962">
        <f>R23/100*S23</f>
        <v>0</v>
      </c>
      <c r="U23" s="3963"/>
      <c r="X23" s="1710"/>
      <c r="Y23" s="45"/>
      <c r="Z23" s="45"/>
      <c r="AA23" s="2851"/>
      <c r="AB23" s="3946" t="str">
        <f>IF(PDs!$E50="","",PDs!$E50)</f>
        <v/>
      </c>
      <c r="AC23" s="3946"/>
      <c r="AD23" s="3946"/>
      <c r="AE23" s="3946"/>
      <c r="AF23" s="3946"/>
      <c r="AG23" s="3946"/>
      <c r="AH23" s="3902" t="str">
        <f>IF(PDs!$V50=0,"",PDs!$V50)</f>
        <v/>
      </c>
      <c r="AI23" s="3902"/>
      <c r="AJ23" s="3902"/>
      <c r="AK23" s="3902"/>
      <c r="AL23" s="3902"/>
      <c r="AM23" s="3902"/>
      <c r="AN23" s="3902"/>
      <c r="AO23" s="3902"/>
      <c r="AP23" s="3902"/>
      <c r="AQ23" s="3902"/>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53"/>
      <c r="D24" s="3955"/>
      <c r="E24" s="3951"/>
      <c r="F24" s="3955"/>
      <c r="G24" s="3951"/>
      <c r="H24" s="3955"/>
      <c r="I24" s="3951"/>
      <c r="J24" s="3958"/>
      <c r="K24" s="3959"/>
      <c r="L24" s="3961"/>
      <c r="M24" s="2845"/>
      <c r="P24" s="3968"/>
      <c r="Q24" s="3969"/>
      <c r="R24" s="3971"/>
      <c r="S24" s="3973"/>
      <c r="T24" s="3964"/>
      <c r="U24" s="3965"/>
      <c r="X24" s="1710"/>
      <c r="Y24" s="45"/>
      <c r="Z24" s="45"/>
      <c r="AA24" s="2851"/>
      <c r="AB24" s="3946" t="str">
        <f>IF(PDs!$E51="","",PDs!$E51)</f>
        <v/>
      </c>
      <c r="AC24" s="3946"/>
      <c r="AD24" s="3946"/>
      <c r="AE24" s="3946"/>
      <c r="AF24" s="3946"/>
      <c r="AG24" s="3946"/>
      <c r="AH24" s="3902" t="str">
        <f>IF(PDs!$V51=0,"",PDs!$V51)</f>
        <v/>
      </c>
      <c r="AI24" s="3902"/>
      <c r="AJ24" s="3902"/>
      <c r="AK24" s="3902"/>
      <c r="AL24" s="3902"/>
      <c r="AM24" s="3902"/>
      <c r="AN24" s="3902"/>
      <c r="AO24" s="3902"/>
      <c r="AP24" s="3902"/>
      <c r="AQ24" s="3902"/>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946" t="str">
        <f>IF(PDs!$E52="","",PDs!$E52)</f>
        <v/>
      </c>
      <c r="AC25" s="3946"/>
      <c r="AD25" s="3946"/>
      <c r="AE25" s="3946"/>
      <c r="AF25" s="3946"/>
      <c r="AG25" s="3946"/>
      <c r="AH25" s="3902" t="str">
        <f>IF(PDs!$V52=0,"",PDs!$V52)</f>
        <v/>
      </c>
      <c r="AI25" s="3902"/>
      <c r="AJ25" s="3902"/>
      <c r="AK25" s="3902"/>
      <c r="AL25" s="3902"/>
      <c r="AM25" s="3902"/>
      <c r="AN25" s="3902"/>
      <c r="AO25" s="3902"/>
      <c r="AP25" s="3902"/>
      <c r="AQ25" s="3902"/>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471" t="s">
        <v>1725</v>
      </c>
      <c r="D26" s="3887"/>
      <c r="E26" s="3929"/>
      <c r="F26" s="3930"/>
      <c r="G26" s="3931"/>
      <c r="H26" s="1287" t="s">
        <v>1702</v>
      </c>
      <c r="I26" s="2867" t="s">
        <v>1880</v>
      </c>
      <c r="J26" s="3891" t="s">
        <v>1881</v>
      </c>
      <c r="K26" s="3891"/>
      <c r="L26" s="2844" t="s">
        <v>1882</v>
      </c>
      <c r="N26" s="3471" t="s">
        <v>1725</v>
      </c>
      <c r="O26" s="3472"/>
      <c r="P26" s="3929"/>
      <c r="Q26" s="3930"/>
      <c r="R26" s="3931"/>
      <c r="S26" s="2867" t="s">
        <v>1702</v>
      </c>
      <c r="T26" s="2867" t="s">
        <v>1880</v>
      </c>
      <c r="U26" s="3891" t="s">
        <v>1881</v>
      </c>
      <c r="V26" s="3891"/>
      <c r="W26" s="2844" t="s">
        <v>1882</v>
      </c>
      <c r="X26" s="1710"/>
      <c r="Y26" s="45"/>
      <c r="Z26" s="45"/>
      <c r="AA26" s="2851"/>
      <c r="AB26" s="3946" t="str">
        <f>IF(PDs!$E53="","",PDs!$E53)</f>
        <v/>
      </c>
      <c r="AC26" s="3946"/>
      <c r="AD26" s="3946"/>
      <c r="AE26" s="3946"/>
      <c r="AF26" s="3946"/>
      <c r="AG26" s="3946"/>
      <c r="AH26" s="3902" t="str">
        <f>IF(PDs!$V53=0,"",PDs!$V53)</f>
        <v/>
      </c>
      <c r="AI26" s="3902"/>
      <c r="AJ26" s="3902"/>
      <c r="AK26" s="3902"/>
      <c r="AL26" s="3902"/>
      <c r="AM26" s="3902"/>
      <c r="AN26" s="3902"/>
      <c r="AO26" s="3902"/>
      <c r="AP26" s="3902"/>
      <c r="AQ26" s="3902"/>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905" t="str">
        <f>IF(E26=0,"",VLOOKUP(E26,Tabla_ArmasyEscudos,9,FALSE))</f>
        <v/>
      </c>
      <c r="D27" s="3906"/>
      <c r="E27" s="2863" t="s">
        <v>1892</v>
      </c>
      <c r="F27" s="3907"/>
      <c r="G27" s="3907"/>
      <c r="H27" s="3928">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8">
        <f>IF(E26=0,HA_final,HA_final+VLOOKUP(C27,Tabla_ArmaDistinta,2)+I29+MIN(0,10*(FUE-VLOOKUP(E26,Tabla_ArmasyEscudos,4,FALSE)-IF(F27=0,0,VLOOKUP(F27,Tabla_ArmasEnormes,4,FALSE))))-IF(Tablas!$H$519&lt;0,IF(E26=Arma_Desarrollada,0,30),0))+SUMPRODUCT(--ISNUMBER(SEARCH(E26,ArmasAM)),ArmasAM_HA)+Personalización!AA8</f>
        <v>0</v>
      </c>
      <c r="J27" s="389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6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7">
        <f>IF(E26=0,0,VLOOKUP(E26,Tabla_ArmasyEscudos,2,FALSE)*IF(F27=0,1,VLOOKUP(F27,Tabla_ArmasEnormes,5,FALSE))+Bono_Fue+2*I29+IF(DañoIncrementado,10,0)+IF(Extensióndelauraalarma,10,0)+Tablas!$K$1717)+Personalización!AA10</f>
        <v>0</v>
      </c>
      <c r="N27" s="3905" t="str">
        <f>IF(P26=0,"",VLOOKUP(P26,Tabla_ArmasyEscudos,9,FALSE))</f>
        <v/>
      </c>
      <c r="O27" s="3906"/>
      <c r="P27" s="2863" t="s">
        <v>1892</v>
      </c>
      <c r="Q27" s="3949"/>
      <c r="R27" s="3949"/>
      <c r="S27" s="3928">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8">
        <f>IF(P26=0,HA_final,HA_final+VLOOKUP(N27,Tabla_ArmaDistinta,2)+T29+MIN(0,10*(FUE-VLOOKUP(P26,Tabla_ArmasyEscudos,4,FALSE)-IF(Q27=0,0,VLOOKUP(Q27,Tabla_ArmasEnormes,4,FALSE))))-IF(Tablas!$H$519&lt;0,IF(P26=Arma_Desarrollada,0,30),0))+SUMPRODUCT(--ISNUMBER(SEARCH(P26,ArmasAM)),ArmasAM_HA)+Personalización!AA13</f>
        <v>0</v>
      </c>
      <c r="U27" s="389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6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7">
        <f>IF(P26=0,0,VLOOKUP(P26,Tabla_ArmasyEscudos,2,FALSE)*IF(Q27=0,1,VLOOKUP(Q27,Tabla_ArmasEnormes,5,FALSE))+Bono_Fue+2*T29+IF(DañoIncrementado,10,0)+IF(Extensióndelauraalarma,10,0)+Tablas!$K$1717)+Personalización!AA15</f>
        <v>0</v>
      </c>
      <c r="X27" s="1710"/>
      <c r="Y27" s="45"/>
      <c r="Z27" s="45"/>
      <c r="AA27" s="2851"/>
      <c r="AB27" s="3946" t="str">
        <f>IF(PDs!$E54="","",PDs!$E54)</f>
        <v/>
      </c>
      <c r="AC27" s="3946"/>
      <c r="AD27" s="3946"/>
      <c r="AE27" s="3946"/>
      <c r="AF27" s="3946"/>
      <c r="AG27" s="3946"/>
      <c r="AH27" s="3902" t="str">
        <f>IF(PDs!$V54=0,"",PDs!$V54)</f>
        <v/>
      </c>
      <c r="AI27" s="3902"/>
      <c r="AJ27" s="3902"/>
      <c r="AK27" s="3902"/>
      <c r="AL27" s="3902"/>
      <c r="AM27" s="3902"/>
      <c r="AN27" s="3902"/>
      <c r="AO27" s="3902"/>
      <c r="AP27" s="3902"/>
      <c r="AQ27" s="3902"/>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469"/>
      <c r="I28" s="3908"/>
      <c r="J28" s="3892"/>
      <c r="K28" s="3469"/>
      <c r="L28" s="3877"/>
      <c r="N28" s="2705" t="s">
        <v>1884</v>
      </c>
      <c r="O28" s="2706" t="s">
        <v>1885</v>
      </c>
      <c r="P28" s="2706" t="s">
        <v>1869</v>
      </c>
      <c r="Q28" s="2706" t="s">
        <v>1886</v>
      </c>
      <c r="R28" s="544" t="s">
        <v>1870</v>
      </c>
      <c r="S28" s="3469"/>
      <c r="T28" s="3908"/>
      <c r="U28" s="3892"/>
      <c r="V28" s="3469"/>
      <c r="W28" s="3877"/>
      <c r="X28" s="1710"/>
      <c r="Y28" s="45"/>
      <c r="Z28" s="45"/>
      <c r="AA28" s="2851"/>
      <c r="AB28" s="4031" t="str">
        <f>IF(PDs!$E55="","",PDs!$E55)</f>
        <v/>
      </c>
      <c r="AC28" s="4031"/>
      <c r="AD28" s="4031"/>
      <c r="AE28" s="4031"/>
      <c r="AF28" s="4031"/>
      <c r="AG28" s="4031"/>
      <c r="AH28" s="3896" t="str">
        <f>IF(PDs!$V55=0,"",PDs!$V55)</f>
        <v/>
      </c>
      <c r="AI28" s="3896"/>
      <c r="AJ28" s="3896"/>
      <c r="AK28" s="3896"/>
      <c r="AL28" s="3896"/>
      <c r="AM28" s="3896"/>
      <c r="AN28" s="3896"/>
      <c r="AO28" s="3896"/>
      <c r="AP28" s="3896"/>
      <c r="AQ28" s="3896"/>
      <c r="AR28" s="2964"/>
      <c r="AS28" s="2961"/>
      <c r="BF28" s="43"/>
      <c r="BG28" s="43"/>
      <c r="BH28" s="43"/>
    </row>
    <row r="29" spans="1:60" ht="12" customHeight="1" thickBot="1" x14ac:dyDescent="0.25">
      <c r="A29" s="45"/>
      <c r="B29" s="3011"/>
      <c r="C29" s="2708" t="str">
        <f>IF(L30="Si","ENE",IF(E26=0,"",VLOOKUP(E26,Tabla_ArmasyEscudos,6,FALSE)))</f>
        <v/>
      </c>
      <c r="D29" s="2860" t="str">
        <f>IF(E26=0,"",VLOOKUP(E26,Tabla_ArmasyEscudos,7,FALSE))</f>
        <v/>
      </c>
      <c r="E29" s="2860" t="str">
        <f>IF(E26=0,"",MAX(0,IF(Extensióndelauraalarma,10,0)+I29*2+VLOOKUP(E26,Tabla_ArmasyEscudos,10,FALSE)+IF(F27=0,0,VLOOKUP(F27,Tabla_ArmasEnormes,6,FALSE))))</f>
        <v/>
      </c>
      <c r="F29" s="2860" t="str">
        <f>IF(E26=0,"",MAX(0,IF(Extensióndelauraalarma,5,0)+I29*2/5+VLOOKUP(E26,Tabla_ArmasyEscudos,11,FALSE)+IF(F27=0,0,VLOOKUP(F27,Tabla_ArmasEnormes,7,FALSE))+IF(FUE=0,0,VLOOKUP(FUE,Tabla_Fuerza,2))))</f>
        <v/>
      </c>
      <c r="G29" s="2897">
        <f>IF(E26=0,0,MAX(I29*10,0)+VLOOKUP(E26,Tabla_ArmasyEscudos,12,FALSE))</f>
        <v>0</v>
      </c>
      <c r="H29" s="542" t="s">
        <v>1894</v>
      </c>
      <c r="I29" s="107"/>
      <c r="J29" s="3914" t="str">
        <f>IF(F27=0,IF(I29=0,"","TA defensor:"),IF(Tamaño&lt;VLOOKUP(F27,Tabla_ArmasEnormes,2,FALSE),"Tam. excesivo",IF(I29=0,"","TA defensor:")))</f>
        <v/>
      </c>
      <c r="K29" s="3914"/>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c r="U29" s="3914" t="str">
        <f>IF(Q27=0,IF(T29=0,"","TA defensor:"),IF(Tamaño&lt;VLOOKUP(Q27,Tabla_ArmasEnormes,2,FALSE),"Tam. excesivo",IF(T29=0,"","TA defensor:")))</f>
        <v/>
      </c>
      <c r="V29" s="3914"/>
      <c r="W29" s="2870" t="str">
        <f>IF(U29="TA defensor:",T29/(-5),"")</f>
        <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47" t="str">
        <f>IF(E26=0,"",VLOOKUP(E26,Tabla_ArmasyEscudos,19,FALSE))</f>
        <v/>
      </c>
      <c r="D30" s="3948"/>
      <c r="E30" s="3948"/>
      <c r="F30" s="3948"/>
      <c r="G30" s="3948"/>
      <c r="H30" s="3948"/>
      <c r="I30" s="3948"/>
      <c r="J30" s="3937" t="s">
        <v>10042</v>
      </c>
      <c r="K30" s="3937"/>
      <c r="L30" s="2901" t="s">
        <v>1690</v>
      </c>
      <c r="N30" s="3947" t="str">
        <f>IF(P26=0,"",VLOOKUP(P26,Tabla_ArmasyEscudos,19,FALSE))</f>
        <v/>
      </c>
      <c r="O30" s="3948"/>
      <c r="P30" s="3948"/>
      <c r="Q30" s="3948"/>
      <c r="R30" s="3948"/>
      <c r="S30" s="3948"/>
      <c r="T30" s="3948"/>
      <c r="U30" s="3937" t="s">
        <v>10042</v>
      </c>
      <c r="V30" s="3937"/>
      <c r="W30" s="2901" t="s">
        <v>1690</v>
      </c>
      <c r="X30" s="1710"/>
      <c r="Y30" s="45"/>
      <c r="Z30" s="45"/>
      <c r="AA30" s="2851"/>
      <c r="AB30" s="3172" t="s">
        <v>1815</v>
      </c>
      <c r="AC30" s="3172"/>
      <c r="AD30" s="3172"/>
      <c r="AE30" s="3172"/>
      <c r="AF30" s="3172"/>
      <c r="AG30" s="3172"/>
      <c r="AH30" s="3190" t="s">
        <v>1861</v>
      </c>
      <c r="AI30" s="3190"/>
      <c r="AJ30" s="3190"/>
      <c r="AK30" s="3190"/>
      <c r="AL30" s="3190"/>
      <c r="AM30" s="3190"/>
      <c r="AN30" s="3190"/>
      <c r="AO30" s="3190"/>
      <c r="AP30" s="3190"/>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38" t="s">
        <v>1895</v>
      </c>
      <c r="D31" s="3939"/>
      <c r="E31" s="3940"/>
      <c r="F31" s="3941"/>
      <c r="G31" s="3942"/>
      <c r="H31" s="2899" t="s">
        <v>1702</v>
      </c>
      <c r="I31" s="2899" t="s">
        <v>1880</v>
      </c>
      <c r="J31" s="3943" t="s">
        <v>1881</v>
      </c>
      <c r="K31" s="3943"/>
      <c r="L31" s="2904" t="s">
        <v>1882</v>
      </c>
      <c r="N31" s="3932" t="s">
        <v>1895</v>
      </c>
      <c r="O31" s="3172"/>
      <c r="P31" s="3933"/>
      <c r="Q31" s="3934"/>
      <c r="R31" s="3935"/>
      <c r="S31" s="2868" t="s">
        <v>1702</v>
      </c>
      <c r="T31" s="2868" t="s">
        <v>1880</v>
      </c>
      <c r="U31" s="3936" t="s">
        <v>1881</v>
      </c>
      <c r="V31" s="3936"/>
      <c r="W31" s="2902" t="s">
        <v>1882</v>
      </c>
      <c r="X31" s="1710"/>
      <c r="Y31" s="45"/>
      <c r="Z31" s="45"/>
      <c r="AA31" s="2851"/>
      <c r="AB31" s="3872" t="str">
        <f>IF(PDs!$AD56=0,"",PDs!$AD56)</f>
        <v/>
      </c>
      <c r="AC31" s="3872"/>
      <c r="AD31" s="3872"/>
      <c r="AE31" s="3872"/>
      <c r="AF31" s="3872"/>
      <c r="AG31" s="3872"/>
      <c r="AH31" s="4032" t="str">
        <f>IF(PDs!$V56=0,"",PDs!$V56)</f>
        <v/>
      </c>
      <c r="AI31" s="4032"/>
      <c r="AJ31" s="4032"/>
      <c r="AK31" s="4032"/>
      <c r="AL31" s="4032"/>
      <c r="AM31" s="4032"/>
      <c r="AN31" s="4032"/>
      <c r="AO31" s="4032"/>
      <c r="AP31" s="4032"/>
      <c r="AQ31" s="204">
        <f>IF(AB31="",0,VLOOKUP(AB31,Tablas!$D$806:$G$895,4,FALSE))</f>
        <v>0</v>
      </c>
      <c r="AR31" s="2964"/>
      <c r="AS31" s="2961"/>
      <c r="AV31" s="1707" t="s">
        <v>10048</v>
      </c>
      <c r="BF31" s="43"/>
      <c r="BG31" s="43"/>
      <c r="BH31" s="43"/>
    </row>
    <row r="32" spans="1:60" ht="12" customHeight="1" x14ac:dyDescent="0.2">
      <c r="A32" s="45"/>
      <c r="B32" s="3011"/>
      <c r="C32" s="3922" t="str">
        <f>IF(E31=0,"",VLOOKUP(E31,Tabla_ArmasyEscudos,9,FALSE))</f>
        <v/>
      </c>
      <c r="D32" s="3923"/>
      <c r="E32" s="1394" t="s">
        <v>1892</v>
      </c>
      <c r="F32" s="3924"/>
      <c r="G32" s="3924"/>
      <c r="H32" s="3908" t="s">
        <v>1896</v>
      </c>
      <c r="I32" s="3908">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9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6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7">
        <f>IF(E31=0,0,VLOOKUP(E31,Tabla_ArmasyEscudos,2,FALSE)*IF(F32=0,1,VLOOKUP(F32,Tabla_ArmasEnormes,5,FALSE))+Bono_Fue+2*I34+IF(DañoIncrementado,10,0)+IF(Extensióndelauraalarma,10,0)+Tablas!$K$1717)+Personalización!AC10</f>
        <v>0</v>
      </c>
      <c r="N32" s="3922" t="str">
        <f>IF(P31=0,"",VLOOKUP(P31,Tabla_ArmasyEscudos,9,FALSE))</f>
        <v/>
      </c>
      <c r="O32" s="3923"/>
      <c r="P32" s="1394" t="s">
        <v>1892</v>
      </c>
      <c r="Q32" s="3944"/>
      <c r="R32" s="3945"/>
      <c r="S32" s="3469" t="s">
        <v>1896</v>
      </c>
      <c r="T32" s="3908">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9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6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7">
        <f>IF(P31=0,0,VLOOKUP(P31,Tabla_ArmasyEscudos,2,FALSE)*IF(Q32=0,1,VLOOKUP(Q32,Tabla_ArmasEnormes,5,FALSE))+Bono_Fue+2*T34+IF(DañoIncrementado,10,0)+IF(Extensióndelauraalarma,10,0)+Tablas!$K$1717)+Personalización!AC15</f>
        <v>0</v>
      </c>
      <c r="X32" s="1710"/>
      <c r="Y32" s="45"/>
      <c r="Z32" s="45"/>
      <c r="AA32" s="2851"/>
      <c r="AB32" s="3872" t="str">
        <f>IF(PDs!$AD57=0,"",PDs!$AD57)</f>
        <v/>
      </c>
      <c r="AC32" s="3872"/>
      <c r="AD32" s="3872"/>
      <c r="AE32" s="3872"/>
      <c r="AF32" s="3872"/>
      <c r="AG32" s="3872"/>
      <c r="AH32" s="3389" t="str">
        <f>IF(PDs!$V57=0,"",PDs!$V57)</f>
        <v/>
      </c>
      <c r="AI32" s="3389"/>
      <c r="AJ32" s="3389"/>
      <c r="AK32" s="3389"/>
      <c r="AL32" s="3389"/>
      <c r="AM32" s="3389"/>
      <c r="AN32" s="3389"/>
      <c r="AO32" s="3389"/>
      <c r="AP32" s="3389"/>
      <c r="AQ32" s="205">
        <f>IF(AB32="",0,VLOOKUP(AB32,Tablas!$D$806:$G$895,4,FALSE))</f>
        <v>0</v>
      </c>
      <c r="AR32" s="2964"/>
      <c r="AS32" s="2961"/>
      <c r="AV32" s="1707" t="s">
        <v>10053</v>
      </c>
      <c r="AW32" s="1707" t="str">
        <f>IF(Combate!$E$26=0,"",Combate!$E$26&amp;IF(Combate!$I$29=0,""," +"&amp;Combate!$I$29))</f>
        <v/>
      </c>
      <c r="BF32" s="43"/>
      <c r="BG32" s="43"/>
      <c r="BH32" s="43"/>
    </row>
    <row r="33" spans="1:67" ht="12" customHeight="1" x14ac:dyDescent="0.2">
      <c r="A33" s="45"/>
      <c r="B33" s="3011"/>
      <c r="C33" s="2707" t="s">
        <v>1884</v>
      </c>
      <c r="D33" s="2864" t="s">
        <v>1885</v>
      </c>
      <c r="E33" s="2864" t="s">
        <v>1869</v>
      </c>
      <c r="F33" s="2905" t="s">
        <v>1886</v>
      </c>
      <c r="G33" s="2864" t="s">
        <v>1870</v>
      </c>
      <c r="H33" s="3908"/>
      <c r="I33" s="3908"/>
      <c r="J33" s="3892"/>
      <c r="K33" s="3469"/>
      <c r="L33" s="3877"/>
      <c r="N33" s="2707" t="s">
        <v>1884</v>
      </c>
      <c r="O33" s="2864" t="s">
        <v>1885</v>
      </c>
      <c r="P33" s="2864" t="s">
        <v>1869</v>
      </c>
      <c r="Q33" s="2864" t="s">
        <v>1886</v>
      </c>
      <c r="R33" s="2864" t="s">
        <v>1870</v>
      </c>
      <c r="S33" s="3908"/>
      <c r="T33" s="3908"/>
      <c r="U33" s="3892"/>
      <c r="V33" s="3469"/>
      <c r="W33" s="3877"/>
      <c r="X33" s="1710"/>
      <c r="Y33" s="45"/>
      <c r="Z33" s="45"/>
      <c r="AA33" s="2851"/>
      <c r="AB33" s="3872" t="str">
        <f>IF(PDs!$AD58=0,"",PDs!$AD58)</f>
        <v/>
      </c>
      <c r="AC33" s="3872"/>
      <c r="AD33" s="3872"/>
      <c r="AE33" s="3872"/>
      <c r="AF33" s="3872"/>
      <c r="AG33" s="3872"/>
      <c r="AH33" s="3389" t="str">
        <f>IF(PDs!$V58=0,"",PDs!$V58)</f>
        <v/>
      </c>
      <c r="AI33" s="3389"/>
      <c r="AJ33" s="3389"/>
      <c r="AK33" s="3389"/>
      <c r="AL33" s="3389"/>
      <c r="AM33" s="3389"/>
      <c r="AN33" s="3389"/>
      <c r="AO33" s="3389"/>
      <c r="AP33" s="3389"/>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914" t="str">
        <f>IF(F32=0,IF(I34=0,"","TA defensor:"),IF(Tamaño&lt;VLOOKUP(F32,Tabla_ArmasEnormes,2,FALSE),"Tam. excesivo",IF(I34=0,"","TA defensor:")))</f>
        <v/>
      </c>
      <c r="K34" s="3914"/>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914" t="str">
        <f>IF(Q32=0,IF(T34=0,"","TA defensor:"),IF(Tamaño&lt;VLOOKUP(Q32,Tabla_ArmasEnormes,2,FALSE),"Tam. excesivo",IF(T34=0,"","TA defensor:")))</f>
        <v/>
      </c>
      <c r="V34" s="3914"/>
      <c r="W34" s="2870" t="str">
        <f>IF(U34="TA defensor:",T34/(-5),"")</f>
        <v/>
      </c>
      <c r="X34" s="1710"/>
      <c r="Y34" s="45"/>
      <c r="Z34" s="45"/>
      <c r="AA34" s="2851"/>
      <c r="AB34" s="3872" t="str">
        <f>IF(PDs!$AD59=0,"",PDs!$AD59)</f>
        <v/>
      </c>
      <c r="AC34" s="3872"/>
      <c r="AD34" s="3872"/>
      <c r="AE34" s="3872"/>
      <c r="AF34" s="3872"/>
      <c r="AG34" s="3872"/>
      <c r="AH34" s="3389" t="str">
        <f>IF(PDs!$V59=0,"",PDs!$V59)</f>
        <v/>
      </c>
      <c r="AI34" s="3389"/>
      <c r="AJ34" s="3389"/>
      <c r="AK34" s="3389"/>
      <c r="AL34" s="3389"/>
      <c r="AM34" s="3389"/>
      <c r="AN34" s="3389"/>
      <c r="AO34" s="3389"/>
      <c r="AP34" s="3389"/>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918" t="str">
        <f>IF(E31=0,"",VLOOKUP(E31,Tabla_ArmasyEscudos,19,FALSE))</f>
        <v/>
      </c>
      <c r="D35" s="3919"/>
      <c r="E35" s="3919"/>
      <c r="F35" s="3919"/>
      <c r="G35" s="3919"/>
      <c r="H35" s="3919"/>
      <c r="I35" s="3919"/>
      <c r="J35" s="3920" t="s">
        <v>10042</v>
      </c>
      <c r="K35" s="3920"/>
      <c r="L35" s="2903" t="s">
        <v>1690</v>
      </c>
      <c r="N35" s="3918" t="str">
        <f>IF(P31=0,"",VLOOKUP(P31,Tabla_ArmasyEscudos,19,FALSE))</f>
        <v/>
      </c>
      <c r="O35" s="3919"/>
      <c r="P35" s="3919"/>
      <c r="Q35" s="3919"/>
      <c r="R35" s="3919"/>
      <c r="S35" s="3919"/>
      <c r="T35" s="3919"/>
      <c r="U35" s="3920" t="s">
        <v>10042</v>
      </c>
      <c r="V35" s="3920"/>
      <c r="W35" s="2903" t="s">
        <v>1690</v>
      </c>
      <c r="X35" s="1710"/>
      <c r="Y35" s="45"/>
      <c r="Z35" s="45"/>
      <c r="AA35" s="2851"/>
      <c r="AB35" s="3872" t="str">
        <f>IF(PDs!$AD60=0,"",PDs!$AD60)</f>
        <v/>
      </c>
      <c r="AC35" s="3872"/>
      <c r="AD35" s="3872"/>
      <c r="AE35" s="3872"/>
      <c r="AF35" s="3872"/>
      <c r="AG35" s="3872"/>
      <c r="AH35" s="3389" t="str">
        <f>IF(PDs!$V60=0,"",PDs!$V60)</f>
        <v/>
      </c>
      <c r="AI35" s="3389"/>
      <c r="AJ35" s="3389"/>
      <c r="AK35" s="3389"/>
      <c r="AL35" s="3389"/>
      <c r="AM35" s="3389"/>
      <c r="AN35" s="3389"/>
      <c r="AO35" s="3389"/>
      <c r="AP35" s="3389"/>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72" t="str">
        <f>IF(PDs!$AD61=0,"",PDs!$AD61)</f>
        <v/>
      </c>
      <c r="AC36" s="3872"/>
      <c r="AD36" s="3872"/>
      <c r="AE36" s="3872"/>
      <c r="AF36" s="3872"/>
      <c r="AG36" s="3872"/>
      <c r="AH36" s="3389" t="str">
        <f>IF(PDs!$V61=0,"",PDs!$V61)</f>
        <v/>
      </c>
      <c r="AI36" s="3389"/>
      <c r="AJ36" s="3389"/>
      <c r="AK36" s="3389"/>
      <c r="AL36" s="3389"/>
      <c r="AM36" s="3389"/>
      <c r="AN36" s="3389"/>
      <c r="AO36" s="3389"/>
      <c r="AP36" s="3389"/>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471" t="s">
        <v>1897</v>
      </c>
      <c r="D37" s="3472"/>
      <c r="E37" s="3929"/>
      <c r="F37" s="3930"/>
      <c r="G37" s="3931"/>
      <c r="H37" s="2867" t="s">
        <v>1702</v>
      </c>
      <c r="I37" s="2867" t="s">
        <v>1880</v>
      </c>
      <c r="J37" s="3891" t="s">
        <v>1881</v>
      </c>
      <c r="K37" s="3891"/>
      <c r="L37" s="2907" t="s">
        <v>1882</v>
      </c>
      <c r="N37" s="3471" t="s">
        <v>1897</v>
      </c>
      <c r="O37" s="3472"/>
      <c r="P37" s="3929"/>
      <c r="Q37" s="3930"/>
      <c r="R37" s="3931"/>
      <c r="S37" s="2867" t="s">
        <v>1702</v>
      </c>
      <c r="T37" s="2867" t="s">
        <v>1880</v>
      </c>
      <c r="U37" s="3891" t="s">
        <v>1881</v>
      </c>
      <c r="V37" s="3891"/>
      <c r="W37" s="2907" t="s">
        <v>1882</v>
      </c>
      <c r="X37" s="1710"/>
      <c r="Y37" s="45"/>
      <c r="Z37" s="45"/>
      <c r="AA37" s="2851"/>
      <c r="AB37" s="3921" t="str">
        <f>IF(PDs!$AD62=0,"",PDs!$AD62)</f>
        <v/>
      </c>
      <c r="AC37" s="3921"/>
      <c r="AD37" s="3921"/>
      <c r="AE37" s="3921"/>
      <c r="AF37" s="3921"/>
      <c r="AG37" s="3921"/>
      <c r="AH37" s="3389" t="str">
        <f>IF(PDs!$V62=0,"",PDs!$V62)</f>
        <v/>
      </c>
      <c r="AI37" s="3389"/>
      <c r="AJ37" s="3389"/>
      <c r="AK37" s="3389"/>
      <c r="AL37" s="3389"/>
      <c r="AM37" s="3389"/>
      <c r="AN37" s="3389"/>
      <c r="AO37" s="3389"/>
      <c r="AP37" s="3389"/>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922" t="str">
        <f>IF(E37=0,"",VLOOKUP(E37,Tabla_ArmasyEscudos,9,FALSE))</f>
        <v/>
      </c>
      <c r="D38" s="3923"/>
      <c r="E38" s="1394" t="s">
        <v>1892</v>
      </c>
      <c r="F38" s="3924" t="s">
        <v>2305</v>
      </c>
      <c r="G38" s="3925"/>
      <c r="H38" s="3926">
        <f>IF(E37=0,0,Turno_Nat_final-20+I40+VLOOKUP(E37,Tabla_ArmasyEscudos,3,FALSE)+IF(F38=0,0,IF(Tamaño&lt;VLOOKUP(F38,Tabla_ArmasEnormes,3,FALSE),-40,0)))+Personalización!AE7</f>
        <v>0</v>
      </c>
      <c r="I38" s="3908">
        <f>HA_final+IF(E37=0,0,VLOOKUP(C38,Tabla_ArmaDistinta,2)+I40+MIN(0,10*(FUE-VLOOKUP(E37,Tabla_ArmasyEscudos,5,FALSE)-IF(F38=0,0,VLOOKUP(F38,Tabla_ArmasEnormes,4,FALSE))))+IF(Tablas!$H$519&gt;0,IF(E37=Arma_Desarrollada,0,-30),0))+SUMPRODUCT(--ISNUMBER(SEARCH(E37,Tablas!I903:I933)),ArmasAM_HA)+Personalización!AE8</f>
        <v>0</v>
      </c>
      <c r="J38" s="389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69"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7">
        <f>IF(E37=0,0,VLOOKUP(E37,Tabla_ArmasyEscudos,2,FALSE)*IF(F38=0,1,VLOOKUP(F38,Tabla_ArmasEnormes,5,FALSE))+2*Bono_Fue+2*I40+IF(DañoIncrementado,10,0)+IF(Extensióndelauraalarma,10,0)+Tablas!$K$1717)+Personalización!AE10</f>
        <v>0</v>
      </c>
      <c r="M38" s="3115"/>
      <c r="N38" s="3922" t="str">
        <f>IF(P37=0,"",VLOOKUP(P37,Tabla_ArmasyEscudos,9,FALSE))</f>
        <v/>
      </c>
      <c r="O38" s="3923"/>
      <c r="P38" s="1394" t="s">
        <v>1892</v>
      </c>
      <c r="Q38" s="3924"/>
      <c r="R38" s="3925"/>
      <c r="S38" s="3926">
        <f>IF(P37=0,0,Turno_Nat_final-20+T40+VLOOKUP(P37,Tabla_ArmasyEscudos,3,FALSE)+IF(Q38=0,0,IF(Tamaño&lt;VLOOKUP(Q38,Tabla_ArmasEnormes,3,FALSE),-40,0)))+Personalización!AE12</f>
        <v>0</v>
      </c>
      <c r="T38" s="3908">
        <f>IF(P37=0,HA_final,HA_final+VLOOKUP(N38,Tabla_ArmaDistinta,2)+T40+MIN(0,10*(FUE-VLOOKUP(P37,Tabla_ArmasyEscudos,5,FALSE)-IF(Q38=0,0,VLOOKUP(Q38,Tablas!AC614:AI616,4,FALSE))))-IF(Tablas!$H$519&lt;0,IF(P37=Arma_Desarrollada,0,30),0))+SUMPRODUCT(--ISNUMBER(SEARCH(P37,ArmasAM)),ArmasAM_HA)+Personalización!AE13</f>
        <v>0</v>
      </c>
      <c r="U38" s="389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69"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7">
        <f>IF(P37=0,0,VLOOKUP(P37,Tabla_ArmasyEscudos,2,FALSE)*IF(Q38=0,1,VLOOKUP(Q38,Tabla_ArmasEnormes,5,FALSE))+2*Bono_Fue+2*T40+IF(DañoIncrementado,10,0)+IF(Extensióndelauraalarma,10,0)+Tablas!$K$1717)+Personalización!AE15</f>
        <v>0</v>
      </c>
      <c r="X38" s="1710"/>
      <c r="Y38" s="45"/>
      <c r="Z38" s="45"/>
      <c r="AA38" s="2851"/>
      <c r="AB38" s="3921" t="str">
        <f>IF(PDs!$AD63=0,"",PDs!$AD63)</f>
        <v/>
      </c>
      <c r="AC38" s="3921"/>
      <c r="AD38" s="3921"/>
      <c r="AE38" s="3921"/>
      <c r="AF38" s="3921"/>
      <c r="AG38" s="3921"/>
      <c r="AH38" s="3272" t="str">
        <f>IF(PDs!$V63=0,"",PDs!$V63)</f>
        <v/>
      </c>
      <c r="AI38" s="3272"/>
      <c r="AJ38" s="3272"/>
      <c r="AK38" s="3272"/>
      <c r="AL38" s="3272"/>
      <c r="AM38" s="3272"/>
      <c r="AN38" s="3272"/>
      <c r="AO38" s="3272"/>
      <c r="AP38" s="3272"/>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26"/>
      <c r="I39" s="3908"/>
      <c r="J39" s="3892"/>
      <c r="K39" s="3469"/>
      <c r="L39" s="3877"/>
      <c r="N39" s="2707" t="s">
        <v>1884</v>
      </c>
      <c r="O39" s="2864" t="s">
        <v>1885</v>
      </c>
      <c r="P39" s="2864" t="s">
        <v>1869</v>
      </c>
      <c r="Q39" s="2864" t="s">
        <v>1886</v>
      </c>
      <c r="R39" s="2864" t="s">
        <v>1870</v>
      </c>
      <c r="S39" s="3926"/>
      <c r="T39" s="3908"/>
      <c r="U39" s="3892"/>
      <c r="V39" s="3469"/>
      <c r="W39" s="3877"/>
      <c r="X39" s="1710"/>
      <c r="Y39" s="45"/>
      <c r="Z39" s="45"/>
      <c r="AA39" s="2851"/>
      <c r="AB39" s="3921" t="str">
        <f>IF(PDs!$AD64=0,"",PDs!$AD64)</f>
        <v/>
      </c>
      <c r="AC39" s="3921"/>
      <c r="AD39" s="3921"/>
      <c r="AE39" s="3921"/>
      <c r="AF39" s="3921"/>
      <c r="AG39" s="3921"/>
      <c r="AH39" s="3389" t="str">
        <f>IF(PDs!$V64=0,"",PDs!$V64)</f>
        <v/>
      </c>
      <c r="AI39" s="3389"/>
      <c r="AJ39" s="3389"/>
      <c r="AK39" s="3389"/>
      <c r="AL39" s="3389"/>
      <c r="AM39" s="3389"/>
      <c r="AN39" s="3389"/>
      <c r="AO39" s="3389"/>
      <c r="AP39" s="3389"/>
      <c r="AQ39" s="205">
        <f>IF(AB39="",0,VLOOKUP(AB39,Tablas!$D$806:$G$895,4,FALSE))</f>
        <v>0</v>
      </c>
      <c r="AR39" s="2964"/>
      <c r="AS39" s="2961"/>
      <c r="AV39" s="1707" t="s">
        <v>10056</v>
      </c>
      <c r="AW39" s="1707" t="str">
        <f>IF(Combate!$P$37=0,"",Combate!$P$37&amp;IF(Combate!$T$40=0,""," +"&amp;Combate!$T$40))</f>
        <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914" t="str">
        <f>IF(F38=0,IF(I40=0,"","TA defensor:"),IF(Tamaño&lt;VLOOKUP(F38,Tabla_ArmasEnormes,2,FALSE),"Tam. excesivo",IF(I40=0,"","TA defensor:")))</f>
        <v>Tam. excesivo</v>
      </c>
      <c r="K40" s="3914"/>
      <c r="L40" s="2870" t="str">
        <f>IF(J40="TA defensor:",I40/(-5),"")</f>
        <v/>
      </c>
      <c r="N40" s="2708" t="str">
        <f>IF(W41="Si","ENE",IF(P37=0,"",VLOOKUP(P37,Tabla_ArmasyEscudos,6,FALSE)))</f>
        <v/>
      </c>
      <c r="O40" s="2860" t="str">
        <f>IF(P37=0,"",VLOOKUP(P37,Tabla_ArmasyEscudos,7,FALSE))</f>
        <v/>
      </c>
      <c r="P40" s="2860" t="str">
        <f>IF(P37=0,"",MAX(0,IF(Extensióndelauraalarma,10,0)+T40*2+VLOOKUP(P37,Tabla_ArmasyEscudos,10,FALSE)+IF(Q38=0,0,VLOOKUP(Q38,Tabla_ArmasEnormes,6,FALSE))))</f>
        <v/>
      </c>
      <c r="Q40" s="2860" t="str">
        <f>IF(P37=0,"",MAX(0,IF(Extensióndelauraalarma,5,0)+T40*2/5+VLOOKUP(P37,Tabla_ArmasyEscudos,11,FALSE)+IF(Q38=0,0,VLOOKUP(Q38,Tabla_ArmasEnormes,7,FALSE))+IF(FUE=0,0,VLOOKUP(FUE,Tabla_Fuerza,2))))</f>
        <v/>
      </c>
      <c r="R40" s="2860">
        <f>IF(P37=0,0,MAX(T40*10,0)+VLOOKUP(P37,Tabla_ArmasyEscudos,12,FALSE))</f>
        <v>0</v>
      </c>
      <c r="S40" s="206" t="s">
        <v>1894</v>
      </c>
      <c r="T40" s="107"/>
      <c r="U40" s="3914" t="str">
        <f>IF(Q38=0,IF(T40=0,"","TA defensor:"),IF(Tamaño&lt;VLOOKUP(Q38,Tabla_ArmasEnormes,2,FALSE),"Tam. excesivo",IF(T40=0,"","TA defensor:")))</f>
        <v/>
      </c>
      <c r="V40" s="3914"/>
      <c r="W40" s="2870" t="str">
        <f>IF(U40="TA defensor:",T40/(-5),"")</f>
        <v/>
      </c>
      <c r="X40" s="1710"/>
      <c r="Y40" s="45"/>
      <c r="Z40" s="45"/>
      <c r="AA40" s="2851"/>
      <c r="AB40" s="3921" t="str">
        <f>IF(PDs!$AD65=0,"",PDs!$AD65)</f>
        <v/>
      </c>
      <c r="AC40" s="3921"/>
      <c r="AD40" s="3921"/>
      <c r="AE40" s="3921"/>
      <c r="AF40" s="3921"/>
      <c r="AG40" s="3921"/>
      <c r="AH40" s="3927" t="str">
        <f>IF(PDs!$V65=0,"",PDs!$V65)</f>
        <v/>
      </c>
      <c r="AI40" s="3927"/>
      <c r="AJ40" s="3927"/>
      <c r="AK40" s="3927"/>
      <c r="AL40" s="3927"/>
      <c r="AM40" s="3927"/>
      <c r="AN40" s="3927"/>
      <c r="AO40" s="3927"/>
      <c r="AP40" s="3927"/>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918" t="str">
        <f>IF(E37=0,"",VLOOKUP(E37,Tabla_ArmasyEscudos,19,FALSE))</f>
        <v/>
      </c>
      <c r="D41" s="3919"/>
      <c r="E41" s="3919"/>
      <c r="F41" s="3919"/>
      <c r="G41" s="3919"/>
      <c r="H41" s="3919"/>
      <c r="I41" s="3919"/>
      <c r="J41" s="3920" t="s">
        <v>10042</v>
      </c>
      <c r="K41" s="3920"/>
      <c r="L41" s="2903" t="s">
        <v>1690</v>
      </c>
      <c r="N41" s="3918" t="str">
        <f>IF(P37=0,"",VLOOKUP(P37,Tabla_ArmasyEscudos,19,FALSE))</f>
        <v/>
      </c>
      <c r="O41" s="3919"/>
      <c r="P41" s="3919"/>
      <c r="Q41" s="3919"/>
      <c r="R41" s="3919"/>
      <c r="S41" s="3919"/>
      <c r="T41" s="3919"/>
      <c r="U41" s="3920" t="s">
        <v>10042</v>
      </c>
      <c r="V41" s="3920"/>
      <c r="W41" s="2903" t="s">
        <v>1690</v>
      </c>
      <c r="X41" s="1710"/>
      <c r="Y41" s="45"/>
      <c r="Z41" s="45"/>
      <c r="AA41" s="2851"/>
      <c r="AB41" s="3921" t="str">
        <f>IF(PDs!$AD66=0,"",PDs!$AD66)</f>
        <v/>
      </c>
      <c r="AC41" s="3921"/>
      <c r="AD41" s="3921"/>
      <c r="AE41" s="3921"/>
      <c r="AF41" s="3921"/>
      <c r="AG41" s="3921"/>
      <c r="AH41" s="3927" t="str">
        <f>IF(PDs!$V66=0,"",PDs!$V66)</f>
        <v/>
      </c>
      <c r="AI41" s="3927"/>
      <c r="AJ41" s="3927"/>
      <c r="AK41" s="3927"/>
      <c r="AL41" s="3927"/>
      <c r="AM41" s="3927"/>
      <c r="AN41" s="3927"/>
      <c r="AO41" s="3927"/>
      <c r="AP41" s="3927"/>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921" t="str">
        <f>IF(PDs!$AD67=0,"",PDs!$AD67)</f>
        <v/>
      </c>
      <c r="AC42" s="3921"/>
      <c r="AD42" s="3921"/>
      <c r="AE42" s="3921"/>
      <c r="AF42" s="3921"/>
      <c r="AG42" s="3921"/>
      <c r="AH42" s="3927" t="str">
        <f>IF(PDs!$V67=0,"",PDs!$V67)</f>
        <v/>
      </c>
      <c r="AI42" s="3927"/>
      <c r="AJ42" s="3927"/>
      <c r="AK42" s="3927"/>
      <c r="AL42" s="3927"/>
      <c r="AM42" s="3927"/>
      <c r="AN42" s="3927"/>
      <c r="AO42" s="3927"/>
      <c r="AP42" s="3927"/>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471" t="s">
        <v>1898</v>
      </c>
      <c r="D43" s="3887"/>
      <c r="E43" s="3888"/>
      <c r="F43" s="3889"/>
      <c r="G43" s="3890"/>
      <c r="H43" s="1287" t="s">
        <v>1702</v>
      </c>
      <c r="I43" s="2867" t="s">
        <v>1880</v>
      </c>
      <c r="J43" s="3891" t="s">
        <v>1881</v>
      </c>
      <c r="K43" s="3891"/>
      <c r="L43" s="2844" t="s">
        <v>1882</v>
      </c>
      <c r="N43" s="3471" t="s">
        <v>1898</v>
      </c>
      <c r="O43" s="3887"/>
      <c r="P43" s="3888"/>
      <c r="Q43" s="3889"/>
      <c r="R43" s="3890"/>
      <c r="S43" s="1287" t="s">
        <v>1702</v>
      </c>
      <c r="T43" s="2867" t="s">
        <v>1880</v>
      </c>
      <c r="U43" s="3891" t="s">
        <v>1881</v>
      </c>
      <c r="V43" s="3891"/>
      <c r="W43" s="2844" t="s">
        <v>1882</v>
      </c>
      <c r="X43" s="1710"/>
      <c r="Y43" s="45"/>
      <c r="Z43" s="45"/>
      <c r="AA43" s="2851"/>
      <c r="AB43" s="3921" t="str">
        <f>IF(PDs!$AD68=0,"",PDs!$AD68)</f>
        <v/>
      </c>
      <c r="AC43" s="3921"/>
      <c r="AD43" s="3921"/>
      <c r="AE43" s="3921"/>
      <c r="AF43" s="3921"/>
      <c r="AG43" s="3921"/>
      <c r="AH43" s="3927" t="str">
        <f>IF(PDs!$V68=0,"",PDs!$V68)</f>
        <v/>
      </c>
      <c r="AI43" s="3927"/>
      <c r="AJ43" s="3927"/>
      <c r="AK43" s="3927"/>
      <c r="AL43" s="3927"/>
      <c r="AM43" s="3927"/>
      <c r="AN43" s="3927"/>
      <c r="AO43" s="3927"/>
      <c r="AP43" s="3927"/>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62"/>
      <c r="BF43" s="44"/>
      <c r="BG43" s="44"/>
      <c r="BH43" s="2828"/>
      <c r="BI43" s="2828"/>
      <c r="BJ43" s="2828"/>
      <c r="BK43" s="2828"/>
      <c r="BL43" s="2828"/>
      <c r="BM43" s="2828"/>
      <c r="BN43" s="2828"/>
      <c r="BO43" s="2828"/>
    </row>
    <row r="44" spans="1:67" ht="12" customHeight="1" x14ac:dyDescent="0.2">
      <c r="A44" s="45"/>
      <c r="B44" s="3011"/>
      <c r="C44" s="3905" t="str">
        <f>IF(E43=0,"",VLOOKUP(E43,Tabla_ArmasyEscudos,9,FALSE))</f>
        <v/>
      </c>
      <c r="D44" s="3906"/>
      <c r="E44" s="1394" t="s">
        <v>1892</v>
      </c>
      <c r="F44" s="3907"/>
      <c r="G44" s="3907"/>
      <c r="H44" s="3903">
        <f>IF(E43=0,0,Turno_Nat_final-20+IF(E43=E51,-10,0)+MIN(I46+VLOOKUP(E43,Tabla_ArmasyEscudos,3,FALSE)+IF(F44=0,0,IF(Tamaño&lt;VLOOKUP(F44,Tabla_ArmasEnormes,3,FALSE),-40,0)),IF(E51="",99999,I54+VLOOKUP(E51,Tabla_ArmasyEscudos,3,FALSE)+IF(F52=0,0,IF(Tamaño&lt;VLOOKUP(F52,Tabla_ArmasEnormes,3,FALSE),-40,0)))))+Personalización!AG7</f>
        <v>0</v>
      </c>
      <c r="I44" s="3909">
        <f>IF(E43=0,HA_final,HA_final+VLOOKUP(C44,Tabla_ArmaDistinta,2)+I46+MIN(0,10*(FUE-VLOOKUP(E43,Tabla_ArmasyEscudos,4,FALSE)-IF(F44=0,0,VLOOKUP(F44,Tabla_ArmasEnormes,4,FALSE))))-IF(Tablas!$H$519&lt;0,IF(E43=Arma_Desarrollada,0,30),0))+SUMPRODUCT(--ISNUMBER(SEARCH(E43,ArmasAM)),ArmasAM_HA)+Personalización!AG8</f>
        <v>0</v>
      </c>
      <c r="J44" s="3911">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0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16">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05" t="str">
        <f>IF(P43=0,"",VLOOKUP(P43,Tabla_ArmasyEscudos,9,FALSE))</f>
        <v/>
      </c>
      <c r="O44" s="3906"/>
      <c r="P44" s="1394" t="s">
        <v>1892</v>
      </c>
      <c r="Q44" s="3907"/>
      <c r="R44" s="3907"/>
      <c r="S44" s="3903">
        <f>IF(P43=0,0,Turno_Nat_final-20+IF(P43=P51,-10,0)+MIN(T46+VLOOKUP(P43,Tabla_ArmasyEscudos,3,FALSE)+IF(Q44=0,0,IF(Tamaño&lt;VLOOKUP(Q44,Tabla_ArmasEnormes,3,FALSE),-40,0)),IF(P51="",99999,T54+VLOOKUP(P51,Tabla_ArmasyEscudos,3,FALSE)+IF(Q52=0,0,IF(Tamaño&lt;VLOOKUP(Q52,Tabla_ArmasEnormes,3,FALSE),-40,0)))))+Personalización!AG12</f>
        <v>0</v>
      </c>
      <c r="T44" s="3909">
        <f>IF(P43=0,HA_final,HA_final+VLOOKUP(N44,Tabla_ArmaDistinta,2)+T46+MIN(0,10*(FUE-VLOOKUP(P43,Tabla_ArmasyEscudos,4,FALSE)-IF(Q44=0,0,VLOOKUP(Q44,Tabla_ArmasEnormes,4,FALSE))))-IF(Tablas!$H$519&lt;0,IF(P43=Arma_Desarrollada,0,30),0))+SUMPRODUCT(--ISNUMBER(SEARCH(P43,ArmasAM)),ArmasAM_HA)+Personalización!AG13</f>
        <v>0</v>
      </c>
      <c r="U44" s="3911">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03"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16">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921" t="str">
        <f>IF(PDs!$AD69=0,"",PDs!$AD69)</f>
        <v/>
      </c>
      <c r="AC44" s="3921"/>
      <c r="AD44" s="3921"/>
      <c r="AE44" s="3921"/>
      <c r="AF44" s="3921"/>
      <c r="AG44" s="3921"/>
      <c r="AH44" s="3927" t="str">
        <f>IF(PDs!$V69=0,"",PDs!$V69)</f>
        <v/>
      </c>
      <c r="AI44" s="3927"/>
      <c r="AJ44" s="3927"/>
      <c r="AK44" s="3927"/>
      <c r="AL44" s="3927"/>
      <c r="AM44" s="3927"/>
      <c r="AN44" s="3927"/>
      <c r="AO44" s="3927"/>
      <c r="AP44" s="3927"/>
      <c r="AQ44" s="2827">
        <f>IF(AB44="",0,VLOOKUP(AB44,Tablas!$D$806:$G$895,4,FALSE))</f>
        <v>0</v>
      </c>
      <c r="AR44" s="2964"/>
      <c r="AS44" s="2961"/>
      <c r="AU44" s="1707" t="str">
        <f>IF(Combate!E20="",IF(Combate!E19="Artes marciales",HA_SinArmas_final&amp;" "&amp;Combate!E19,HA_SinArmas_final&amp;" Desarmado"),HA_SinArmas_final&amp;" "&amp;Combate!E20)</f>
        <v>0 Desarmado</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480"/>
      <c r="I45" s="3910"/>
      <c r="J45" s="3912"/>
      <c r="K45" s="3480"/>
      <c r="L45" s="3917"/>
      <c r="N45" s="2705" t="s">
        <v>1884</v>
      </c>
      <c r="O45" s="2706" t="s">
        <v>1885</v>
      </c>
      <c r="P45" s="2706" t="s">
        <v>1869</v>
      </c>
      <c r="Q45" s="2706" t="s">
        <v>1886</v>
      </c>
      <c r="R45" s="544" t="s">
        <v>1870</v>
      </c>
      <c r="S45" s="3480"/>
      <c r="T45" s="3910"/>
      <c r="U45" s="3912"/>
      <c r="V45" s="3480"/>
      <c r="W45" s="3917"/>
      <c r="X45" s="1710"/>
      <c r="Y45" s="45"/>
      <c r="Z45" s="45"/>
      <c r="AA45" s="2851"/>
      <c r="AB45" s="3921" t="str">
        <f>IF(PDs!$AD70=0,"",PDs!$AD70)</f>
        <v/>
      </c>
      <c r="AC45" s="3921"/>
      <c r="AD45" s="3921"/>
      <c r="AE45" s="3921"/>
      <c r="AF45" s="3921"/>
      <c r="AG45" s="3921"/>
      <c r="AH45" s="3927" t="str">
        <f>IF(PDs!$V70=0,"",PDs!$V70)</f>
        <v/>
      </c>
      <c r="AI45" s="3927"/>
      <c r="AJ45" s="3927"/>
      <c r="AK45" s="3927"/>
      <c r="AL45" s="3927"/>
      <c r="AM45" s="3927"/>
      <c r="AN45" s="3927"/>
      <c r="AO45" s="3927"/>
      <c r="AP45" s="3927"/>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878" t="str">
        <f>IF(Tablas!$G$500&gt;0,"-50 a puntería","")</f>
        <v/>
      </c>
      <c r="K46" s="3878"/>
      <c r="L46" s="3879"/>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878" t="str">
        <f>IF(Tablas!$G$500&gt;0,"-50 a puntería","")</f>
        <v/>
      </c>
      <c r="V46" s="3878"/>
      <c r="W46" s="3879"/>
      <c r="X46" s="1710"/>
      <c r="Y46" s="45"/>
      <c r="Z46" s="45"/>
      <c r="AA46" s="2851"/>
      <c r="AB46" s="3921" t="str">
        <f>IF(PDs!$AD71=0,"",PDs!$AD71)</f>
        <v/>
      </c>
      <c r="AC46" s="3921"/>
      <c r="AD46" s="3921"/>
      <c r="AE46" s="3921"/>
      <c r="AF46" s="3921"/>
      <c r="AG46" s="3921"/>
      <c r="AH46" s="3389" t="str">
        <f>IF(PDs!$V71=0,"",PDs!$V71)</f>
        <v/>
      </c>
      <c r="AI46" s="3389"/>
      <c r="AJ46" s="3389"/>
      <c r="AK46" s="3389"/>
      <c r="AL46" s="3389"/>
      <c r="AM46" s="3389"/>
      <c r="AN46" s="3389"/>
      <c r="AO46" s="3389"/>
      <c r="AP46" s="3389"/>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62"/>
      <c r="BF46" s="44"/>
      <c r="BG46" s="44"/>
      <c r="BH46" s="2828"/>
      <c r="BI46" s="2828"/>
      <c r="BJ46" s="2828"/>
      <c r="BK46" s="2828"/>
      <c r="BL46" s="2828"/>
      <c r="BM46" s="2828"/>
      <c r="BN46" s="2828"/>
      <c r="BO46" s="2828"/>
    </row>
    <row r="47" spans="1:67" ht="12" customHeight="1" x14ac:dyDescent="0.2">
      <c r="A47" s="45"/>
      <c r="B47" s="3011"/>
      <c r="C47" s="3880" t="s">
        <v>1899</v>
      </c>
      <c r="D47" s="3881"/>
      <c r="E47" s="3882"/>
      <c r="F47" s="3883"/>
      <c r="G47" s="3884"/>
      <c r="H47" s="150" t="s">
        <v>1894</v>
      </c>
      <c r="I47" s="109"/>
      <c r="J47" s="3885" t="str">
        <f>IF(F44=0,IF(I47=0,"","TA defensor:"),IF(Tamaño&lt;VLOOKUP(F44,Tabla_ArmasEnormes,2,FALSE),"Tam. excesivo",IF(I47=0,"","TA defensor:")))</f>
        <v/>
      </c>
      <c r="K47" s="3886"/>
      <c r="L47" s="2870" t="str">
        <f>IF(J47="TA defensor:",I47/(-5),"")</f>
        <v/>
      </c>
      <c r="M47" s="2845"/>
      <c r="N47" s="3880" t="s">
        <v>1899</v>
      </c>
      <c r="O47" s="3881"/>
      <c r="P47" s="3882"/>
      <c r="Q47" s="3883"/>
      <c r="R47" s="3884"/>
      <c r="S47" s="150" t="s">
        <v>1894</v>
      </c>
      <c r="T47" s="109"/>
      <c r="U47" s="3885" t="str">
        <f>IF(Q44=0,IF(T47=0,"","TA defensor:"),IF(Tamaño&lt;VLOOKUP(Q44,Tabla_ArmasEnormes,2,FALSE),"Tam. excesivo",IF(T47=0,"","TA defensor:")))</f>
        <v/>
      </c>
      <c r="V47" s="3886"/>
      <c r="W47" s="2870" t="str">
        <f>IF(U47="TA defensor:",T47/(-5),"")</f>
        <v/>
      </c>
      <c r="X47" s="2852"/>
      <c r="Y47" s="45"/>
      <c r="Z47" s="45"/>
      <c r="AA47" s="2851"/>
      <c r="AB47" s="3921" t="str">
        <f>IF(PDs!$AD72=0,"",PDs!$AD72)</f>
        <v/>
      </c>
      <c r="AC47" s="3921"/>
      <c r="AD47" s="3921"/>
      <c r="AE47" s="3921"/>
      <c r="AF47" s="3921"/>
      <c r="AG47" s="3921"/>
      <c r="AH47" s="3389" t="str">
        <f>IF(PDs!$V72=0,"",PDs!$V72)</f>
        <v/>
      </c>
      <c r="AI47" s="3389"/>
      <c r="AJ47" s="3389"/>
      <c r="AK47" s="3389"/>
      <c r="AL47" s="3389"/>
      <c r="AM47" s="3389"/>
      <c r="AN47" s="3389"/>
      <c r="AO47" s="3389"/>
      <c r="AP47" s="3389"/>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216" t="s">
        <v>10035</v>
      </c>
      <c r="L48" s="3897"/>
      <c r="N48" s="1289" t="s">
        <v>1884</v>
      </c>
      <c r="O48" s="182" t="s">
        <v>1885</v>
      </c>
      <c r="P48" s="2862" t="s">
        <v>1869</v>
      </c>
      <c r="Q48" s="2862" t="s">
        <v>1886</v>
      </c>
      <c r="R48" s="2862" t="s">
        <v>1870</v>
      </c>
      <c r="S48" s="1283" t="s">
        <v>1658</v>
      </c>
      <c r="T48" s="127" t="s">
        <v>1900</v>
      </c>
      <c r="U48" s="2864" t="s">
        <v>1901</v>
      </c>
      <c r="V48" s="3216" t="s">
        <v>10035</v>
      </c>
      <c r="W48" s="3897"/>
      <c r="X48" s="1710"/>
      <c r="Y48" s="45"/>
      <c r="Z48" s="45"/>
      <c r="AA48" s="2851"/>
      <c r="AB48" s="3921" t="str">
        <f>IF(PDs!$AD73=0,"",PDs!$AD73)</f>
        <v/>
      </c>
      <c r="AC48" s="3921"/>
      <c r="AD48" s="3921"/>
      <c r="AE48" s="3921"/>
      <c r="AF48" s="3921"/>
      <c r="AG48" s="3921"/>
      <c r="AH48" s="3389" t="str">
        <f>IF(PDs!$V73=0,"",PDs!$V73)</f>
        <v/>
      </c>
      <c r="AI48" s="3389"/>
      <c r="AJ48" s="3389"/>
      <c r="AK48" s="3389"/>
      <c r="AL48" s="3389"/>
      <c r="AM48" s="3389"/>
      <c r="AN48" s="3389"/>
      <c r="AO48" s="3389"/>
      <c r="AP48" s="3389"/>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3893" t="s">
        <v>1690</v>
      </c>
      <c r="L49" s="3894"/>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3893" t="s">
        <v>1690</v>
      </c>
      <c r="W49" s="3894"/>
      <c r="X49" s="1710"/>
      <c r="Y49" s="45"/>
      <c r="Z49" s="45"/>
      <c r="AA49" s="2851"/>
      <c r="AB49" s="3921" t="str">
        <f>IF(PDs!$AD74=0,"",PDs!$AD74)</f>
        <v/>
      </c>
      <c r="AC49" s="3921"/>
      <c r="AD49" s="3921"/>
      <c r="AE49" s="3921"/>
      <c r="AF49" s="3921"/>
      <c r="AG49" s="3921"/>
      <c r="AH49" s="3389" t="str">
        <f>IF(PDs!$V74=0,"",PDs!$V74)</f>
        <v/>
      </c>
      <c r="AI49" s="3389"/>
      <c r="AJ49" s="3389"/>
      <c r="AK49" s="3389"/>
      <c r="AL49" s="3389"/>
      <c r="AM49" s="3389"/>
      <c r="AN49" s="3389"/>
      <c r="AO49" s="3389"/>
      <c r="AP49" s="3389"/>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3873" t="str">
        <f>IF(E43=0,"",VLOOKUP(E43,Tabla_ArmasyEscudos,19,FALSE))</f>
        <v/>
      </c>
      <c r="D50" s="3874"/>
      <c r="E50" s="3874"/>
      <c r="F50" s="3874"/>
      <c r="G50" s="3874"/>
      <c r="H50" s="3875" t="str">
        <f>IF(E47=0,"",VLOOKUP(E47,Tabla_ArmasyEscudos,19,FALSE))</f>
        <v/>
      </c>
      <c r="I50" s="3875"/>
      <c r="J50" s="3875"/>
      <c r="K50" s="3875"/>
      <c r="L50" s="3876"/>
      <c r="N50" s="3873" t="str">
        <f>IF(P43=0,"",VLOOKUP(P43,Tabla_ArmasyEscudos,19,FALSE))</f>
        <v/>
      </c>
      <c r="O50" s="3874"/>
      <c r="P50" s="3874"/>
      <c r="Q50" s="3874"/>
      <c r="R50" s="3874"/>
      <c r="S50" s="3875" t="str">
        <f>IF(P47=0,"",VLOOKUP(P47,Tabla_ArmasyEscudos,19,FALSE))</f>
        <v/>
      </c>
      <c r="T50" s="3875"/>
      <c r="U50" s="3875"/>
      <c r="V50" s="3875"/>
      <c r="W50" s="3876"/>
      <c r="X50" s="1710"/>
      <c r="Y50" s="45"/>
      <c r="Z50" s="45"/>
      <c r="AA50" s="2851"/>
      <c r="AB50" s="3913" t="str">
        <f>IF(PDs!$E75=0,"",PDs!$E75)</f>
        <v/>
      </c>
      <c r="AC50" s="3913"/>
      <c r="AD50" s="3913"/>
      <c r="AE50" s="3913"/>
      <c r="AF50" s="3913"/>
      <c r="AG50" s="3913"/>
      <c r="AH50" s="3900" t="str">
        <f>IF($AB50="","",IF(PDs!$V75="FALTAN REQUISITOS",PDs!$V75,VLOOKUP(AB50,Tabla_AM_Armas,5,FALSE)))</f>
        <v/>
      </c>
      <c r="AI50" s="3900"/>
      <c r="AJ50" s="3900"/>
      <c r="AK50" s="3900"/>
      <c r="AL50" s="3900"/>
      <c r="AM50" s="3900"/>
      <c r="AN50" s="3900"/>
      <c r="AO50" s="3900"/>
      <c r="AP50" s="3900"/>
      <c r="AQ50" s="3900"/>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471" t="s">
        <v>10033</v>
      </c>
      <c r="D51" s="3887"/>
      <c r="E51" s="3888"/>
      <c r="F51" s="3889"/>
      <c r="G51" s="3890"/>
      <c r="H51" s="1287" t="s">
        <v>1702</v>
      </c>
      <c r="I51" s="2867" t="s">
        <v>1880</v>
      </c>
      <c r="J51" s="3891" t="s">
        <v>1881</v>
      </c>
      <c r="K51" s="3891"/>
      <c r="L51" s="2844" t="s">
        <v>1882</v>
      </c>
      <c r="N51" s="3471" t="s">
        <v>10033</v>
      </c>
      <c r="O51" s="3887"/>
      <c r="P51" s="3888"/>
      <c r="Q51" s="3889"/>
      <c r="R51" s="3890"/>
      <c r="S51" s="1287" t="s">
        <v>1702</v>
      </c>
      <c r="T51" s="2867" t="s">
        <v>1880</v>
      </c>
      <c r="U51" s="3891" t="s">
        <v>1881</v>
      </c>
      <c r="V51" s="3891"/>
      <c r="W51" s="2844" t="s">
        <v>1882</v>
      </c>
      <c r="X51" s="1710"/>
      <c r="Y51" s="45"/>
      <c r="Z51" s="45"/>
      <c r="AA51" s="2851"/>
      <c r="AB51" s="3915" t="str">
        <f>IF(PDs!$E76=0,"",PDs!$E76)</f>
        <v/>
      </c>
      <c r="AC51" s="3915"/>
      <c r="AD51" s="3915"/>
      <c r="AE51" s="3915"/>
      <c r="AF51" s="3915"/>
      <c r="AG51" s="3915"/>
      <c r="AH51" s="3902" t="str">
        <f>IF($AB51="","",IF(PDs!$V76="FALTAN REQUISITOS",PDs!$V76,VLOOKUP(AB51,Tabla_AM_Armas,5,FALSE)))</f>
        <v/>
      </c>
      <c r="AI51" s="3902"/>
      <c r="AJ51" s="3902"/>
      <c r="AK51" s="3902"/>
      <c r="AL51" s="3902"/>
      <c r="AM51" s="3902"/>
      <c r="AN51" s="3902"/>
      <c r="AO51" s="3902"/>
      <c r="AP51" s="3902"/>
      <c r="AQ51" s="3902"/>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905" t="str">
        <f>IF(E51=0,"",VLOOKUP(E51,Tabla_ArmasyEscudos,9,FALSE))</f>
        <v/>
      </c>
      <c r="D52" s="3906"/>
      <c r="E52" s="1394" t="s">
        <v>1892</v>
      </c>
      <c r="F52" s="3907"/>
      <c r="G52" s="3907"/>
      <c r="H52" s="3469" t="s">
        <v>1896</v>
      </c>
      <c r="I52" s="3908">
        <f>IF(E51=0,HA_final,HA_final+VLOOKUP(C52,Tabla_ArmaDistinta,2)+I54+MIN(0,10*(FUE-VLOOKUP(E51,Tabla_ArmasyEscudos,4,FALSE)-IF(F52=0,0,VLOOKUP(F52,Tabla_ArmasEnormes,4,FALSE))))-IF(Tablas!$H$519&lt;0,IF(E51=Arma_Desarrollada,0,30),0))+SUMPRODUCT(--ISNUMBER(SEARCH(E51,ArmasAM)),ArmasAM_HA)+Personalización!AI8</f>
        <v>0</v>
      </c>
      <c r="J52" s="389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6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7">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05" t="str">
        <f>IF(P51=0,"",VLOOKUP(P51,Tabla_ArmasyEscudos,9,FALSE))</f>
        <v/>
      </c>
      <c r="O52" s="3906"/>
      <c r="P52" s="1394" t="s">
        <v>1892</v>
      </c>
      <c r="Q52" s="3907"/>
      <c r="R52" s="3907"/>
      <c r="S52" s="3469" t="s">
        <v>1896</v>
      </c>
      <c r="T52" s="3908">
        <f>IF(P51=0,HA_final,HA_final+VLOOKUP(N52,Tabla_ArmaDistinta,2)+T54+MIN(0,10*(FUE-VLOOKUP(P51,Tabla_ArmasyEscudos,4,FALSE)-IF(Q52=0,0,VLOOKUP(Q52,Tabla_ArmasEnormes,4,FALSE))))-IF(Tablas!$H$519&lt;0,IF(P51=Arma_Desarrollada,0,30),0))+SUMPRODUCT(--ISNUMBER(SEARCH(P51,ArmasAM)),ArmasAM_HA)+Personalización!AI13</f>
        <v>0</v>
      </c>
      <c r="U52" s="3892">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6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7">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3901" t="str">
        <f>IF(PDs!$E77=0,"",PDs!$E77)</f>
        <v/>
      </c>
      <c r="AC52" s="3901"/>
      <c r="AD52" s="3901"/>
      <c r="AE52" s="3901"/>
      <c r="AF52" s="3901"/>
      <c r="AG52" s="3901"/>
      <c r="AH52" s="3896" t="str">
        <f>IF($AB52="","",IF(PDs!$V77="FALTAN REQUISITOS",PDs!$V77,VLOOKUP(AB52,Tabla_AM_Armas,5,FALSE)))</f>
        <v/>
      </c>
      <c r="AI52" s="3896"/>
      <c r="AJ52" s="3896"/>
      <c r="AK52" s="3896"/>
      <c r="AL52" s="3896"/>
      <c r="AM52" s="3896"/>
      <c r="AN52" s="3896"/>
      <c r="AO52" s="3896"/>
      <c r="AP52" s="3896"/>
      <c r="AQ52" s="3896"/>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908"/>
      <c r="I53" s="3908"/>
      <c r="J53" s="3892"/>
      <c r="K53" s="3469"/>
      <c r="L53" s="3877"/>
      <c r="M53" s="2845"/>
      <c r="N53" s="2705" t="s">
        <v>1884</v>
      </c>
      <c r="O53" s="2706" t="s">
        <v>1885</v>
      </c>
      <c r="P53" s="2706" t="s">
        <v>1869</v>
      </c>
      <c r="Q53" s="2706" t="s">
        <v>1886</v>
      </c>
      <c r="R53" s="544" t="s">
        <v>1870</v>
      </c>
      <c r="S53" s="3908"/>
      <c r="T53" s="3908"/>
      <c r="U53" s="3892"/>
      <c r="V53" s="3469"/>
      <c r="W53" s="3877"/>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878" t="str">
        <f>IF(Tablas!$G$500&gt;0,"-50 a puntería","")</f>
        <v/>
      </c>
      <c r="K54" s="3878"/>
      <c r="L54" s="3879"/>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878" t="str">
        <f>IF(Tablas!$G$500&gt;0,"-50 a puntería","")</f>
        <v/>
      </c>
      <c r="V54" s="3878"/>
      <c r="W54" s="3879"/>
      <c r="X54" s="1710"/>
      <c r="Y54" s="45"/>
      <c r="Z54" s="45"/>
      <c r="AA54" s="2851"/>
      <c r="AB54" s="3172" t="s">
        <v>1816</v>
      </c>
      <c r="AC54" s="3172"/>
      <c r="AD54" s="3172"/>
      <c r="AE54" s="3172"/>
      <c r="AF54" s="3172"/>
      <c r="AG54" s="3172"/>
      <c r="AH54" s="3899" t="s">
        <v>1861</v>
      </c>
      <c r="AI54" s="3899"/>
      <c r="AJ54" s="3899"/>
      <c r="AK54" s="3899"/>
      <c r="AL54" s="3899"/>
      <c r="AM54" s="3899"/>
      <c r="AN54" s="3899"/>
      <c r="AO54" s="3899"/>
      <c r="AP54" s="3899"/>
      <c r="AQ54" s="3899"/>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880" t="s">
        <v>1899</v>
      </c>
      <c r="D55" s="3881"/>
      <c r="E55" s="3882"/>
      <c r="F55" s="3883"/>
      <c r="G55" s="3884"/>
      <c r="H55" s="150" t="s">
        <v>1894</v>
      </c>
      <c r="I55" s="109"/>
      <c r="J55" s="3885" t="str">
        <f>IF(F52=0,IF(I55=0,"","TA defensor:"),IF(Tamaño&lt;VLOOKUP(F52,Tabla_ArmasEnormes,2,FALSE),"Tam. excesivo",IF(I55=0,"","TA defensor:")))</f>
        <v/>
      </c>
      <c r="K55" s="3886"/>
      <c r="L55" s="2870" t="str">
        <f>IF(J55="TA defensor:",I55/(-5),"")</f>
        <v/>
      </c>
      <c r="N55" s="3880" t="s">
        <v>1899</v>
      </c>
      <c r="O55" s="3881"/>
      <c r="P55" s="3882"/>
      <c r="Q55" s="3883"/>
      <c r="R55" s="3884"/>
      <c r="S55" s="150" t="s">
        <v>1894</v>
      </c>
      <c r="T55" s="109"/>
      <c r="U55" s="3885" t="str">
        <f>IF(Q52=0,IF(T55=0,"","TA defensor:"),IF(Tamaño&lt;VLOOKUP(Q52,Tabla_ArmasEnormes,2,FALSE),"Tam. excesivo",IF(T55=0,"","TA defensor:")))</f>
        <v/>
      </c>
      <c r="V55" s="3886"/>
      <c r="W55" s="2870" t="str">
        <f>IF(U55="TA defensor:",T55/(-5),"")</f>
        <v/>
      </c>
      <c r="X55" s="1710"/>
      <c r="Y55" s="45"/>
      <c r="Z55" s="45"/>
      <c r="AA55" s="2851"/>
      <c r="AB55" s="3898" t="str">
        <f>IF(PDs!E78=0,"",PDs!E78)</f>
        <v/>
      </c>
      <c r="AC55" s="3898"/>
      <c r="AD55" s="3898"/>
      <c r="AE55" s="3898"/>
      <c r="AF55" s="3898"/>
      <c r="AG55" s="3898"/>
      <c r="AH55" s="3895" t="str">
        <f>IF(AB55="","",VLOOKUP(AB55,Tabla_ArsMagnus,6,FALSE))</f>
        <v/>
      </c>
      <c r="AI55" s="3895"/>
      <c r="AJ55" s="3895"/>
      <c r="AK55" s="3895"/>
      <c r="AL55" s="3895"/>
      <c r="AM55" s="3895"/>
      <c r="AN55" s="3895"/>
      <c r="AO55" s="3895"/>
      <c r="AP55" s="3895"/>
      <c r="AQ55" s="3895"/>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216" t="s">
        <v>10035</v>
      </c>
      <c r="L56" s="3897"/>
      <c r="N56" s="1289" t="s">
        <v>1884</v>
      </c>
      <c r="O56" s="182" t="s">
        <v>1885</v>
      </c>
      <c r="P56" s="2862" t="s">
        <v>1869</v>
      </c>
      <c r="Q56" s="2862" t="s">
        <v>1886</v>
      </c>
      <c r="R56" s="2862" t="s">
        <v>1870</v>
      </c>
      <c r="S56" s="1283" t="s">
        <v>1658</v>
      </c>
      <c r="T56" s="127" t="s">
        <v>1900</v>
      </c>
      <c r="U56" s="2864" t="s">
        <v>1901</v>
      </c>
      <c r="V56" s="3216" t="s">
        <v>10035</v>
      </c>
      <c r="W56" s="3897"/>
      <c r="X56" s="1710"/>
      <c r="Y56" s="45"/>
      <c r="Z56" s="45"/>
      <c r="AA56" s="2851"/>
      <c r="AB56" s="3898"/>
      <c r="AC56" s="3898"/>
      <c r="AD56" s="3898"/>
      <c r="AE56" s="3898"/>
      <c r="AF56" s="3898"/>
      <c r="AG56" s="3898"/>
      <c r="AH56" s="3895"/>
      <c r="AI56" s="3895"/>
      <c r="AJ56" s="3895"/>
      <c r="AK56" s="3895"/>
      <c r="AL56" s="3895"/>
      <c r="AM56" s="3895"/>
      <c r="AN56" s="3895"/>
      <c r="AO56" s="3895"/>
      <c r="AP56" s="3895"/>
      <c r="AQ56" s="3895"/>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3893" t="s">
        <v>1690</v>
      </c>
      <c r="L57" s="3894"/>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3893" t="s">
        <v>1690</v>
      </c>
      <c r="W57" s="3894"/>
      <c r="X57" s="1710"/>
      <c r="Y57" s="45"/>
      <c r="Z57" s="45"/>
      <c r="AA57" s="2851"/>
      <c r="AB57" s="3872" t="str">
        <f>IF(PDs!E79=0,"",PDs!E79)</f>
        <v/>
      </c>
      <c r="AC57" s="3872"/>
      <c r="AD57" s="3872"/>
      <c r="AE57" s="3872"/>
      <c r="AF57" s="3872"/>
      <c r="AG57" s="3872"/>
      <c r="AH57" s="3390" t="str">
        <f>IF(AB57="","",VLOOKUP(AB57,Tabla_ArsMagnus,6,FALSE))</f>
        <v/>
      </c>
      <c r="AI57" s="3390"/>
      <c r="AJ57" s="3390"/>
      <c r="AK57" s="3390"/>
      <c r="AL57" s="3390"/>
      <c r="AM57" s="3390"/>
      <c r="AN57" s="3390"/>
      <c r="AO57" s="3390"/>
      <c r="AP57" s="3390"/>
      <c r="AQ57" s="3390"/>
      <c r="AR57" s="2964"/>
      <c r="AS57" s="2961"/>
      <c r="AZ57" s="2962"/>
      <c r="BF57" s="44"/>
      <c r="BG57" s="44"/>
      <c r="BH57" s="2828"/>
      <c r="BI57" s="2828"/>
      <c r="BJ57" s="2828"/>
      <c r="BK57" s="2828"/>
      <c r="BL57" s="2828"/>
      <c r="BM57" s="2828"/>
      <c r="BN57" s="2828"/>
      <c r="BO57" s="2828"/>
    </row>
    <row r="58" spans="1:67" ht="12" customHeight="1" thickBot="1" x14ac:dyDescent="0.25">
      <c r="A58" s="45"/>
      <c r="B58" s="3011"/>
      <c r="C58" s="3873" t="str">
        <f>IF(E51=0,"",VLOOKUP(E51,Tabla_ArmasyEscudos,19,FALSE))</f>
        <v/>
      </c>
      <c r="D58" s="3904"/>
      <c r="E58" s="3904"/>
      <c r="F58" s="3904"/>
      <c r="G58" s="3904"/>
      <c r="H58" s="3875" t="str">
        <f>IF(E55=0,"",VLOOKUP(E55,Tabla_ArmasyEscudos,19,FALSE))</f>
        <v/>
      </c>
      <c r="I58" s="3875"/>
      <c r="J58" s="3875"/>
      <c r="K58" s="3875"/>
      <c r="L58" s="3876"/>
      <c r="N58" s="3873" t="str">
        <f>IF(P51=0,"",VLOOKUP(P51,Tabla_ArmasyEscudos,19,FALSE))</f>
        <v/>
      </c>
      <c r="O58" s="3904"/>
      <c r="P58" s="3904"/>
      <c r="Q58" s="3904"/>
      <c r="R58" s="3904"/>
      <c r="S58" s="3875" t="str">
        <f>IF(P55=0,"",VLOOKUP(P55,Tabla_ArmasyEscudos,19,FALSE))</f>
        <v/>
      </c>
      <c r="T58" s="3875"/>
      <c r="U58" s="3875"/>
      <c r="V58" s="3875"/>
      <c r="W58" s="3876"/>
      <c r="X58" s="1710"/>
      <c r="Y58" s="45"/>
      <c r="Z58" s="45"/>
      <c r="AA58" s="2851"/>
      <c r="AB58" s="3872"/>
      <c r="AC58" s="3872"/>
      <c r="AD58" s="3872"/>
      <c r="AE58" s="3872"/>
      <c r="AF58" s="3872"/>
      <c r="AG58" s="3872"/>
      <c r="AH58" s="3390"/>
      <c r="AI58" s="3390"/>
      <c r="AJ58" s="3390"/>
      <c r="AK58" s="3390"/>
      <c r="AL58" s="3390"/>
      <c r="AM58" s="3390"/>
      <c r="AN58" s="3390"/>
      <c r="AO58" s="3390"/>
      <c r="AP58" s="3390"/>
      <c r="AQ58" s="3390"/>
      <c r="AR58" s="2964"/>
      <c r="AS58" s="2961"/>
      <c r="AZ58" s="2962"/>
      <c r="BF58" s="44"/>
      <c r="BG58" s="44"/>
      <c r="BH58" s="2828"/>
      <c r="BI58" s="2828"/>
      <c r="BJ58" s="2828"/>
      <c r="BK58" s="2828"/>
      <c r="BL58" s="2828"/>
      <c r="BM58" s="2828"/>
      <c r="BN58" s="2828"/>
      <c r="BO58" s="2828"/>
    </row>
    <row r="59" spans="1:67" ht="12" customHeight="1" thickBot="1" x14ac:dyDescent="0.25">
      <c r="A59" s="45"/>
      <c r="B59" s="3011"/>
      <c r="H59" s="64"/>
      <c r="S59" s="2845"/>
      <c r="T59" s="2845"/>
      <c r="U59" s="2845"/>
      <c r="X59" s="2852"/>
      <c r="Y59" s="45"/>
      <c r="Z59" s="45"/>
      <c r="AA59" s="2851"/>
      <c r="AB59" s="3872" t="str">
        <f>IF(PDs!E80=0,"",PDs!E80)</f>
        <v/>
      </c>
      <c r="AC59" s="3872"/>
      <c r="AD59" s="3872"/>
      <c r="AE59" s="3872"/>
      <c r="AF59" s="3872"/>
      <c r="AG59" s="3872"/>
      <c r="AH59" s="3390" t="str">
        <f>IF(AB59="","",VLOOKUP(AB59,Tabla_ArsMagnus,6,FALSE))</f>
        <v/>
      </c>
      <c r="AI59" s="3390"/>
      <c r="AJ59" s="3390"/>
      <c r="AK59" s="3390"/>
      <c r="AL59" s="3390"/>
      <c r="AM59" s="3390"/>
      <c r="AN59" s="3390"/>
      <c r="AO59" s="3390"/>
      <c r="AP59" s="3390"/>
      <c r="AQ59" s="3390"/>
      <c r="AR59" s="2964"/>
      <c r="AS59" s="2961"/>
      <c r="AZ59" s="2962"/>
      <c r="BF59" s="44"/>
      <c r="BG59" s="44"/>
      <c r="BH59" s="2828"/>
      <c r="BI59" s="2828"/>
      <c r="BJ59" s="2828"/>
      <c r="BK59" s="2828"/>
      <c r="BL59" s="2828"/>
      <c r="BM59" s="2828"/>
      <c r="BN59" s="2828"/>
      <c r="BO59" s="2828"/>
    </row>
    <row r="60" spans="1:67" ht="12" customHeight="1" x14ac:dyDescent="0.2">
      <c r="A60" s="45"/>
      <c r="B60" s="3011"/>
      <c r="C60" s="3130" t="s">
        <v>1711</v>
      </c>
      <c r="D60" s="3131"/>
      <c r="E60" s="3131"/>
      <c r="F60" s="3131"/>
      <c r="G60" s="3131"/>
      <c r="H60" s="3131"/>
      <c r="I60" s="3131"/>
      <c r="J60" s="3131"/>
      <c r="K60" s="3131"/>
      <c r="L60" s="3132"/>
      <c r="N60" s="3130" t="s">
        <v>1711</v>
      </c>
      <c r="O60" s="3131"/>
      <c r="P60" s="3131"/>
      <c r="Q60" s="3131"/>
      <c r="R60" s="3131"/>
      <c r="S60" s="3131"/>
      <c r="T60" s="3131"/>
      <c r="U60" s="3131"/>
      <c r="V60" s="3131"/>
      <c r="W60" s="3132"/>
      <c r="X60" s="2852"/>
      <c r="Y60" s="45"/>
      <c r="Z60" s="45"/>
      <c r="AA60" s="2851"/>
      <c r="AB60" s="3872"/>
      <c r="AC60" s="3872"/>
      <c r="AD60" s="3872"/>
      <c r="AE60" s="3872"/>
      <c r="AF60" s="3872"/>
      <c r="AG60" s="3872"/>
      <c r="AH60" s="3390"/>
      <c r="AI60" s="3390"/>
      <c r="AJ60" s="3390"/>
      <c r="AK60" s="3390"/>
      <c r="AL60" s="3390"/>
      <c r="AM60" s="3390"/>
      <c r="AN60" s="3390"/>
      <c r="AO60" s="3390"/>
      <c r="AP60" s="3390"/>
      <c r="AQ60" s="3390"/>
      <c r="AR60" s="2964"/>
      <c r="AS60" s="2961"/>
      <c r="AZ60" s="2962"/>
      <c r="BF60" s="44"/>
      <c r="BG60" s="44"/>
      <c r="BH60" s="2828"/>
      <c r="BI60" s="2828"/>
      <c r="BJ60" s="2828"/>
      <c r="BK60" s="2828"/>
      <c r="BL60" s="2828"/>
      <c r="BM60" s="2828"/>
      <c r="BN60" s="2828"/>
      <c r="BO60" s="2828"/>
    </row>
    <row r="61" spans="1:67" ht="12" customHeight="1" x14ac:dyDescent="0.2">
      <c r="A61" s="45"/>
      <c r="B61" s="3011"/>
      <c r="C61" s="3864"/>
      <c r="D61" s="3865"/>
      <c r="E61" s="3865"/>
      <c r="F61" s="3865"/>
      <c r="G61" s="3865"/>
      <c r="H61" s="3865"/>
      <c r="I61" s="3865"/>
      <c r="J61" s="3865"/>
      <c r="K61" s="3865"/>
      <c r="L61" s="3866"/>
      <c r="N61" s="3864"/>
      <c r="O61" s="3865"/>
      <c r="P61" s="3865"/>
      <c r="Q61" s="3865"/>
      <c r="R61" s="3865"/>
      <c r="S61" s="3865"/>
      <c r="T61" s="3865"/>
      <c r="U61" s="3865"/>
      <c r="V61" s="3865"/>
      <c r="W61" s="3866"/>
      <c r="X61" s="2852"/>
      <c r="Y61" s="45"/>
      <c r="Z61" s="45"/>
      <c r="AA61" s="2851"/>
      <c r="AB61" s="3872" t="str">
        <f>IF(PDs!E81=0,"",PDs!E81)</f>
        <v/>
      </c>
      <c r="AC61" s="3872"/>
      <c r="AD61" s="3872"/>
      <c r="AE61" s="3872"/>
      <c r="AF61" s="3872"/>
      <c r="AG61" s="3872"/>
      <c r="AH61" s="3390" t="str">
        <f>IF(AB61="","",VLOOKUP(AB61,Tabla_ArsMagnus,6,FALSE))</f>
        <v/>
      </c>
      <c r="AI61" s="3390"/>
      <c r="AJ61" s="3390"/>
      <c r="AK61" s="3390"/>
      <c r="AL61" s="3390"/>
      <c r="AM61" s="3390"/>
      <c r="AN61" s="3390"/>
      <c r="AO61" s="3390"/>
      <c r="AP61" s="3390"/>
      <c r="AQ61" s="3390"/>
      <c r="AR61" s="2964"/>
      <c r="AS61" s="2961"/>
      <c r="AZ61" s="2962"/>
      <c r="BF61" s="44"/>
      <c r="BG61" s="44"/>
      <c r="BH61" s="2828"/>
      <c r="BI61" s="2828"/>
      <c r="BJ61" s="2828"/>
      <c r="BK61" s="2828"/>
      <c r="BL61" s="2828"/>
      <c r="BM61" s="2828"/>
      <c r="BN61" s="2828"/>
      <c r="BO61" s="2828"/>
    </row>
    <row r="62" spans="1:67" ht="12" customHeight="1" x14ac:dyDescent="0.2">
      <c r="A62" s="45"/>
      <c r="B62" s="3011"/>
      <c r="C62" s="3864"/>
      <c r="D62" s="3865"/>
      <c r="E62" s="3865"/>
      <c r="F62" s="3865"/>
      <c r="G62" s="3865"/>
      <c r="H62" s="3865"/>
      <c r="I62" s="3865"/>
      <c r="J62" s="3865"/>
      <c r="K62" s="3865"/>
      <c r="L62" s="3866"/>
      <c r="N62" s="3864"/>
      <c r="O62" s="3865"/>
      <c r="P62" s="3865"/>
      <c r="Q62" s="3865"/>
      <c r="R62" s="3865"/>
      <c r="S62" s="3865"/>
      <c r="T62" s="3865"/>
      <c r="U62" s="3865"/>
      <c r="V62" s="3865"/>
      <c r="W62" s="3866"/>
      <c r="X62" s="1710"/>
      <c r="Y62" s="45"/>
      <c r="Z62" s="45"/>
      <c r="AA62" s="2851"/>
      <c r="AB62" s="3872"/>
      <c r="AC62" s="3872"/>
      <c r="AD62" s="3872"/>
      <c r="AE62" s="3872"/>
      <c r="AF62" s="3872"/>
      <c r="AG62" s="3872"/>
      <c r="AH62" s="3390"/>
      <c r="AI62" s="3390"/>
      <c r="AJ62" s="3390"/>
      <c r="AK62" s="3390"/>
      <c r="AL62" s="3390"/>
      <c r="AM62" s="3390"/>
      <c r="AN62" s="3390"/>
      <c r="AO62" s="3390"/>
      <c r="AP62" s="3390"/>
      <c r="AQ62" s="3390"/>
      <c r="AR62" s="2964"/>
      <c r="AS62" s="2961"/>
      <c r="AZ62" s="2962"/>
      <c r="BF62" s="44"/>
      <c r="BG62" s="44"/>
      <c r="BH62" s="2828"/>
      <c r="BI62" s="2828"/>
      <c r="BJ62" s="2828"/>
      <c r="BK62" s="2828"/>
      <c r="BL62" s="2828"/>
      <c r="BM62" s="2828"/>
      <c r="BN62" s="2828"/>
      <c r="BO62" s="2828"/>
    </row>
    <row r="63" spans="1:67" ht="12" customHeight="1" thickBot="1" x14ac:dyDescent="0.25">
      <c r="A63" s="45"/>
      <c r="B63" s="3011"/>
      <c r="C63" s="3864"/>
      <c r="D63" s="3865"/>
      <c r="E63" s="3865"/>
      <c r="F63" s="3865"/>
      <c r="G63" s="3865"/>
      <c r="H63" s="3865"/>
      <c r="I63" s="3865"/>
      <c r="J63" s="3865"/>
      <c r="K63" s="3865"/>
      <c r="L63" s="3866"/>
      <c r="N63" s="3864"/>
      <c r="O63" s="3865"/>
      <c r="P63" s="3865"/>
      <c r="Q63" s="3865"/>
      <c r="R63" s="3865"/>
      <c r="S63" s="3865"/>
      <c r="T63" s="3865"/>
      <c r="U63" s="3865"/>
      <c r="V63" s="3865"/>
      <c r="W63" s="3866"/>
      <c r="X63" s="1710"/>
      <c r="Y63" s="45"/>
      <c r="Z63" s="45"/>
      <c r="AA63" s="2851"/>
      <c r="AB63" s="3870" t="str">
        <f>IF(PDs!E82=0,"",PDs!E82)</f>
        <v/>
      </c>
      <c r="AC63" s="3870"/>
      <c r="AD63" s="3870"/>
      <c r="AE63" s="3870"/>
      <c r="AF63" s="3870"/>
      <c r="AG63" s="3870"/>
      <c r="AH63" s="3871" t="str">
        <f>IF(AB63="","",VLOOKUP(AB63,Tabla_ArsMagnus,6,FALSE))</f>
        <v/>
      </c>
      <c r="AI63" s="3871"/>
      <c r="AJ63" s="3871"/>
      <c r="AK63" s="3871"/>
      <c r="AL63" s="3871"/>
      <c r="AM63" s="3871"/>
      <c r="AN63" s="3871"/>
      <c r="AO63" s="3871"/>
      <c r="AP63" s="3871"/>
      <c r="AQ63" s="3871"/>
      <c r="AR63" s="2964"/>
      <c r="AS63" s="2961"/>
      <c r="AZ63" s="2962"/>
      <c r="BF63" s="44"/>
      <c r="BG63" s="44"/>
      <c r="BH63" s="2828"/>
      <c r="BI63" s="2828"/>
      <c r="BJ63" s="2828"/>
      <c r="BK63" s="2828"/>
      <c r="BL63" s="2828"/>
      <c r="BM63" s="2828"/>
      <c r="BN63" s="2828"/>
      <c r="BO63" s="2828"/>
    </row>
    <row r="64" spans="1:67" ht="12" customHeight="1" thickBot="1" x14ac:dyDescent="0.25">
      <c r="A64" s="45"/>
      <c r="B64" s="3011"/>
      <c r="C64" s="3867"/>
      <c r="D64" s="3868"/>
      <c r="E64" s="3868"/>
      <c r="F64" s="3868"/>
      <c r="G64" s="3868"/>
      <c r="H64" s="3868"/>
      <c r="I64" s="3868"/>
      <c r="J64" s="3868"/>
      <c r="K64" s="3868"/>
      <c r="L64" s="3869"/>
      <c r="N64" s="3867"/>
      <c r="O64" s="3868"/>
      <c r="P64" s="3868"/>
      <c r="Q64" s="3868"/>
      <c r="R64" s="3868"/>
      <c r="S64" s="3868"/>
      <c r="T64" s="3868"/>
      <c r="U64" s="3868"/>
      <c r="V64" s="3868"/>
      <c r="W64" s="3869"/>
      <c r="X64" s="1710"/>
      <c r="Y64" s="45"/>
      <c r="Z64" s="45"/>
      <c r="AA64" s="2851"/>
      <c r="AB64" s="3870"/>
      <c r="AC64" s="3870"/>
      <c r="AD64" s="3870"/>
      <c r="AE64" s="3870"/>
      <c r="AF64" s="3870"/>
      <c r="AG64" s="3870"/>
      <c r="AH64" s="3871"/>
      <c r="AI64" s="3871"/>
      <c r="AJ64" s="3871"/>
      <c r="AK64" s="3871"/>
      <c r="AL64" s="3871"/>
      <c r="AM64" s="3871"/>
      <c r="AN64" s="3871"/>
      <c r="AO64" s="3871"/>
      <c r="AP64" s="3871"/>
      <c r="AQ64" s="3871"/>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10"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213"/>
      <c r="D3" s="3213"/>
      <c r="E3" s="3213"/>
      <c r="F3" s="3213"/>
      <c r="G3" s="3213"/>
      <c r="H3" s="3213"/>
      <c r="I3" s="9"/>
      <c r="J3" s="9"/>
      <c r="K3" s="9"/>
      <c r="L3" s="9"/>
      <c r="M3" s="9"/>
      <c r="N3" s="9"/>
      <c r="O3" s="9"/>
      <c r="P3" s="9"/>
      <c r="Q3" s="10"/>
      <c r="R3" s="67"/>
      <c r="S3" s="1710"/>
      <c r="T3" s="1497"/>
      <c r="U3" s="173"/>
      <c r="V3" s="1703"/>
      <c r="W3" s="3213"/>
      <c r="X3" s="3213"/>
      <c r="Y3" s="3213"/>
      <c r="Z3" s="3213"/>
      <c r="AA3" s="3213"/>
      <c r="AB3" s="3213"/>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213"/>
      <c r="D4" s="3213"/>
      <c r="E4" s="3213"/>
      <c r="F4" s="3213"/>
      <c r="G4" s="3213"/>
      <c r="H4" s="3213"/>
      <c r="I4" s="12"/>
      <c r="J4" s="3167" t="s">
        <v>1625</v>
      </c>
      <c r="K4" s="3167"/>
      <c r="L4" s="3168" t="str">
        <f>IF(OR(General!$G$22="",General!$G$22=0),"",General!$G$22)</f>
        <v/>
      </c>
      <c r="M4" s="3168"/>
      <c r="N4" s="3168"/>
      <c r="O4" s="3168"/>
      <c r="P4" s="3168"/>
      <c r="Q4" s="13"/>
      <c r="R4" s="67"/>
      <c r="S4" s="1710"/>
      <c r="T4" s="1497"/>
      <c r="U4" s="173"/>
      <c r="V4" s="1703"/>
      <c r="W4" s="3213"/>
      <c r="X4" s="3213"/>
      <c r="Y4" s="3213"/>
      <c r="Z4" s="3213"/>
      <c r="AA4" s="3213"/>
      <c r="AB4" s="3213"/>
      <c r="AC4" s="12"/>
      <c r="AD4" s="3167" t="s">
        <v>1625</v>
      </c>
      <c r="AE4" s="3167"/>
      <c r="AF4" s="3168" t="str">
        <f>IF(OR(General!$G$22="",General!$G$22=0),"",General!$G$22)</f>
        <v/>
      </c>
      <c r="AG4" s="3168"/>
      <c r="AH4" s="3168"/>
      <c r="AI4" s="3168"/>
      <c r="AJ4" s="3168"/>
      <c r="AK4" s="13"/>
      <c r="AL4" s="3028"/>
      <c r="AM4" s="173"/>
      <c r="AN4" s="1987"/>
      <c r="AO4" s="1954"/>
      <c r="AP4" s="1890"/>
      <c r="AQ4" s="356"/>
      <c r="AR4" s="356"/>
      <c r="AS4" s="356"/>
      <c r="AT4" s="356"/>
      <c r="AU4" s="356"/>
      <c r="AV4" s="1947"/>
      <c r="AW4" s="2004"/>
      <c r="AX4" s="1706"/>
    </row>
    <row r="5" spans="1:52" ht="12" customHeight="1" thickBot="1" x14ac:dyDescent="0.25">
      <c r="A5" s="173"/>
      <c r="B5" s="1703"/>
      <c r="C5" s="3213"/>
      <c r="D5" s="3213"/>
      <c r="E5" s="3213"/>
      <c r="F5" s="3213"/>
      <c r="G5" s="3213"/>
      <c r="H5" s="3213"/>
      <c r="I5" s="12"/>
      <c r="J5" s="3210" t="s">
        <v>1626</v>
      </c>
      <c r="K5" s="3210"/>
      <c r="L5" s="3211" t="str">
        <f>Principal!$L$5</f>
        <v/>
      </c>
      <c r="M5" s="3211"/>
      <c r="N5" s="3211"/>
      <c r="O5" s="14" t="s">
        <v>1627</v>
      </c>
      <c r="P5" s="15" t="str">
        <f>Principal!$P$5</f>
        <v>0</v>
      </c>
      <c r="Q5" s="16"/>
      <c r="R5" s="67"/>
      <c r="S5" s="1710"/>
      <c r="T5" s="1497"/>
      <c r="U5" s="173"/>
      <c r="V5" s="1703"/>
      <c r="W5" s="3213"/>
      <c r="X5" s="3213"/>
      <c r="Y5" s="3213"/>
      <c r="Z5" s="3213"/>
      <c r="AA5" s="3213"/>
      <c r="AB5" s="3213"/>
      <c r="AC5" s="12"/>
      <c r="AD5" s="3210" t="s">
        <v>1626</v>
      </c>
      <c r="AE5" s="3210"/>
      <c r="AF5" s="3211" t="str">
        <f>Principal!$L$5</f>
        <v/>
      </c>
      <c r="AG5" s="3211"/>
      <c r="AH5" s="3211"/>
      <c r="AI5" s="14" t="s">
        <v>1627</v>
      </c>
      <c r="AJ5" s="15" t="str">
        <f>Principal!$P$5</f>
        <v>0</v>
      </c>
      <c r="AK5" s="16"/>
      <c r="AL5" s="3028"/>
      <c r="AM5" s="173"/>
      <c r="AN5" s="1987"/>
      <c r="AO5" s="1953"/>
      <c r="AP5" s="1891"/>
      <c r="AQ5" s="1586"/>
      <c r="AR5" s="3212" t="s">
        <v>8423</v>
      </c>
      <c r="AS5" s="3212"/>
      <c r="AT5" s="3212"/>
      <c r="AU5" s="3212"/>
      <c r="AV5" s="1948"/>
      <c r="AW5" s="2004"/>
      <c r="AX5" s="1706"/>
    </row>
    <row r="6" spans="1:52" ht="12" customHeight="1" thickBot="1" x14ac:dyDescent="0.25">
      <c r="A6" s="173"/>
      <c r="B6" s="1703"/>
      <c r="C6" s="3213"/>
      <c r="D6" s="3213"/>
      <c r="E6" s="3213"/>
      <c r="F6" s="3213"/>
      <c r="G6" s="3213"/>
      <c r="H6" s="3213"/>
      <c r="I6" s="12"/>
      <c r="J6" s="3212" t="s">
        <v>2003</v>
      </c>
      <c r="K6" s="3212"/>
      <c r="L6" s="3212"/>
      <c r="M6" s="3212"/>
      <c r="N6" s="3212"/>
      <c r="O6" s="3212"/>
      <c r="P6" s="3212"/>
      <c r="Q6" s="16"/>
      <c r="R6" s="67"/>
      <c r="S6" s="1710"/>
      <c r="T6" s="1497"/>
      <c r="U6" s="173"/>
      <c r="V6" s="1703"/>
      <c r="W6" s="3213"/>
      <c r="X6" s="3213"/>
      <c r="Y6" s="3213"/>
      <c r="Z6" s="3213"/>
      <c r="AA6" s="3213"/>
      <c r="AB6" s="3213"/>
      <c r="AC6" s="12"/>
      <c r="AD6" s="3212" t="s">
        <v>2004</v>
      </c>
      <c r="AE6" s="3212"/>
      <c r="AF6" s="3212"/>
      <c r="AG6" s="3212"/>
      <c r="AH6" s="3212"/>
      <c r="AI6" s="3212"/>
      <c r="AJ6" s="3212"/>
      <c r="AK6" s="16"/>
      <c r="AL6" s="3028"/>
      <c r="AM6" s="173"/>
      <c r="AN6" s="1987"/>
      <c r="AO6" s="1949"/>
      <c r="AQ6" s="1937"/>
      <c r="AR6" s="3212"/>
      <c r="AS6" s="3212"/>
      <c r="AT6" s="3212"/>
      <c r="AU6" s="3212"/>
      <c r="AV6" s="1948"/>
      <c r="AW6" s="2004"/>
      <c r="AX6" s="1706"/>
    </row>
    <row r="7" spans="1:52" ht="12" customHeight="1" thickBot="1" x14ac:dyDescent="0.25">
      <c r="A7" s="173"/>
      <c r="B7" s="1703"/>
      <c r="C7" s="3213"/>
      <c r="D7" s="3213"/>
      <c r="E7" s="3213"/>
      <c r="F7" s="3213"/>
      <c r="G7" s="3213"/>
      <c r="H7" s="3213"/>
      <c r="I7" s="12"/>
      <c r="J7" s="3212"/>
      <c r="K7" s="3212"/>
      <c r="L7" s="3212"/>
      <c r="M7" s="3212"/>
      <c r="N7" s="3212"/>
      <c r="O7" s="3212"/>
      <c r="P7" s="3212"/>
      <c r="Q7" s="16"/>
      <c r="R7" s="67"/>
      <c r="S7" s="1710"/>
      <c r="T7" s="1497"/>
      <c r="U7" s="173"/>
      <c r="V7" s="1703"/>
      <c r="W7" s="3213"/>
      <c r="X7" s="3213"/>
      <c r="Y7" s="3213"/>
      <c r="Z7" s="3213"/>
      <c r="AA7" s="3213"/>
      <c r="AB7" s="3213"/>
      <c r="AC7" s="12"/>
      <c r="AD7" s="3212"/>
      <c r="AE7" s="3212"/>
      <c r="AF7" s="3212"/>
      <c r="AG7" s="3212"/>
      <c r="AH7" s="3212"/>
      <c r="AI7" s="3212"/>
      <c r="AJ7" s="3212"/>
      <c r="AK7" s="16"/>
      <c r="AL7" s="3028"/>
      <c r="AM7" s="173"/>
      <c r="AN7" s="1987"/>
      <c r="AO7" s="1949"/>
      <c r="AP7" s="1937"/>
      <c r="AQ7" s="1937"/>
      <c r="AR7" s="1937"/>
      <c r="AS7" s="1937"/>
      <c r="AT7" s="1937"/>
      <c r="AU7" s="1937"/>
      <c r="AV7" s="1948"/>
      <c r="AW7" s="2004"/>
      <c r="AX7" s="1706"/>
    </row>
    <row r="8" spans="1:52" ht="12" customHeight="1" thickBot="1" x14ac:dyDescent="0.25">
      <c r="A8" s="173"/>
      <c r="B8" s="1703"/>
      <c r="C8" s="3213"/>
      <c r="D8" s="3213"/>
      <c r="E8" s="3213"/>
      <c r="F8" s="3213"/>
      <c r="G8" s="3213"/>
      <c r="H8" s="3213"/>
      <c r="I8" s="17"/>
      <c r="J8" s="17"/>
      <c r="K8" s="17"/>
      <c r="L8" s="17"/>
      <c r="M8" s="17"/>
      <c r="N8" s="17"/>
      <c r="O8" s="17"/>
      <c r="P8" s="17"/>
      <c r="Q8" s="18"/>
      <c r="R8" s="67"/>
      <c r="S8" s="1710"/>
      <c r="T8" s="1497"/>
      <c r="U8" s="173"/>
      <c r="V8" s="1703"/>
      <c r="W8" s="3213"/>
      <c r="X8" s="3213"/>
      <c r="Y8" s="3213"/>
      <c r="Z8" s="3213"/>
      <c r="AA8" s="3213"/>
      <c r="AB8" s="3213"/>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30" t="s">
        <v>1824</v>
      </c>
      <c r="D10" s="3131"/>
      <c r="E10" s="3131"/>
      <c r="F10" s="3131"/>
      <c r="G10" s="3131"/>
      <c r="H10" s="3132"/>
      <c r="I10" s="67"/>
      <c r="R10" s="67"/>
      <c r="S10" s="1710"/>
      <c r="T10" s="1497"/>
      <c r="U10" s="173"/>
      <c r="V10" s="1703"/>
      <c r="W10" s="3458" t="s">
        <v>2006</v>
      </c>
      <c r="X10" s="3459"/>
      <c r="Y10" s="3459"/>
      <c r="Z10" s="3459"/>
      <c r="AA10" s="3459"/>
      <c r="AB10" s="3459"/>
      <c r="AC10" s="3461"/>
      <c r="AD10" s="3034"/>
      <c r="AE10" s="4239" t="s">
        <v>2007</v>
      </c>
      <c r="AF10" s="4240"/>
      <c r="AG10" s="4240"/>
      <c r="AH10" s="4240"/>
      <c r="AI10" s="4240"/>
      <c r="AJ10" s="4240"/>
      <c r="AK10" s="2200">
        <f>IF(Tablas!G543&gt;0,0,SUM(I15:I25))-COUNTA(Místicos!AG12:AJ50)</f>
        <v>0</v>
      </c>
      <c r="AL10" s="3028"/>
      <c r="AM10" s="173"/>
      <c r="AN10" s="1987"/>
      <c r="AP10" s="4107" t="s">
        <v>8428</v>
      </c>
      <c r="AQ10" s="4108"/>
      <c r="AR10" s="4109"/>
      <c r="AS10" s="4110" t="s">
        <v>8429</v>
      </c>
      <c r="AT10" s="4111"/>
      <c r="AU10" s="4112"/>
      <c r="AW10" s="2004"/>
      <c r="AX10" s="1706"/>
      <c r="AZ10" s="1707" t="s">
        <v>10089</v>
      </c>
    </row>
    <row r="11" spans="1:52" ht="12" customHeight="1" thickBot="1" x14ac:dyDescent="0.25">
      <c r="A11" s="173"/>
      <c r="B11" s="1703"/>
      <c r="C11" s="4204" t="s">
        <v>2008</v>
      </c>
      <c r="D11" s="4205"/>
      <c r="E11" s="4210" t="s">
        <v>2009</v>
      </c>
      <c r="F11" s="4211"/>
      <c r="G11" s="3191" t="s">
        <v>2010</v>
      </c>
      <c r="H11" s="4237"/>
      <c r="I11" s="67"/>
      <c r="J11" s="4164" t="s">
        <v>2005</v>
      </c>
      <c r="K11" s="4164"/>
      <c r="L11" s="4164"/>
      <c r="M11" s="4164"/>
      <c r="N11" s="67"/>
      <c r="O11" s="3172" t="s">
        <v>1823</v>
      </c>
      <c r="P11" s="3172"/>
      <c r="Q11" s="3172"/>
      <c r="R11" s="67"/>
      <c r="S11" s="1710"/>
      <c r="T11" s="1497"/>
      <c r="U11" s="173"/>
      <c r="V11" s="1703"/>
      <c r="W11" s="3217" t="s">
        <v>2014</v>
      </c>
      <c r="X11" s="3218"/>
      <c r="Y11" s="3218" t="s">
        <v>2013</v>
      </c>
      <c r="Z11" s="3218"/>
      <c r="AA11" s="3218"/>
      <c r="AB11" s="3218"/>
      <c r="AC11" s="2199" t="s">
        <v>1712</v>
      </c>
      <c r="AD11" s="1787" t="s">
        <v>8664</v>
      </c>
      <c r="AE11" s="3217" t="s">
        <v>2015</v>
      </c>
      <c r="AF11" s="3218"/>
      <c r="AG11" s="3218" t="s">
        <v>2013</v>
      </c>
      <c r="AH11" s="3218"/>
      <c r="AI11" s="3218"/>
      <c r="AJ11" s="3218"/>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#N/A</v>
      </c>
    </row>
    <row r="12" spans="1:52" ht="12" customHeight="1" thickBot="1" x14ac:dyDescent="0.25">
      <c r="A12" s="173"/>
      <c r="B12" s="1703"/>
      <c r="C12" s="4217">
        <f>NiveldeMagia_final</f>
        <v>0</v>
      </c>
      <c r="D12" s="4218"/>
      <c r="E12" s="4206">
        <f>SUM(G15:G26)+G12</f>
        <v>0</v>
      </c>
      <c r="F12" s="4207"/>
      <c r="G12" s="4221">
        <f>Metamagia!$T$37</f>
        <v>0</v>
      </c>
      <c r="H12" s="4222"/>
      <c r="I12" s="67"/>
      <c r="J12" s="4238" t="s">
        <v>2011</v>
      </c>
      <c r="K12" s="4238"/>
      <c r="L12" s="4242" t="s">
        <v>1821</v>
      </c>
      <c r="M12" s="4242"/>
      <c r="N12" s="67"/>
      <c r="O12" s="1824" t="s">
        <v>1702</v>
      </c>
      <c r="P12" s="218" t="s">
        <v>1880</v>
      </c>
      <c r="Q12" s="1825" t="s">
        <v>2012</v>
      </c>
      <c r="R12" s="67"/>
      <c r="S12" s="1710"/>
      <c r="T12" s="1497" t="str">
        <f>"Conjuros"&amp;IF(W12="","","_"&amp;W12)</f>
        <v>Conjuros</v>
      </c>
      <c r="U12" s="173"/>
      <c r="V12" s="1875">
        <f>IF(AC12="",0,VLOOKUP(AC12,Tablas!$M$1024:$N$1033,2))</f>
        <v>0</v>
      </c>
      <c r="W12" s="4173"/>
      <c r="X12" s="3719"/>
      <c r="Y12" s="4051"/>
      <c r="Z12" s="4051"/>
      <c r="AA12" s="4051"/>
      <c r="AB12" s="4051"/>
      <c r="AC12" s="2175" t="str">
        <f>IF(Místicos!Y12=0,"",VLOOKUP(Místicos!Y12,Tabla_Conjuros,3,FALSE))</f>
        <v/>
      </c>
      <c r="AD12" s="1885" t="str">
        <f t="shared" ref="AD12:AD50" si="0">AE12&amp;AK12</f>
        <v/>
      </c>
      <c r="AE12" s="4173"/>
      <c r="AF12" s="3719"/>
      <c r="AG12" s="4051"/>
      <c r="AH12" s="4051"/>
      <c r="AI12" s="4051"/>
      <c r="AJ12" s="4051"/>
      <c r="AK12" s="2173"/>
      <c r="AL12" s="3035">
        <f>IF(Místicos!AG12=0,0,VLOOKUP(Místicos!AG12,Tabla_Conjuros,3,FALSE)-10)</f>
        <v>0</v>
      </c>
      <c r="AM12" s="173"/>
      <c r="AN12" s="1987"/>
      <c r="AO12" s="4104" t="s">
        <v>8469</v>
      </c>
      <c r="AP12" s="4105"/>
      <c r="AQ12" s="4105"/>
      <c r="AR12" s="4105"/>
      <c r="AS12" s="4105"/>
      <c r="AT12" s="4105"/>
      <c r="AU12" s="4105"/>
      <c r="AV12" s="4106"/>
      <c r="AW12" s="2005">
        <f>IF(AP12=0,0,VLOOKUP(AP12,Tablas!#REF!,2,FALSE)-10)</f>
        <v>0</v>
      </c>
      <c r="AX12" s="1706"/>
      <c r="AY12" s="1885">
        <f>IF(AC12="",0,VLOOKUP(AC12,Tablas!$M$1024:$N$1033,2)*VLOOKUP(W12,Tabla_CosteConjuros,3))</f>
        <v>0</v>
      </c>
    </row>
    <row r="13" spans="1:52" ht="12" customHeight="1" thickBot="1" x14ac:dyDescent="0.25">
      <c r="A13" s="173"/>
      <c r="B13" s="1703"/>
      <c r="C13" s="4219"/>
      <c r="D13" s="4220"/>
      <c r="E13" s="4208"/>
      <c r="F13" s="4209"/>
      <c r="G13" s="4221"/>
      <c r="H13" s="4222"/>
      <c r="I13" s="67"/>
      <c r="J13" s="422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3"/>
      <c r="L13" s="4224">
        <f>ACT_final+L21</f>
        <v>0</v>
      </c>
      <c r="M13" s="4224"/>
      <c r="N13" s="67"/>
      <c r="O13" s="4225">
        <f>Turno_Nat_final</f>
        <v>40</v>
      </c>
      <c r="P13" s="4226">
        <f>IF(OR(PDs!E99="Proyección Mágica como ataque",PDs!E100="Proyección Mágica como ataque"),PDs!V22+ProyecciónMágica_final-PDs!V93,ProyecciónMágica_final+Q15)</f>
        <v>0</v>
      </c>
      <c r="Q13" s="4195">
        <f>IF(OR(PDs!E99="Proyección Mágica como defensa",PDs!E100="Proyección Mágica como defensa"),MAX(PDs!V23,PDs!V24)+ProyecciónMágica_final-PDs!V93,ProyecciónMágica_final-Q15)</f>
        <v>0</v>
      </c>
      <c r="R13" s="67"/>
      <c r="S13" s="1710"/>
      <c r="T13" s="1497" t="str">
        <f t="shared" ref="T13:T50" si="1">"Conjuros"&amp;IF(W13="","","_"&amp;W13)</f>
        <v>Conjuros</v>
      </c>
      <c r="U13" s="173"/>
      <c r="V13" s="1875">
        <f>IF(AC13="",0,VLOOKUP(AC13,Tablas!$M$1024:$N$1033,2))</f>
        <v>0</v>
      </c>
      <c r="W13" s="4174"/>
      <c r="X13" s="3722"/>
      <c r="Y13" s="4050"/>
      <c r="Z13" s="4050"/>
      <c r="AA13" s="4050"/>
      <c r="AB13" s="4050"/>
      <c r="AC13" s="1628" t="str">
        <f>IF(Místicos!Y13=0,"",VLOOKUP(Místicos!Y13,Tabla_Conjuros,3,FALSE))</f>
        <v/>
      </c>
      <c r="AD13" s="1885" t="str">
        <f t="shared" si="0"/>
        <v/>
      </c>
      <c r="AE13" s="4174"/>
      <c r="AF13" s="3722"/>
      <c r="AG13" s="4050"/>
      <c r="AH13" s="4050"/>
      <c r="AI13" s="4050"/>
      <c r="AJ13" s="4050"/>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231" t="s">
        <v>2014</v>
      </c>
      <c r="D14" s="4232"/>
      <c r="E14" s="4233" t="s">
        <v>2016</v>
      </c>
      <c r="F14" s="4234"/>
      <c r="G14" s="1887" t="s">
        <v>2017</v>
      </c>
      <c r="H14" s="1864" t="s">
        <v>1712</v>
      </c>
      <c r="I14" s="67"/>
      <c r="J14" s="4223"/>
      <c r="K14" s="4223"/>
      <c r="L14" s="4224"/>
      <c r="M14" s="4224"/>
      <c r="N14" s="67"/>
      <c r="O14" s="4225"/>
      <c r="P14" s="4226"/>
      <c r="Q14" s="4195"/>
      <c r="R14" s="67"/>
      <c r="S14" s="1710"/>
      <c r="T14" s="1497" t="str">
        <f t="shared" si="1"/>
        <v>Conjuros</v>
      </c>
      <c r="U14" s="173"/>
      <c r="V14" s="1875">
        <f>IF(AC14="",0,VLOOKUP(AC14,Tablas!$M$1024:$N$1033,2))</f>
        <v>0</v>
      </c>
      <c r="W14" s="4173"/>
      <c r="X14" s="3719"/>
      <c r="Y14" s="4051"/>
      <c r="Z14" s="4051"/>
      <c r="AA14" s="4051"/>
      <c r="AB14" s="4051"/>
      <c r="AC14" s="2175" t="str">
        <f>IF(Místicos!Y14=0,"",VLOOKUP(Místicos!Y14,Tabla_Conjuros,3,FALSE))</f>
        <v/>
      </c>
      <c r="AD14" s="1885" t="str">
        <f t="shared" si="0"/>
        <v/>
      </c>
      <c r="AE14" s="4173"/>
      <c r="AF14" s="3719"/>
      <c r="AG14" s="4051"/>
      <c r="AH14" s="4051"/>
      <c r="AI14" s="4051"/>
      <c r="AJ14" s="4051"/>
      <c r="AK14" s="2173"/>
      <c r="AL14" s="3035">
        <f>IF(Místicos!AG14=0,0,VLOOKUP(Místicos!AG14,Tablas!#REF!,2,FALSE)-10)</f>
        <v>0</v>
      </c>
      <c r="AM14" s="173"/>
      <c r="AN14" s="1987"/>
      <c r="AO14" s="4071" t="s">
        <v>8461</v>
      </c>
      <c r="AP14" s="4072"/>
      <c r="AQ14" s="4072"/>
      <c r="AR14" s="4121" t="s">
        <v>8486</v>
      </c>
      <c r="AS14" s="4072"/>
      <c r="AT14" s="4072"/>
      <c r="AU14" s="4072"/>
      <c r="AV14" s="4073"/>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227" t="s">
        <v>2019</v>
      </c>
      <c r="D15" s="4228"/>
      <c r="E15" s="4229"/>
      <c r="F15" s="4230"/>
      <c r="G15" s="221"/>
      <c r="H15" s="1865">
        <f>ROUNDUP(G15/Tablas!K1037,0)+40*Tablas!G403+Tablas!J1273</f>
        <v>0</v>
      </c>
      <c r="I15" s="219">
        <f>IF(H15&gt;3,VLOOKUP(H15,Tabla_NumeroConjurosLA,2)-IF(Místicos!E15=0,0,VLOOKUP(H15,Tabla_NumeroConjurosLA,2)),0)</f>
        <v>0</v>
      </c>
      <c r="J15" s="425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2"/>
      <c r="L15" s="4252"/>
      <c r="M15" s="4252"/>
      <c r="N15" s="67"/>
      <c r="O15" s="4253" t="s">
        <v>2018</v>
      </c>
      <c r="P15" s="4253"/>
      <c r="Q15" s="215"/>
      <c r="R15" s="67"/>
      <c r="S15" s="1710"/>
      <c r="T15" s="1497" t="str">
        <f t="shared" si="1"/>
        <v>Conjuros</v>
      </c>
      <c r="U15" s="173"/>
      <c r="V15" s="1875">
        <f>IF(AC15="",0,VLOOKUP(AC15,Tablas!$M$1024:$N$1033,2))</f>
        <v>0</v>
      </c>
      <c r="W15" s="4174"/>
      <c r="X15" s="3722"/>
      <c r="Y15" s="4050"/>
      <c r="Z15" s="4050"/>
      <c r="AA15" s="4050"/>
      <c r="AB15" s="4050"/>
      <c r="AC15" s="1628" t="str">
        <f>IF(Místicos!Y15=0,"",VLOOKUP(Místicos!Y15,Tabla_Conjuros,3,FALSE))</f>
        <v/>
      </c>
      <c r="AD15" s="1885" t="str">
        <f t="shared" si="0"/>
        <v/>
      </c>
      <c r="AE15" s="4174"/>
      <c r="AF15" s="3722"/>
      <c r="AG15" s="4050"/>
      <c r="AH15" s="4050"/>
      <c r="AI15" s="4050"/>
      <c r="AJ15" s="4050"/>
      <c r="AK15" s="2201"/>
      <c r="AL15" s="3035">
        <f>IF(Místicos!AG15=0,0,VLOOKUP(Místicos!AG15,Tablas!#REF!,2,FALSE)-10)</f>
        <v>0</v>
      </c>
      <c r="AM15" s="173"/>
      <c r="AN15" s="1987"/>
      <c r="AO15" s="1959" t="s">
        <v>1712</v>
      </c>
      <c r="AP15" s="4118" t="s">
        <v>8432</v>
      </c>
      <c r="AQ15" s="4118"/>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4196" t="s">
        <v>2020</v>
      </c>
      <c r="D16" s="4197"/>
      <c r="E16" s="4198"/>
      <c r="F16" s="4199"/>
      <c r="G16" s="1866"/>
      <c r="H16" s="1867">
        <f>ROUNDUP(G16/Tablas!K1038,0)+40*Tablas!G404+Tablas!J1274</f>
        <v>0</v>
      </c>
      <c r="I16" s="219">
        <f>IF(H16&gt;3,VLOOKUP(H16,Tabla_NumeroConjurosLA,2)-IF(Místicos!E16=0,0,VLOOKUP(H16,Tabla_NumeroConjurosLA,2)),0)</f>
        <v>0</v>
      </c>
      <c r="J16" s="67"/>
      <c r="K16" s="67"/>
      <c r="L16" s="67"/>
      <c r="M16" s="67"/>
      <c r="N16" s="67"/>
      <c r="O16" s="67"/>
      <c r="P16" s="67"/>
      <c r="Q16" s="67"/>
      <c r="R16" s="67"/>
      <c r="S16" s="1710"/>
      <c r="T16" s="1497" t="str">
        <f t="shared" si="1"/>
        <v>Conjuros</v>
      </c>
      <c r="U16" s="173"/>
      <c r="V16" s="1875">
        <f>IF(AC16="",0,VLOOKUP(AC16,Tablas!$M$1024:$N$1033,2))</f>
        <v>0</v>
      </c>
      <c r="W16" s="4173"/>
      <c r="X16" s="3719"/>
      <c r="Y16" s="4051"/>
      <c r="Z16" s="4051"/>
      <c r="AA16" s="4051"/>
      <c r="AB16" s="4051"/>
      <c r="AC16" s="2175" t="str">
        <f>IF(Místicos!Y16=0,"",VLOOKUP(Místicos!Y16,Tabla_Conjuros,3,FALSE))</f>
        <v/>
      </c>
      <c r="AD16" s="1885" t="str">
        <f t="shared" si="0"/>
        <v/>
      </c>
      <c r="AE16" s="4173"/>
      <c r="AF16" s="3719"/>
      <c r="AG16" s="4051"/>
      <c r="AH16" s="4051"/>
      <c r="AI16" s="4051"/>
      <c r="AJ16" s="4051"/>
      <c r="AK16" s="2173"/>
      <c r="AL16" s="3035">
        <f>IF(Místicos!AG16=0,0,VLOOKUP(Místicos!AG16,Tablas!#REF!,2,FALSE)-10)</f>
        <v>0</v>
      </c>
      <c r="AM16" s="173"/>
      <c r="AN16" s="1987"/>
      <c r="AO16" s="1974">
        <v>1</v>
      </c>
      <c r="AP16" s="4053">
        <f>VLOOKUP(AO16,Tabla_MagiaNatural_DifBase,2,FALSE)+IF(NOT($AS$10="Magia Natural"),4,0)+IF($AR$32="",0,IF(ISNUMBER(SEARCH("(",$AR$32)),-4,-2))</f>
        <v>18</v>
      </c>
      <c r="AQ16" s="4053"/>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200" t="s">
        <v>1929</v>
      </c>
      <c r="D17" s="4201"/>
      <c r="E17" s="4202"/>
      <c r="F17" s="4203"/>
      <c r="G17" s="1868"/>
      <c r="H17" s="1865">
        <f>ROUNDUP(G17/Tablas!K1039,0)+40*Tablas!G405+Tablas!J1275</f>
        <v>0</v>
      </c>
      <c r="I17" s="219">
        <f>IF(H17&gt;3,VLOOKUP(H17,Tabla_NumeroConjurosLA,3)-IF(Místicos!E17=0,0,VLOOKUP(H17,Tabla_NumeroConjurosLA,2)),0)</f>
        <v>0</v>
      </c>
      <c r="J17" s="4212" t="s">
        <v>1820</v>
      </c>
      <c r="K17" s="4213"/>
      <c r="L17" s="4213"/>
      <c r="M17" s="4214"/>
      <c r="N17" s="4215" t="s">
        <v>2021</v>
      </c>
      <c r="O17" s="4216"/>
      <c r="P17" s="4216"/>
      <c r="Q17" s="222">
        <f>VLOOKUP($L$13,Tabla_MagiaInnata,2)</f>
        <v>0</v>
      </c>
      <c r="R17" s="67"/>
      <c r="S17" s="1710"/>
      <c r="T17" s="1497" t="str">
        <f t="shared" si="1"/>
        <v>Conjuros</v>
      </c>
      <c r="U17" s="173"/>
      <c r="V17" s="1875">
        <f>IF(AC17="",0,VLOOKUP(AC17,Tablas!$M$1024:$N$1033,2))</f>
        <v>0</v>
      </c>
      <c r="W17" s="4174"/>
      <c r="X17" s="3722"/>
      <c r="Y17" s="4050"/>
      <c r="Z17" s="4050"/>
      <c r="AA17" s="4050"/>
      <c r="AB17" s="4050"/>
      <c r="AC17" s="1628" t="str">
        <f>IF(Místicos!Y17=0,"",VLOOKUP(Místicos!Y17,Tabla_Conjuros,3,FALSE))</f>
        <v/>
      </c>
      <c r="AD17" s="1885" t="str">
        <f t="shared" si="0"/>
        <v/>
      </c>
      <c r="AE17" s="4174"/>
      <c r="AF17" s="3722"/>
      <c r="AG17" s="4050"/>
      <c r="AH17" s="4050"/>
      <c r="AI17" s="4050"/>
      <c r="AJ17" s="4050"/>
      <c r="AK17" s="2201"/>
      <c r="AL17" s="3035">
        <f>IF(Místicos!AG17=0,0,VLOOKUP(Místicos!AG17,Tablas!#REF!,2,FALSE)-10)</f>
        <v>0</v>
      </c>
      <c r="AM17" s="173"/>
      <c r="AN17" s="1987"/>
      <c r="AO17" s="1974">
        <v>2</v>
      </c>
      <c r="AP17" s="4053">
        <f>VLOOKUP(AO17,Tabla_MagiaNatural_DifBase,2,FALSE)+IF(NOT($AS$10="Magia Natural"),4,0)+IF($AR$32="",0,IF(ISNUMBER(SEARCH("(",$AR$32)),-4,-2))</f>
        <v>22</v>
      </c>
      <c r="AQ17" s="4053"/>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4196" t="s">
        <v>1925</v>
      </c>
      <c r="D18" s="4197"/>
      <c r="E18" s="4198"/>
      <c r="F18" s="4199"/>
      <c r="G18" s="1866"/>
      <c r="H18" s="1867">
        <f>ROUNDUP(G18/Tablas!K1040,0)+40*Tablas!G406+Tablas!J1276</f>
        <v>0</v>
      </c>
      <c r="I18" s="219">
        <f>IF(H18&gt;3,VLOOKUP(H18,Tabla_NumeroConjurosLA,3)-IF(Místicos!E18=0,0,VLOOKUP(H18,Tabla_NumeroConjurosLA,2)),0)</f>
        <v>0</v>
      </c>
      <c r="J18" s="4235" t="s">
        <v>2022</v>
      </c>
      <c r="K18" s="4236">
        <f>Zeón_final+L20-IF(AS10="Onmyodo",SUM($AV$62:$AV$72),0)</f>
        <v>0</v>
      </c>
      <c r="L18" s="4236"/>
      <c r="M18" s="4243"/>
      <c r="N18" s="4244"/>
      <c r="O18" s="4244"/>
      <c r="P18" s="4244"/>
      <c r="Q18" s="4245"/>
      <c r="R18" s="67"/>
      <c r="S18" s="1710"/>
      <c r="T18" s="1497" t="str">
        <f t="shared" si="1"/>
        <v>Conjuros</v>
      </c>
      <c r="U18" s="173"/>
      <c r="V18" s="1875">
        <f>IF(AC18="",0,VLOOKUP(AC18,Tablas!$M$1024:$N$1033,2))</f>
        <v>0</v>
      </c>
      <c r="W18" s="4173"/>
      <c r="X18" s="3719"/>
      <c r="Y18" s="4051"/>
      <c r="Z18" s="4051"/>
      <c r="AA18" s="4051"/>
      <c r="AB18" s="4051"/>
      <c r="AC18" s="2175" t="str">
        <f>IF(Místicos!Y18=0,"",VLOOKUP(Místicos!Y18,Tabla_Conjuros,3,FALSE))</f>
        <v/>
      </c>
      <c r="AD18" s="1885" t="str">
        <f t="shared" si="0"/>
        <v/>
      </c>
      <c r="AE18" s="4173"/>
      <c r="AF18" s="3719"/>
      <c r="AG18" s="4051"/>
      <c r="AH18" s="4051"/>
      <c r="AI18" s="4051"/>
      <c r="AJ18" s="4051"/>
      <c r="AK18" s="2173"/>
      <c r="AL18" s="3035">
        <f>IF(Místicos!AG18=0,0,VLOOKUP(Místicos!AG18,Tablas!#REF!,2,FALSE)-10)</f>
        <v>0</v>
      </c>
      <c r="AM18" s="173"/>
      <c r="AN18" s="1987"/>
      <c r="AO18" s="1974">
        <v>3</v>
      </c>
      <c r="AP18" s="4053">
        <f>VLOOKUP(AO18,Tabla_MagiaNatural_DifBase,2,FALSE)+IF(NOT($AS$10="Magia Natural"),4,0)+IF($AR$32="",0,IF(ISNUMBER(SEARCH("(",$AR$32)),-4,-2))</f>
        <v>28</v>
      </c>
      <c r="AQ18" s="4053"/>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200" t="s">
        <v>1922</v>
      </c>
      <c r="D19" s="4201"/>
      <c r="E19" s="4202"/>
      <c r="F19" s="4203"/>
      <c r="G19" s="1868"/>
      <c r="H19" s="1865">
        <f>ROUNDUP(G19/Tablas!K1041,0)+40*Tablas!G407+Tablas!J1277</f>
        <v>0</v>
      </c>
      <c r="I19" s="219">
        <f>IF(H19&gt;3,VLOOKUP(H19,Tabla_NumeroConjurosLA,3)-IF(Místicos!E19=0,0,VLOOKUP(H19,Tabla_NumeroConjurosLA,2)),0)</f>
        <v>0</v>
      </c>
      <c r="J19" s="4235"/>
      <c r="K19" s="4236"/>
      <c r="L19" s="4236"/>
      <c r="M19" s="4246"/>
      <c r="N19" s="4247"/>
      <c r="O19" s="4247"/>
      <c r="P19" s="4247"/>
      <c r="Q19" s="4248"/>
      <c r="R19" s="67"/>
      <c r="S19" s="1710"/>
      <c r="T19" s="1497" t="str">
        <f t="shared" si="1"/>
        <v>Conjuros</v>
      </c>
      <c r="U19" s="173"/>
      <c r="V19" s="1875">
        <f>IF(AC19="",0,VLOOKUP(AC19,Tablas!$M$1024:$N$1033,2))</f>
        <v>0</v>
      </c>
      <c r="W19" s="4174"/>
      <c r="X19" s="3722"/>
      <c r="Y19" s="4050"/>
      <c r="Z19" s="4050"/>
      <c r="AA19" s="4050"/>
      <c r="AB19" s="4050"/>
      <c r="AC19" s="1628" t="str">
        <f>IF(Místicos!Y19=0,"",VLOOKUP(Místicos!Y19,Tabla_Conjuros,3,FALSE))</f>
        <v/>
      </c>
      <c r="AD19" s="1885" t="str">
        <f t="shared" si="0"/>
        <v/>
      </c>
      <c r="AE19" s="4174"/>
      <c r="AF19" s="3722"/>
      <c r="AG19" s="4050"/>
      <c r="AH19" s="4050"/>
      <c r="AI19" s="4050"/>
      <c r="AJ19" s="4050"/>
      <c r="AK19" s="2201"/>
      <c r="AL19" s="3035">
        <f>IF(Místicos!AG19=0,0,VLOOKUP(Místicos!AG19,Tablas!#REF!,2,FALSE)-10)</f>
        <v>0</v>
      </c>
      <c r="AM19" s="173"/>
      <c r="AN19" s="1987"/>
      <c r="AO19" s="1974">
        <v>4</v>
      </c>
      <c r="AP19" s="4053">
        <f>VLOOKUP(AO19,Tabla_MagiaNatural_DifBase,2,FALSE)+IF(NOT($AS$10="Magia Natural"),4,0)+IF($AR$32="",0,IF(ISNUMBER(SEARCH("(",$AR$32)),-4,-2))</f>
        <v>34</v>
      </c>
      <c r="AQ19" s="4053"/>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4196" t="s">
        <v>2024</v>
      </c>
      <c r="D20" s="4197"/>
      <c r="E20" s="4198"/>
      <c r="F20" s="4199"/>
      <c r="G20" s="1866"/>
      <c r="H20" s="1867">
        <f>ROUNDUP(G20/Tablas!K1042,0)+40*Tablas!G408+Tablas!J1278</f>
        <v>0</v>
      </c>
      <c r="I20" s="219">
        <f>IF(H20&gt;3,VLOOKUP(H20,Tabla_NumeroConjurosLA,3)-IF(Místicos!E20=0,0,VLOOKUP(H20,Tabla_NumeroConjurosLA,2)),0)</f>
        <v>0</v>
      </c>
      <c r="J20" s="4257" t="s">
        <v>2023</v>
      </c>
      <c r="K20" s="4257"/>
      <c r="L20" s="223"/>
      <c r="M20" s="4246"/>
      <c r="N20" s="4247"/>
      <c r="O20" s="4247"/>
      <c r="P20" s="4247"/>
      <c r="Q20" s="4248"/>
      <c r="R20" s="67"/>
      <c r="S20" s="1710"/>
      <c r="T20" s="1497" t="str">
        <f t="shared" si="1"/>
        <v>Conjuros</v>
      </c>
      <c r="U20" s="173"/>
      <c r="V20" s="1875">
        <f>IF(AC20="",0,VLOOKUP(AC20,Tablas!$M$1024:$N$1033,2))</f>
        <v>0</v>
      </c>
      <c r="W20" s="4173"/>
      <c r="X20" s="3719"/>
      <c r="Y20" s="4051"/>
      <c r="Z20" s="4051"/>
      <c r="AA20" s="4051"/>
      <c r="AB20" s="4051"/>
      <c r="AC20" s="2175" t="str">
        <f>IF(Místicos!Y20=0,"",VLOOKUP(Místicos!Y20,Tabla_Conjuros,3,FALSE))</f>
        <v/>
      </c>
      <c r="AD20" s="1885" t="str">
        <f t="shared" si="0"/>
        <v/>
      </c>
      <c r="AE20" s="4173"/>
      <c r="AF20" s="3719"/>
      <c r="AG20" s="4051"/>
      <c r="AH20" s="4051"/>
      <c r="AI20" s="4051"/>
      <c r="AJ20" s="4051"/>
      <c r="AK20" s="2173"/>
      <c r="AL20" s="3035">
        <f>IF(Místicos!AG20=0,0,VLOOKUP(Místicos!AG20,Tablas!#REF!,2,FALSE)-10)</f>
        <v>0</v>
      </c>
      <c r="AM20" s="173"/>
      <c r="AN20" s="1987"/>
      <c r="AO20" s="1976">
        <v>5</v>
      </c>
      <c r="AP20" s="4054">
        <f>VLOOKUP(AO20,Tabla_MagiaNatural_DifBase,2,FALSE)+IF(NOT($AS$10="Magia Natural"),4,0)+IF($AR$32="",0,IF(ISNUMBER(SEARCH("(",$AR$32)),-4,-2))</f>
        <v>40</v>
      </c>
      <c r="AQ20" s="4054"/>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200" t="s">
        <v>2026</v>
      </c>
      <c r="D21" s="4201"/>
      <c r="E21" s="4202"/>
      <c r="F21" s="4203"/>
      <c r="G21" s="1868"/>
      <c r="H21" s="1865">
        <f>ROUNDUP(G21/Tablas!K1043,0)+40*Tablas!G409+Tablas!J1279</f>
        <v>0</v>
      </c>
      <c r="I21" s="219">
        <f>IF(H21&gt;3,VLOOKUP(H21,Tabla_NumeroConjurosLA,2)-IF(Místicos!E21=0,0,VLOOKUP(H21,Tabla_NumeroConjurosLA,2)),0)</f>
        <v>0</v>
      </c>
      <c r="J21" s="4258" t="s">
        <v>2025</v>
      </c>
      <c r="K21" s="4258"/>
      <c r="L21" s="224"/>
      <c r="M21" s="4249"/>
      <c r="N21" s="4250"/>
      <c r="O21" s="4250"/>
      <c r="P21" s="4250"/>
      <c r="Q21" s="4251"/>
      <c r="R21" s="67"/>
      <c r="S21" s="1710"/>
      <c r="T21" s="1497" t="str">
        <f t="shared" si="1"/>
        <v>Conjuros</v>
      </c>
      <c r="U21" s="173"/>
      <c r="V21" s="1875">
        <f>IF(AC21="",0,VLOOKUP(AC21,Tablas!$M$1024:$N$1033,2))</f>
        <v>0</v>
      </c>
      <c r="W21" s="4174"/>
      <c r="X21" s="3722"/>
      <c r="Y21" s="4050"/>
      <c r="Z21" s="4050"/>
      <c r="AA21" s="4050"/>
      <c r="AB21" s="4050"/>
      <c r="AC21" s="1628" t="str">
        <f>IF(Místicos!Y21=0,"",VLOOKUP(Místicos!Y21,Tabla_Conjuros,3,FALSE))</f>
        <v/>
      </c>
      <c r="AD21" s="1885" t="str">
        <f t="shared" si="0"/>
        <v/>
      </c>
      <c r="AE21" s="4174"/>
      <c r="AF21" s="3722"/>
      <c r="AG21" s="4050"/>
      <c r="AH21" s="4050"/>
      <c r="AI21" s="4050"/>
      <c r="AJ21" s="4050"/>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4196" t="s">
        <v>2027</v>
      </c>
      <c r="D22" s="4197"/>
      <c r="E22" s="4198"/>
      <c r="F22" s="4199"/>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173"/>
      <c r="X22" s="3719"/>
      <c r="Y22" s="4051"/>
      <c r="Z22" s="4051"/>
      <c r="AA22" s="4051"/>
      <c r="AB22" s="4051"/>
      <c r="AC22" s="2175" t="str">
        <f>IF(Místicos!Y22=0,"",VLOOKUP(Místicos!Y22,Tabla_Conjuros,3,FALSE))</f>
        <v/>
      </c>
      <c r="AD22" s="1885" t="str">
        <f t="shared" si="0"/>
        <v/>
      </c>
      <c r="AE22" s="4173"/>
      <c r="AF22" s="3719"/>
      <c r="AG22" s="4051"/>
      <c r="AH22" s="4051"/>
      <c r="AI22" s="4051"/>
      <c r="AJ22" s="4051"/>
      <c r="AK22" s="2173"/>
      <c r="AL22" s="3035">
        <f>IF(Místicos!AG22=0,0,VLOOKUP(Místicos!AG22,Tablas!#REF!,2,FALSE)-10)</f>
        <v>0</v>
      </c>
      <c r="AM22" s="173"/>
      <c r="AN22" s="1987"/>
      <c r="AO22" s="4122" t="s">
        <v>8482</v>
      </c>
      <c r="AP22" s="4123"/>
      <c r="AQ22" s="4123"/>
      <c r="AR22" s="4123"/>
      <c r="AS22" s="4123"/>
      <c r="AT22" s="4123"/>
      <c r="AU22" s="4123"/>
      <c r="AV22" s="4124"/>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200" t="s">
        <v>2029</v>
      </c>
      <c r="D23" s="4201"/>
      <c r="E23" s="4202"/>
      <c r="F23" s="4203"/>
      <c r="G23" s="1868"/>
      <c r="H23" s="1865">
        <f>ROUNDUP(G23/Tablas!K1045,0)+40*Tablas!G411+Tablas!J1281</f>
        <v>0</v>
      </c>
      <c r="I23" s="219">
        <f>IF(H23&gt;3,VLOOKUP(H23,Tabla_NumeroConjurosLA,3)-IF(Místicos!E23=0,0,VLOOKUP(H23,Tabla_NumeroConjurosLA,2)),0)</f>
        <v>0</v>
      </c>
      <c r="J23" s="3172" t="s">
        <v>2028</v>
      </c>
      <c r="K23" s="3172"/>
      <c r="L23" s="3172"/>
      <c r="M23" s="3172"/>
      <c r="N23" s="3172"/>
      <c r="O23" s="3172"/>
      <c r="P23" s="3172"/>
      <c r="Q23" s="3172"/>
      <c r="R23" s="67"/>
      <c r="S23" s="1710"/>
      <c r="T23" s="1497" t="str">
        <f t="shared" si="1"/>
        <v>Conjuros</v>
      </c>
      <c r="U23" s="173"/>
      <c r="V23" s="1875">
        <f>IF(AC23="",0,VLOOKUP(AC23,Tablas!$M$1024:$N$1033,2))</f>
        <v>0</v>
      </c>
      <c r="W23" s="4174"/>
      <c r="X23" s="3722"/>
      <c r="Y23" s="4050"/>
      <c r="Z23" s="4050"/>
      <c r="AA23" s="4050"/>
      <c r="AB23" s="4050"/>
      <c r="AC23" s="1628" t="str">
        <f>IF(Místicos!Y23=0,"",VLOOKUP(Místicos!Y23,Tabla_Conjuros,3,FALSE))</f>
        <v/>
      </c>
      <c r="AD23" s="1885" t="str">
        <f t="shared" si="0"/>
        <v/>
      </c>
      <c r="AE23" s="4174"/>
      <c r="AF23" s="3722"/>
      <c r="AG23" s="4050"/>
      <c r="AH23" s="4050"/>
      <c r="AI23" s="4050"/>
      <c r="AJ23" s="4050"/>
      <c r="AK23" s="2201"/>
      <c r="AL23" s="3035">
        <f>IF(Místicos!AG23=0,0,VLOOKUP(Místicos!AG23,Tablas!#REF!,2,FALSE)-10)</f>
        <v>0</v>
      </c>
      <c r="AM23" s="173"/>
      <c r="AN23" s="1987"/>
      <c r="AO23" s="4117" t="s">
        <v>8433</v>
      </c>
      <c r="AP23" s="4118"/>
      <c r="AQ23" s="1894" t="s">
        <v>8483</v>
      </c>
      <c r="AR23" s="4118" t="s">
        <v>8435</v>
      </c>
      <c r="AS23" s="4118"/>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4196" t="s">
        <v>2031</v>
      </c>
      <c r="D24" s="4197"/>
      <c r="E24" s="4198"/>
      <c r="F24" s="4199"/>
      <c r="G24" s="1866"/>
      <c r="H24" s="1867">
        <f>ROUNDUP(G24/Tablas!K1046,0)+40*Tablas!G412+Tablas!J1282</f>
        <v>0</v>
      </c>
      <c r="I24" s="219">
        <f>IF(H24&gt;3,VLOOKUP(H24,Tabla_NumeroConjurosLA,3)-IF(Místicos!E24=0,0,VLOOKUP(H24,Tabla_NumeroConjurosLA,2)),0)</f>
        <v>0</v>
      </c>
      <c r="J24" s="3302" t="s">
        <v>1684</v>
      </c>
      <c r="K24" s="3302"/>
      <c r="L24" s="1874" t="s">
        <v>1728</v>
      </c>
      <c r="M24" s="226" t="s">
        <v>1658</v>
      </c>
      <c r="N24" s="4260" t="s">
        <v>2030</v>
      </c>
      <c r="O24" s="4260"/>
      <c r="P24" s="4260"/>
      <c r="Q24" s="227" t="str">
        <f>IF(P25="Invocador","No","Nv. "&amp;PDs!R15+Tablas!G388+2*Tablas!G389+3*Tablas!G390)</f>
        <v>Nv. 0</v>
      </c>
      <c r="R24" s="67"/>
      <c r="S24" s="1710"/>
      <c r="T24" s="1497" t="str">
        <f t="shared" si="1"/>
        <v>Conjuros</v>
      </c>
      <c r="U24" s="173"/>
      <c r="V24" s="1875">
        <f>IF(AC24="",0,VLOOKUP(AC24,Tablas!$M$1024:$N$1033,2))</f>
        <v>0</v>
      </c>
      <c r="W24" s="4173"/>
      <c r="X24" s="3719"/>
      <c r="Y24" s="4051"/>
      <c r="Z24" s="4051"/>
      <c r="AA24" s="4051"/>
      <c r="AB24" s="4051"/>
      <c r="AC24" s="2175" t="str">
        <f>IF(Místicos!Y24=0,"",VLOOKUP(Místicos!Y24,Tabla_Conjuros,3,FALSE))</f>
        <v/>
      </c>
      <c r="AD24" s="1885" t="str">
        <f t="shared" si="0"/>
        <v/>
      </c>
      <c r="AE24" s="4173"/>
      <c r="AF24" s="3719"/>
      <c r="AG24" s="4051"/>
      <c r="AH24" s="4051"/>
      <c r="AI24" s="4051"/>
      <c r="AJ24" s="4051"/>
      <c r="AK24" s="2173"/>
      <c r="AL24" s="3035">
        <f>IF(Místicos!AG24=0,0,VLOOKUP(Místicos!AG24,Tablas!#REF!,2,FALSE)-10)</f>
        <v>0</v>
      </c>
      <c r="AM24" s="173"/>
      <c r="AN24" s="1987"/>
      <c r="AO24" s="4119" t="s">
        <v>8434</v>
      </c>
      <c r="AP24" s="4120"/>
      <c r="AQ24" s="1971" t="s">
        <v>8452</v>
      </c>
      <c r="AR24" s="4119" t="s">
        <v>8436</v>
      </c>
      <c r="AS24" s="4120"/>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4266" t="s">
        <v>2033</v>
      </c>
      <c r="D25" s="4267"/>
      <c r="E25" s="4268"/>
      <c r="F25" s="4269"/>
      <c r="G25" s="229"/>
      <c r="H25" s="1869">
        <f>ROUNDUP(G25/Tablas!K1047,0)+40*Tablas!G413+Tablas!J1283</f>
        <v>0</v>
      </c>
      <c r="I25" s="219">
        <f>IF(H25&gt;3,VLOOKUP(H25,Tabla_NumeroConjurosLA,2)-IF(Místicos!E25=0,0,VLOOKUP(H25,Tabla_NumeroConjurosLA,2)),0)</f>
        <v>0</v>
      </c>
      <c r="J25" s="4259" t="s">
        <v>1826</v>
      </c>
      <c r="K25" s="4259"/>
      <c r="L25" s="187"/>
      <c r="M25" s="228">
        <f>Convocar_final+L25</f>
        <v>0</v>
      </c>
      <c r="N25" s="3781" t="s">
        <v>2032</v>
      </c>
      <c r="O25" s="3781"/>
      <c r="P25" s="3327"/>
      <c r="Q25" s="3327"/>
      <c r="R25" s="67"/>
      <c r="S25" s="1710"/>
      <c r="T25" s="1497" t="str">
        <f t="shared" si="1"/>
        <v>Conjuros</v>
      </c>
      <c r="U25" s="173"/>
      <c r="V25" s="1875">
        <f>IF(AC25="",0,VLOOKUP(AC25,Tablas!$M$1024:$N$1033,2))</f>
        <v>0</v>
      </c>
      <c r="W25" s="4174"/>
      <c r="X25" s="3722"/>
      <c r="Y25" s="4050"/>
      <c r="Z25" s="4050"/>
      <c r="AA25" s="4050"/>
      <c r="AB25" s="4050"/>
      <c r="AC25" s="1628" t="str">
        <f>IF(Místicos!Y25=0,"",VLOOKUP(Místicos!Y25,Tabla_Conjuros,3,FALSE))</f>
        <v/>
      </c>
      <c r="AD25" s="1885" t="str">
        <f t="shared" si="0"/>
        <v/>
      </c>
      <c r="AE25" s="4174"/>
      <c r="AF25" s="3722"/>
      <c r="AG25" s="4050"/>
      <c r="AH25" s="4050"/>
      <c r="AI25" s="4050"/>
      <c r="AJ25" s="4050"/>
      <c r="AK25" s="2201"/>
      <c r="AL25" s="3035">
        <f>IF(Místicos!AG25=0,0,VLOOKUP(Místicos!AG25,Tablas!#REF!,2,FALSE)-10)</f>
        <v>0</v>
      </c>
      <c r="AM25" s="173"/>
      <c r="AN25" s="1987"/>
      <c r="AO25" s="4113" t="s">
        <v>8430</v>
      </c>
      <c r="AP25" s="4114"/>
      <c r="AQ25" s="1966" t="s">
        <v>3442</v>
      </c>
      <c r="AR25" s="4113" t="s">
        <v>2057</v>
      </c>
      <c r="AS25" s="4114"/>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270" t="s">
        <v>2006</v>
      </c>
      <c r="D26" s="4271"/>
      <c r="E26" s="4271"/>
      <c r="F26" s="4272"/>
      <c r="G26" s="1942"/>
      <c r="H26" s="1943">
        <f>SUM(V12:V50)</f>
        <v>0</v>
      </c>
      <c r="I26" s="67"/>
      <c r="J26" s="4194" t="s">
        <v>1827</v>
      </c>
      <c r="K26" s="4194"/>
      <c r="L26" s="107"/>
      <c r="M26" s="230">
        <f>Controlar_final+L26</f>
        <v>0</v>
      </c>
      <c r="N26" s="4254" t="str">
        <f>IF(P25=0,"",IF(P25="Invocador","Invocador: No puede convocar criaturas","Elementalismo: +30 sobre seres afines, -30 sobre el resto, -60 sobre opuestos"))</f>
        <v/>
      </c>
      <c r="O26" s="4254"/>
      <c r="P26" s="4254"/>
      <c r="Q26" s="4254"/>
      <c r="R26" s="67"/>
      <c r="S26" s="1710"/>
      <c r="T26" s="1497" t="str">
        <f t="shared" si="1"/>
        <v>Conjuros</v>
      </c>
      <c r="U26" s="173"/>
      <c r="V26" s="1875">
        <f>IF(AC26="",0,VLOOKUP(AC26,Tablas!$M$1024:$N$1033,2))</f>
        <v>0</v>
      </c>
      <c r="W26" s="4173"/>
      <c r="X26" s="3719"/>
      <c r="Y26" s="4051"/>
      <c r="Z26" s="4051"/>
      <c r="AA26" s="4051"/>
      <c r="AB26" s="4051"/>
      <c r="AC26" s="2175" t="str">
        <f>IF(Místicos!Y26=0,"",VLOOKUP(Místicos!Y26,Tabla_Conjuros,3,FALSE))</f>
        <v/>
      </c>
      <c r="AD26" s="1885" t="str">
        <f t="shared" si="0"/>
        <v/>
      </c>
      <c r="AE26" s="4173"/>
      <c r="AF26" s="3719"/>
      <c r="AG26" s="4051"/>
      <c r="AH26" s="4051"/>
      <c r="AI26" s="4051"/>
      <c r="AJ26" s="4051"/>
      <c r="AK26" s="2173"/>
      <c r="AL26" s="3035">
        <f>IF(Místicos!AG26=0,0,VLOOKUP(Místicos!AG26,Tablas!#REF!,2,FALSE)-10)</f>
        <v>0</v>
      </c>
      <c r="AM26" s="173"/>
      <c r="AN26" s="1987"/>
      <c r="AO26" s="4113" t="s">
        <v>8438</v>
      </c>
      <c r="AP26" s="4114"/>
      <c r="AQ26" s="1966" t="s">
        <v>3442</v>
      </c>
      <c r="AR26" s="4113" t="s">
        <v>2059</v>
      </c>
      <c r="AS26" s="4114"/>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186" t="s">
        <v>8422</v>
      </c>
      <c r="D27" s="4188" t="str">
        <f>Tablas!$L$1045</f>
        <v/>
      </c>
      <c r="E27" s="4189"/>
      <c r="F27" s="4189"/>
      <c r="G27" s="4189"/>
      <c r="H27" s="4190"/>
      <c r="I27" s="96"/>
      <c r="J27" s="4194" t="s">
        <v>1828</v>
      </c>
      <c r="K27" s="4194"/>
      <c r="L27" s="107"/>
      <c r="M27" s="230">
        <f>Atar_final+L27</f>
        <v>0</v>
      </c>
      <c r="N27" s="4254"/>
      <c r="O27" s="4254"/>
      <c r="P27" s="4254"/>
      <c r="Q27" s="4254"/>
      <c r="R27" s="67"/>
      <c r="S27" s="1710"/>
      <c r="T27" s="1497" t="str">
        <f t="shared" si="1"/>
        <v>Conjuros</v>
      </c>
      <c r="U27" s="173"/>
      <c r="V27" s="1875">
        <f>IF(AC27="",0,VLOOKUP(AC27,Tablas!$M$1024:$N$1033,2))</f>
        <v>0</v>
      </c>
      <c r="W27" s="4174"/>
      <c r="X27" s="3722"/>
      <c r="Y27" s="4050"/>
      <c r="Z27" s="4050"/>
      <c r="AA27" s="4050"/>
      <c r="AB27" s="4050"/>
      <c r="AC27" s="1628" t="str">
        <f>IF(Místicos!Y27=0,"",VLOOKUP(Místicos!Y27,Tabla_Conjuros,3,FALSE))</f>
        <v/>
      </c>
      <c r="AD27" s="1885" t="str">
        <f t="shared" si="0"/>
        <v/>
      </c>
      <c r="AE27" s="4174"/>
      <c r="AF27" s="3722"/>
      <c r="AG27" s="4050"/>
      <c r="AH27" s="4050"/>
      <c r="AI27" s="4050"/>
      <c r="AJ27" s="4050"/>
      <c r="AK27" s="2201"/>
      <c r="AL27" s="3035">
        <f>IF(Místicos!AG27=0,0,VLOOKUP(Místicos!AG27,Tablas!#REF!,2,FALSE)-10)</f>
        <v>0</v>
      </c>
      <c r="AM27" s="173"/>
      <c r="AN27" s="1987"/>
      <c r="AO27" s="4113" t="s">
        <v>8439</v>
      </c>
      <c r="AP27" s="4114"/>
      <c r="AQ27" s="1966" t="s">
        <v>3351</v>
      </c>
      <c r="AR27" s="4113" t="s">
        <v>8437</v>
      </c>
      <c r="AS27" s="4114"/>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187"/>
      <c r="D28" s="4191"/>
      <c r="E28" s="4192"/>
      <c r="F28" s="4192"/>
      <c r="G28" s="4192"/>
      <c r="H28" s="4193"/>
      <c r="I28" s="96"/>
      <c r="J28" s="4183" t="s">
        <v>1829</v>
      </c>
      <c r="K28" s="4183"/>
      <c r="L28" s="86"/>
      <c r="M28" s="231">
        <f>Desconvocar_final+L28</f>
        <v>0</v>
      </c>
      <c r="N28" s="4254"/>
      <c r="O28" s="4254"/>
      <c r="P28" s="4254"/>
      <c r="Q28" s="4254"/>
      <c r="R28" s="67"/>
      <c r="S28" s="1710"/>
      <c r="T28" s="1497" t="str">
        <f t="shared" si="1"/>
        <v>Conjuros</v>
      </c>
      <c r="U28" s="173"/>
      <c r="V28" s="1875">
        <f>IF(AC28="",0,VLOOKUP(AC28,Tablas!$M$1024:$N$1033,2))</f>
        <v>0</v>
      </c>
      <c r="W28" s="4173"/>
      <c r="X28" s="3719"/>
      <c r="Y28" s="4051"/>
      <c r="Z28" s="4051"/>
      <c r="AA28" s="4051"/>
      <c r="AB28" s="4051"/>
      <c r="AC28" s="2175" t="str">
        <f>IF(Místicos!Y28=0,"",VLOOKUP(Místicos!Y28,Tabla_Conjuros,3,FALSE))</f>
        <v/>
      </c>
      <c r="AD28" s="1885" t="str">
        <f t="shared" si="0"/>
        <v/>
      </c>
      <c r="AE28" s="4173"/>
      <c r="AF28" s="3719"/>
      <c r="AG28" s="4051"/>
      <c r="AH28" s="4051"/>
      <c r="AI28" s="4051"/>
      <c r="AJ28" s="4051"/>
      <c r="AK28" s="2173"/>
      <c r="AL28" s="3035">
        <f>IF(Místicos!AG28=0,0,VLOOKUP(Místicos!AG28,Tablas!#REF!,2,FALSE)-10)</f>
        <v>0</v>
      </c>
      <c r="AM28" s="173"/>
      <c r="AN28" s="1987"/>
      <c r="AO28" s="4113" t="s">
        <v>8440</v>
      </c>
      <c r="AP28" s="4114"/>
      <c r="AQ28" s="1966" t="s">
        <v>3352</v>
      </c>
      <c r="AR28" s="4113" t="s">
        <v>2062</v>
      </c>
      <c r="AS28" s="4114"/>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18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1"/>
      <c r="E29" s="4181"/>
      <c r="F29" s="4181"/>
      <c r="G29" s="4181"/>
      <c r="H29" s="4182"/>
      <c r="I29" s="96"/>
      <c r="R29" s="67"/>
      <c r="S29" s="1710"/>
      <c r="T29" s="1497" t="str">
        <f t="shared" si="1"/>
        <v>Conjuros</v>
      </c>
      <c r="U29" s="173"/>
      <c r="V29" s="1875">
        <f>IF(AC29="",0,VLOOKUP(AC29,Tablas!$M$1024:$N$1033,2))</f>
        <v>0</v>
      </c>
      <c r="W29" s="4174"/>
      <c r="X29" s="3722"/>
      <c r="Y29" s="4050"/>
      <c r="Z29" s="4050"/>
      <c r="AA29" s="4050"/>
      <c r="AB29" s="4050"/>
      <c r="AC29" s="1628" t="str">
        <f>IF(Místicos!Y29=0,"",VLOOKUP(Místicos!Y29,Tabla_Conjuros,3,FALSE))</f>
        <v/>
      </c>
      <c r="AD29" s="1885" t="str">
        <f t="shared" si="0"/>
        <v/>
      </c>
      <c r="AE29" s="4174"/>
      <c r="AF29" s="3722"/>
      <c r="AG29" s="4050"/>
      <c r="AH29" s="4050"/>
      <c r="AI29" s="4050"/>
      <c r="AJ29" s="4050"/>
      <c r="AK29" s="2201"/>
      <c r="AL29" s="3035">
        <f>IF(Místicos!AG29=0,0,VLOOKUP(Místicos!AG29,Tablas!#REF!,2,FALSE)-10)</f>
        <v>0</v>
      </c>
      <c r="AM29" s="173"/>
      <c r="AN29" s="1987"/>
      <c r="AO29" s="4115" t="s">
        <v>8476</v>
      </c>
      <c r="AP29" s="4116"/>
      <c r="AQ29" s="1967" t="s">
        <v>4086</v>
      </c>
      <c r="AR29" s="4115" t="s">
        <v>2067</v>
      </c>
      <c r="AS29" s="4116"/>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173"/>
      <c r="X30" s="3719"/>
      <c r="Y30" s="4051"/>
      <c r="Z30" s="4051"/>
      <c r="AA30" s="4051"/>
      <c r="AB30" s="4051"/>
      <c r="AC30" s="2175" t="str">
        <f>IF(Místicos!Y30=0,"",VLOOKUP(Místicos!Y30,Tabla_Conjuros,3,FALSE))</f>
        <v/>
      </c>
      <c r="AD30" s="1885" t="str">
        <f t="shared" si="0"/>
        <v/>
      </c>
      <c r="AE30" s="4173"/>
      <c r="AF30" s="3719"/>
      <c r="AG30" s="4051"/>
      <c r="AH30" s="4051"/>
      <c r="AI30" s="4051"/>
      <c r="AJ30" s="4051"/>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188" t="s">
        <v>2034</v>
      </c>
      <c r="D31" s="3188"/>
      <c r="E31" s="3188"/>
      <c r="F31" s="3188"/>
      <c r="G31" s="3188"/>
      <c r="H31" s="3990" t="s">
        <v>2035</v>
      </c>
      <c r="I31" s="96"/>
      <c r="J31" s="3471" t="s">
        <v>2036</v>
      </c>
      <c r="K31" s="3472"/>
      <c r="L31" s="3472"/>
      <c r="M31" s="3472"/>
      <c r="N31" s="3472"/>
      <c r="O31" s="3472"/>
      <c r="P31" s="3472"/>
      <c r="Q31" s="3473"/>
      <c r="R31" s="67"/>
      <c r="S31" s="1710"/>
      <c r="T31" s="1497" t="str">
        <f t="shared" si="1"/>
        <v>Conjuros</v>
      </c>
      <c r="U31" s="173"/>
      <c r="V31" s="1875">
        <f>IF(AC31="",0,VLOOKUP(AC31,Tablas!$M$1024:$N$1033,2))</f>
        <v>0</v>
      </c>
      <c r="W31" s="4174"/>
      <c r="X31" s="3722"/>
      <c r="Y31" s="4050"/>
      <c r="Z31" s="4050"/>
      <c r="AA31" s="4050"/>
      <c r="AB31" s="4050"/>
      <c r="AC31" s="1628" t="str">
        <f>IF(Místicos!Y31=0,"",VLOOKUP(Místicos!Y31,Tabla_Conjuros,3,FALSE))</f>
        <v/>
      </c>
      <c r="AD31" s="1885" t="str">
        <f t="shared" si="0"/>
        <v/>
      </c>
      <c r="AE31" s="4174"/>
      <c r="AF31" s="3722"/>
      <c r="AG31" s="4050"/>
      <c r="AH31" s="4050"/>
      <c r="AI31" s="4050"/>
      <c r="AJ31" s="4050"/>
      <c r="AK31" s="2201"/>
      <c r="AL31" s="3035">
        <f>IF(Místicos!AG31=0,0,VLOOKUP(Místicos!AG31,Tablas!#REF!,2,FALSE)-10)</f>
        <v>0</v>
      </c>
      <c r="AM31" s="173"/>
      <c r="AN31" s="1987"/>
      <c r="AO31" s="1963"/>
      <c r="AP31" s="4069" t="s">
        <v>3102</v>
      </c>
      <c r="AQ31" s="4070"/>
      <c r="AR31" s="4070" t="s">
        <v>7759</v>
      </c>
      <c r="AS31" s="4082"/>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39" t="s">
        <v>2037</v>
      </c>
      <c r="D32" s="3939"/>
      <c r="E32" s="3939"/>
      <c r="F32" s="3939"/>
      <c r="G32" s="3939"/>
      <c r="H32" s="3990"/>
      <c r="I32" s="96"/>
      <c r="J32" s="4184" t="s">
        <v>1751</v>
      </c>
      <c r="K32" s="4185"/>
      <c r="L32" s="4185"/>
      <c r="M32" s="4185"/>
      <c r="N32" s="4185"/>
      <c r="O32" s="4185"/>
      <c r="P32" s="1886" t="s">
        <v>2038</v>
      </c>
      <c r="Q32" s="1861" t="s">
        <v>1820</v>
      </c>
      <c r="R32" s="67"/>
      <c r="S32" s="1710"/>
      <c r="T32" s="1497" t="str">
        <f t="shared" si="1"/>
        <v>Conjuros</v>
      </c>
      <c r="U32" s="173"/>
      <c r="V32" s="1875">
        <f>IF(AC32="",0,VLOOKUP(AC32,Tablas!$M$1024:$N$1033,2))</f>
        <v>0</v>
      </c>
      <c r="W32" s="4173"/>
      <c r="X32" s="3719"/>
      <c r="Y32" s="4051"/>
      <c r="Z32" s="4051"/>
      <c r="AA32" s="4051"/>
      <c r="AB32" s="4051"/>
      <c r="AC32" s="2175" t="str">
        <f>IF(Místicos!Y32=0,"",VLOOKUP(Místicos!Y32,Tabla_Conjuros,3,FALSE))</f>
        <v/>
      </c>
      <c r="AD32" s="1885" t="str">
        <f t="shared" si="0"/>
        <v/>
      </c>
      <c r="AE32" s="4173"/>
      <c r="AF32" s="3719"/>
      <c r="AG32" s="4051"/>
      <c r="AH32" s="4051"/>
      <c r="AI32" s="4051"/>
      <c r="AJ32" s="4051"/>
      <c r="AK32" s="2173"/>
      <c r="AL32" s="3035">
        <f>IF(Místicos!AG32=0,0,VLOOKUP(Místicos!AG32,Tablas!#REF!,2,FALSE)-10)</f>
        <v>0</v>
      </c>
      <c r="AM32" s="173"/>
      <c r="AN32" s="1987"/>
      <c r="AO32" s="1963"/>
      <c r="AP32" s="4078">
        <f>Presencia_final*2+Bono_Des</f>
        <v>40</v>
      </c>
      <c r="AQ32" s="4079"/>
      <c r="AR32" s="4074"/>
      <c r="AS32" s="4075"/>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206"/>
      <c r="D33" s="4178"/>
      <c r="E33" s="4178"/>
      <c r="F33" s="4178"/>
      <c r="G33" s="4179"/>
      <c r="H33" s="22"/>
      <c r="I33" s="67"/>
      <c r="J33" s="4128"/>
      <c r="K33" s="4129"/>
      <c r="L33" s="4129"/>
      <c r="M33" s="4129"/>
      <c r="N33" s="4129"/>
      <c r="O33" s="4129"/>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174"/>
      <c r="X33" s="3722"/>
      <c r="Y33" s="4050"/>
      <c r="Z33" s="4050"/>
      <c r="AA33" s="4050"/>
      <c r="AB33" s="4050"/>
      <c r="AC33" s="1628" t="str">
        <f>IF(Místicos!Y33=0,"",VLOOKUP(Místicos!Y33,Tabla_Conjuros,3,FALSE))</f>
        <v/>
      </c>
      <c r="AD33" s="1885" t="str">
        <f t="shared" si="0"/>
        <v/>
      </c>
      <c r="AE33" s="4174"/>
      <c r="AF33" s="3722"/>
      <c r="AG33" s="4050"/>
      <c r="AH33" s="4050"/>
      <c r="AI33" s="4050"/>
      <c r="AJ33" s="4050"/>
      <c r="AK33" s="2201"/>
      <c r="AL33" s="3035">
        <f>IF(Místicos!AG33=0,0,VLOOKUP(Místicos!AG33,Tablas!#REF!,2,FALSE)-10)</f>
        <v>0</v>
      </c>
      <c r="AM33" s="173"/>
      <c r="AN33" s="1987"/>
      <c r="AO33" s="1963"/>
      <c r="AP33" s="4080"/>
      <c r="AQ33" s="4081"/>
      <c r="AR33" s="4076"/>
      <c r="AS33" s="4077"/>
      <c r="AT33" s="1778"/>
      <c r="AU33" s="1961" t="s">
        <v>8450</v>
      </c>
      <c r="AV33" s="1997">
        <v>-14</v>
      </c>
      <c r="AW33" s="2005"/>
      <c r="AX33" s="1706"/>
      <c r="AY33" s="1885">
        <f>IF(AC33="",0,VLOOKUP(AC33,Tablas!$M$1024:$N$1033,2)*VLOOKUP(W33,Tabla_CosteConjuros,3))</f>
        <v>0</v>
      </c>
    </row>
    <row r="34" spans="1:60" ht="12" customHeight="1" x14ac:dyDescent="0.2">
      <c r="A34" s="173"/>
      <c r="B34" s="1703"/>
      <c r="C34" s="4138"/>
      <c r="D34" s="4138"/>
      <c r="E34" s="4138"/>
      <c r="F34" s="4138"/>
      <c r="G34" s="4138"/>
      <c r="H34" s="232"/>
      <c r="I34" s="67"/>
      <c r="J34" s="4130"/>
      <c r="K34" s="4131"/>
      <c r="L34" s="4131"/>
      <c r="M34" s="4131"/>
      <c r="N34" s="4131"/>
      <c r="O34" s="4131"/>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173"/>
      <c r="X34" s="3719"/>
      <c r="Y34" s="4051"/>
      <c r="Z34" s="4051"/>
      <c r="AA34" s="4051"/>
      <c r="AB34" s="4051"/>
      <c r="AC34" s="2175" t="str">
        <f>IF(Místicos!Y34=0,"",VLOOKUP(Místicos!Y34,Tabla_Conjuros,3,FALSE))</f>
        <v/>
      </c>
      <c r="AD34" s="1885" t="str">
        <f t="shared" si="0"/>
        <v/>
      </c>
      <c r="AE34" s="4173"/>
      <c r="AF34" s="3719"/>
      <c r="AG34" s="4051"/>
      <c r="AH34" s="4051"/>
      <c r="AI34" s="4051"/>
      <c r="AJ34" s="4051"/>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208"/>
      <c r="D35" s="3208"/>
      <c r="E35" s="3208"/>
      <c r="F35" s="3208"/>
      <c r="G35" s="3208"/>
      <c r="H35" s="22"/>
      <c r="I35" s="67"/>
      <c r="J35" s="4132"/>
      <c r="K35" s="4133"/>
      <c r="L35" s="4133"/>
      <c r="M35" s="4133"/>
      <c r="N35" s="4133"/>
      <c r="O35" s="4133"/>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174"/>
      <c r="X35" s="3722"/>
      <c r="Y35" s="4050"/>
      <c r="Z35" s="4050"/>
      <c r="AA35" s="4050"/>
      <c r="AB35" s="4050"/>
      <c r="AC35" s="1628" t="str">
        <f>IF(Místicos!Y35=0,"",VLOOKUP(Místicos!Y35,Tabla_Conjuros,3,FALSE))</f>
        <v/>
      </c>
      <c r="AD35" s="1885" t="str">
        <f t="shared" si="0"/>
        <v/>
      </c>
      <c r="AE35" s="4174"/>
      <c r="AF35" s="3722"/>
      <c r="AG35" s="4050"/>
      <c r="AH35" s="4050"/>
      <c r="AI35" s="4050"/>
      <c r="AJ35" s="4050"/>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138"/>
      <c r="D36" s="4138"/>
      <c r="E36" s="4138"/>
      <c r="F36" s="4138"/>
      <c r="G36" s="4138"/>
      <c r="H36" s="232"/>
      <c r="I36" s="67"/>
      <c r="J36" s="4130"/>
      <c r="K36" s="4131"/>
      <c r="L36" s="4131"/>
      <c r="M36" s="4131"/>
      <c r="N36" s="4131"/>
      <c r="O36" s="4131"/>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173"/>
      <c r="X36" s="3719"/>
      <c r="Y36" s="4051"/>
      <c r="Z36" s="4051"/>
      <c r="AA36" s="4051"/>
      <c r="AB36" s="4051"/>
      <c r="AC36" s="2175" t="str">
        <f>IF(Místicos!Y36=0,"",VLOOKUP(Místicos!Y36,Tabla_Conjuros,3,FALSE))</f>
        <v/>
      </c>
      <c r="AD36" s="1885" t="str">
        <f t="shared" si="0"/>
        <v/>
      </c>
      <c r="AE36" s="4173"/>
      <c r="AF36" s="3719"/>
      <c r="AG36" s="4051"/>
      <c r="AH36" s="4051"/>
      <c r="AI36" s="4051"/>
      <c r="AJ36" s="4051"/>
      <c r="AK36" s="2173"/>
      <c r="AL36" s="3035">
        <f>IF(Místicos!AG36=0,0,VLOOKUP(Místicos!AG36,Tablas!#REF!,2,FALSE)-10)</f>
        <v>0</v>
      </c>
      <c r="AM36" s="173"/>
      <c r="AN36" s="1987"/>
      <c r="AO36" s="4071" t="s">
        <v>8460</v>
      </c>
      <c r="AP36" s="4072"/>
      <c r="AQ36" s="4072"/>
      <c r="AR36" s="4072"/>
      <c r="AS36" s="4072"/>
      <c r="AT36" s="4072"/>
      <c r="AU36" s="4072"/>
      <c r="AV36" s="4073"/>
      <c r="AW36" s="2005"/>
      <c r="AX36" s="1706"/>
      <c r="AY36" s="1885">
        <f>IF(AC36="",0,VLOOKUP(AC36,Tablas!$M$1024:$N$1033,2)*VLOOKUP(W36,Tabla_CosteConjuros,3))</f>
        <v>0</v>
      </c>
    </row>
    <row r="37" spans="1:60" ht="12" customHeight="1" x14ac:dyDescent="0.2">
      <c r="A37" s="173"/>
      <c r="B37" s="1703"/>
      <c r="C37" s="3208"/>
      <c r="D37" s="3208"/>
      <c r="E37" s="3208"/>
      <c r="F37" s="3208"/>
      <c r="G37" s="3208"/>
      <c r="H37" s="22"/>
      <c r="I37" s="67"/>
      <c r="J37" s="4132"/>
      <c r="K37" s="4133"/>
      <c r="L37" s="4133"/>
      <c r="M37" s="4133"/>
      <c r="N37" s="4133"/>
      <c r="O37" s="4133"/>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174"/>
      <c r="X37" s="3722"/>
      <c r="Y37" s="4050"/>
      <c r="Z37" s="4050"/>
      <c r="AA37" s="4050"/>
      <c r="AB37" s="4050"/>
      <c r="AC37" s="1628" t="str">
        <f>IF(Místicos!Y37=0,"",VLOOKUP(Místicos!Y37,Tabla_Conjuros,3,FALSE))</f>
        <v/>
      </c>
      <c r="AD37" s="1885" t="str">
        <f t="shared" si="0"/>
        <v/>
      </c>
      <c r="AE37" s="4174"/>
      <c r="AF37" s="3722"/>
      <c r="AG37" s="4050"/>
      <c r="AH37" s="4050"/>
      <c r="AI37" s="4050"/>
      <c r="AJ37" s="4050"/>
      <c r="AK37" s="2201"/>
      <c r="AL37" s="3035">
        <f>IF(Místicos!AG37=0,0,VLOOKUP(Místicos!AG37,Tablas!#REF!,2,FALSE)-10)</f>
        <v>0</v>
      </c>
      <c r="AM37" s="173"/>
      <c r="AN37" s="1988"/>
      <c r="AO37" s="1992" t="s">
        <v>8454</v>
      </c>
      <c r="AP37" s="4175" t="s">
        <v>8481</v>
      </c>
      <c r="AQ37" s="4176"/>
      <c r="AR37" s="4176"/>
      <c r="AS37" s="4176"/>
      <c r="AT37" s="4176"/>
      <c r="AU37" s="4176"/>
      <c r="AV37" s="4177"/>
      <c r="AW37" s="2005"/>
      <c r="AX37" s="1706"/>
      <c r="AY37" s="1885">
        <f>IF(AC37="",0,VLOOKUP(AC37,Tablas!$M$1024:$N$1033,2)*VLOOKUP(W37,Tabla_CosteConjuros,3))</f>
        <v>0</v>
      </c>
      <c r="BB37" s="1884"/>
    </row>
    <row r="38" spans="1:60" ht="12" customHeight="1" x14ac:dyDescent="0.2">
      <c r="A38" s="173"/>
      <c r="B38" s="1703"/>
      <c r="C38" s="4138"/>
      <c r="D38" s="4138"/>
      <c r="E38" s="4138"/>
      <c r="F38" s="4138"/>
      <c r="G38" s="4138"/>
      <c r="H38" s="232"/>
      <c r="I38" s="67"/>
      <c r="J38" s="4130"/>
      <c r="K38" s="4131"/>
      <c r="L38" s="4131"/>
      <c r="M38" s="4131"/>
      <c r="N38" s="4131"/>
      <c r="O38" s="4131"/>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173"/>
      <c r="X38" s="3719"/>
      <c r="Y38" s="4051"/>
      <c r="Z38" s="4051"/>
      <c r="AA38" s="4051"/>
      <c r="AB38" s="4051"/>
      <c r="AC38" s="2175" t="str">
        <f>IF(Místicos!Y38=0,"",VLOOKUP(Místicos!Y38,Tabla_Conjuros,3,FALSE))</f>
        <v/>
      </c>
      <c r="AD38" s="1885" t="str">
        <f t="shared" si="0"/>
        <v/>
      </c>
      <c r="AE38" s="4173"/>
      <c r="AF38" s="3719"/>
      <c r="AG38" s="4051"/>
      <c r="AH38" s="4051"/>
      <c r="AI38" s="4051"/>
      <c r="AJ38" s="4051"/>
      <c r="AK38" s="2173"/>
      <c r="AL38" s="3035">
        <f>IF(Místicos!AG38=0,0,VLOOKUP(Místicos!AG38,Tablas!#REF!,2,FALSE)-10)</f>
        <v>0</v>
      </c>
      <c r="AM38" s="173"/>
      <c r="AN38" s="1988"/>
      <c r="AO38" s="1993" t="s">
        <v>8455</v>
      </c>
      <c r="AP38" s="4065" t="s">
        <v>8480</v>
      </c>
      <c r="AQ38" s="4066"/>
      <c r="AR38" s="4066"/>
      <c r="AS38" s="4066"/>
      <c r="AT38" s="4066"/>
      <c r="AU38" s="4066"/>
      <c r="AV38" s="4066"/>
      <c r="AW38" s="2005"/>
      <c r="AX38" s="1706"/>
      <c r="AY38" s="1885">
        <f>IF(AC38="",0,VLOOKUP(AC38,Tablas!$M$1024:$N$1033,2)*VLOOKUP(W38,Tabla_CosteConjuros,3))</f>
        <v>0</v>
      </c>
    </row>
    <row r="39" spans="1:60" ht="12" customHeight="1" x14ac:dyDescent="0.2">
      <c r="A39" s="173"/>
      <c r="B39" s="1703"/>
      <c r="C39" s="3208"/>
      <c r="D39" s="3208"/>
      <c r="E39" s="3208"/>
      <c r="F39" s="3208"/>
      <c r="G39" s="3208"/>
      <c r="H39" s="22"/>
      <c r="I39" s="67"/>
      <c r="J39" s="4132"/>
      <c r="K39" s="4133"/>
      <c r="L39" s="4133"/>
      <c r="M39" s="4133"/>
      <c r="N39" s="4133"/>
      <c r="O39" s="4133"/>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174"/>
      <c r="X39" s="3722"/>
      <c r="Y39" s="4050"/>
      <c r="Z39" s="4050"/>
      <c r="AA39" s="4050"/>
      <c r="AB39" s="4050"/>
      <c r="AC39" s="1628" t="str">
        <f>IF(Místicos!Y39=0,"",VLOOKUP(Místicos!Y39,Tabla_Conjuros,3,FALSE))</f>
        <v/>
      </c>
      <c r="AD39" s="1885" t="str">
        <f t="shared" si="0"/>
        <v/>
      </c>
      <c r="AE39" s="4174"/>
      <c r="AF39" s="3722"/>
      <c r="AG39" s="4050"/>
      <c r="AH39" s="4050"/>
      <c r="AI39" s="4050"/>
      <c r="AJ39" s="4050"/>
      <c r="AK39" s="2201"/>
      <c r="AL39" s="3035">
        <f>IF(Místicos!AG39=0,0,VLOOKUP(Místicos!AG39,Tablas!#REF!,2,FALSE)-10)</f>
        <v>0</v>
      </c>
      <c r="AM39" s="173"/>
      <c r="AN39" s="1988"/>
      <c r="AO39" s="1993" t="s">
        <v>8456</v>
      </c>
      <c r="AP39" s="4065" t="s">
        <v>8479</v>
      </c>
      <c r="AQ39" s="4066"/>
      <c r="AR39" s="4066"/>
      <c r="AS39" s="4066"/>
      <c r="AT39" s="4066"/>
      <c r="AU39" s="4066"/>
      <c r="AV39" s="4066"/>
      <c r="AW39" s="2005"/>
      <c r="AX39" s="1706"/>
      <c r="AY39" s="1885">
        <f>IF(AC39="",0,VLOOKUP(AC39,Tablas!$M$1024:$N$1033,2)*VLOOKUP(W39,Tabla_CosteConjuros,3))</f>
        <v>0</v>
      </c>
    </row>
    <row r="40" spans="1:60" ht="12" customHeight="1" x14ac:dyDescent="0.2">
      <c r="A40" s="173"/>
      <c r="B40" s="1703"/>
      <c r="C40" s="4138"/>
      <c r="D40" s="4138"/>
      <c r="E40" s="4138"/>
      <c r="F40" s="4138"/>
      <c r="G40" s="4138"/>
      <c r="H40" s="232"/>
      <c r="I40" s="67"/>
      <c r="J40" s="4130"/>
      <c r="K40" s="4131"/>
      <c r="L40" s="4131"/>
      <c r="M40" s="4131"/>
      <c r="N40" s="4131"/>
      <c r="O40" s="4131"/>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173"/>
      <c r="X40" s="3719"/>
      <c r="Y40" s="4051"/>
      <c r="Z40" s="4051"/>
      <c r="AA40" s="4051"/>
      <c r="AB40" s="4051"/>
      <c r="AC40" s="2175" t="str">
        <f>IF(Místicos!Y40=0,"",VLOOKUP(Místicos!Y40,Tabla_Conjuros,3,FALSE))</f>
        <v/>
      </c>
      <c r="AD40" s="1885" t="str">
        <f t="shared" si="0"/>
        <v/>
      </c>
      <c r="AE40" s="4173"/>
      <c r="AF40" s="3719"/>
      <c r="AG40" s="4051"/>
      <c r="AH40" s="4051"/>
      <c r="AI40" s="4051"/>
      <c r="AJ40" s="4051"/>
      <c r="AK40" s="2173"/>
      <c r="AL40" s="3035">
        <f>IF(Místicos!AG40=0,0,VLOOKUP(Místicos!AG40,Tablas!#REF!,2,FALSE)-10)</f>
        <v>0</v>
      </c>
      <c r="AM40" s="173"/>
      <c r="AN40" s="1988"/>
      <c r="AO40" s="1993" t="s">
        <v>8457</v>
      </c>
      <c r="AP40" s="4065" t="s">
        <v>8488</v>
      </c>
      <c r="AQ40" s="4066"/>
      <c r="AR40" s="4066"/>
      <c r="AS40" s="4066"/>
      <c r="AT40" s="4066"/>
      <c r="AU40" s="4066"/>
      <c r="AV40" s="4066"/>
      <c r="AW40" s="2005"/>
      <c r="AX40" s="1706"/>
      <c r="AY40" s="1885">
        <f>IF(AC40="",0,VLOOKUP(AC40,Tablas!$M$1024:$N$1033,2)*VLOOKUP(W40,Tabla_CosteConjuros,3))</f>
        <v>0</v>
      </c>
    </row>
    <row r="41" spans="1:60" ht="12" customHeight="1" x14ac:dyDescent="0.2">
      <c r="A41" s="173"/>
      <c r="B41" s="1703"/>
      <c r="C41" s="3208"/>
      <c r="D41" s="3208"/>
      <c r="E41" s="3208"/>
      <c r="F41" s="3208"/>
      <c r="G41" s="3208"/>
      <c r="H41" s="22"/>
      <c r="I41" s="67"/>
      <c r="J41" s="4132"/>
      <c r="K41" s="4133"/>
      <c r="L41" s="4133"/>
      <c r="M41" s="4133"/>
      <c r="N41" s="4133"/>
      <c r="O41" s="4133"/>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174"/>
      <c r="X41" s="3722"/>
      <c r="Y41" s="4050"/>
      <c r="Z41" s="4050"/>
      <c r="AA41" s="4050"/>
      <c r="AB41" s="4050"/>
      <c r="AC41" s="1628" t="str">
        <f>IF(Místicos!Y41=0,"",VLOOKUP(Místicos!Y41,Tabla_Conjuros,3,FALSE))</f>
        <v/>
      </c>
      <c r="AD41" s="1885" t="str">
        <f t="shared" si="0"/>
        <v/>
      </c>
      <c r="AE41" s="4174"/>
      <c r="AF41" s="3722"/>
      <c r="AG41" s="4050"/>
      <c r="AH41" s="4050"/>
      <c r="AI41" s="4050"/>
      <c r="AJ41" s="4050"/>
      <c r="AK41" s="2201"/>
      <c r="AL41" s="3035">
        <f>IF(Místicos!AG41=0,0,VLOOKUP(Místicos!AG41,Tablas!#REF!,2,FALSE)-10)</f>
        <v>0</v>
      </c>
      <c r="AM41" s="173"/>
      <c r="AN41" s="1988"/>
      <c r="AO41" s="1993" t="s">
        <v>8458</v>
      </c>
      <c r="AP41" s="4065" t="s">
        <v>8478</v>
      </c>
      <c r="AQ41" s="4066"/>
      <c r="AR41" s="4066"/>
      <c r="AS41" s="4066"/>
      <c r="AT41" s="4066"/>
      <c r="AU41" s="4066"/>
      <c r="AV41" s="4066"/>
      <c r="AW41" s="2005"/>
      <c r="AX41" s="1706"/>
      <c r="AY41" s="1885">
        <f>IF(AC41="",0,VLOOKUP(AC41,Tablas!$M$1024:$N$1033,2)*VLOOKUP(W41,Tabla_CosteConjuros,3))</f>
        <v>0</v>
      </c>
    </row>
    <row r="42" spans="1:60" ht="12" customHeight="1" thickBot="1" x14ac:dyDescent="0.25">
      <c r="A42" s="173"/>
      <c r="B42" s="1703"/>
      <c r="C42" s="4138"/>
      <c r="D42" s="4138"/>
      <c r="E42" s="4138"/>
      <c r="F42" s="4138"/>
      <c r="G42" s="4138"/>
      <c r="H42" s="232"/>
      <c r="I42" s="67"/>
      <c r="J42" s="4130"/>
      <c r="K42" s="4131"/>
      <c r="L42" s="4131"/>
      <c r="M42" s="4131"/>
      <c r="N42" s="4131"/>
      <c r="O42" s="4131"/>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173"/>
      <c r="X42" s="3719"/>
      <c r="Y42" s="4051"/>
      <c r="Z42" s="4051"/>
      <c r="AA42" s="4051"/>
      <c r="AB42" s="4051"/>
      <c r="AC42" s="2175" t="str">
        <f>IF(Místicos!Y42=0,"",VLOOKUP(Místicos!Y42,Tabla_Conjuros,3,FALSE))</f>
        <v/>
      </c>
      <c r="AD42" s="1885" t="str">
        <f t="shared" si="0"/>
        <v/>
      </c>
      <c r="AE42" s="4173"/>
      <c r="AF42" s="3719"/>
      <c r="AG42" s="4051"/>
      <c r="AH42" s="4051"/>
      <c r="AI42" s="4051"/>
      <c r="AJ42" s="4051"/>
      <c r="AK42" s="2173"/>
      <c r="AL42" s="3035">
        <f>IF(Místicos!AG42=0,0,VLOOKUP(Místicos!AG42,Tablas!#REF!,2,FALSE)-10)</f>
        <v>0</v>
      </c>
      <c r="AM42" s="173"/>
      <c r="AN42" s="1988"/>
      <c r="AO42" s="1994">
        <v>-9</v>
      </c>
      <c r="AP42" s="4067" t="s">
        <v>8477</v>
      </c>
      <c r="AQ42" s="4068"/>
      <c r="AR42" s="4068"/>
      <c r="AS42" s="4068"/>
      <c r="AT42" s="4068"/>
      <c r="AU42" s="4068"/>
      <c r="AV42" s="4068"/>
      <c r="AW42" s="2005"/>
      <c r="AX42" s="1706"/>
      <c r="AY42" s="1885">
        <f>IF(AC42="",0,VLOOKUP(AC42,Tablas!$M$1024:$N$1033,2)*VLOOKUP(W42,Tabla_CosteConjuros,3))</f>
        <v>0</v>
      </c>
    </row>
    <row r="43" spans="1:60" ht="12" customHeight="1" thickBot="1" x14ac:dyDescent="0.25">
      <c r="A43" s="173"/>
      <c r="B43" s="1703"/>
      <c r="C43" s="3208"/>
      <c r="D43" s="3208"/>
      <c r="E43" s="3208"/>
      <c r="F43" s="3208"/>
      <c r="G43" s="3208"/>
      <c r="H43" s="22"/>
      <c r="I43" s="67"/>
      <c r="J43" s="4132"/>
      <c r="K43" s="4133"/>
      <c r="L43" s="4133"/>
      <c r="M43" s="4133"/>
      <c r="N43" s="4133"/>
      <c r="O43" s="4133"/>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174"/>
      <c r="X43" s="3722"/>
      <c r="Y43" s="4050"/>
      <c r="Z43" s="4050"/>
      <c r="AA43" s="4050"/>
      <c r="AB43" s="4050"/>
      <c r="AC43" s="1628" t="str">
        <f>IF(Místicos!Y43=0,"",VLOOKUP(Místicos!Y43,Tabla_Conjuros,3,FALSE))</f>
        <v/>
      </c>
      <c r="AD43" s="1885" t="str">
        <f t="shared" si="0"/>
        <v/>
      </c>
      <c r="AE43" s="4174"/>
      <c r="AF43" s="3722"/>
      <c r="AG43" s="4050"/>
      <c r="AH43" s="4050"/>
      <c r="AI43" s="4050"/>
      <c r="AJ43" s="4050"/>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138"/>
      <c r="D44" s="4138"/>
      <c r="E44" s="4138"/>
      <c r="F44" s="4138"/>
      <c r="G44" s="4138"/>
      <c r="H44" s="232"/>
      <c r="I44" s="67"/>
      <c r="J44" s="4130"/>
      <c r="K44" s="4131"/>
      <c r="L44" s="4131"/>
      <c r="M44" s="4131"/>
      <c r="N44" s="4131"/>
      <c r="O44" s="4131"/>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173"/>
      <c r="X44" s="3719"/>
      <c r="Y44" s="4051"/>
      <c r="Z44" s="4051"/>
      <c r="AA44" s="4051"/>
      <c r="AB44" s="4051"/>
      <c r="AC44" s="2175" t="str">
        <f>IF(Místicos!Y44=0,"",VLOOKUP(Místicos!Y44,Tabla_Conjuros,3,FALSE))</f>
        <v/>
      </c>
      <c r="AD44" s="1885" t="str">
        <f t="shared" si="0"/>
        <v/>
      </c>
      <c r="AE44" s="4173"/>
      <c r="AF44" s="3719"/>
      <c r="AG44" s="4051"/>
      <c r="AH44" s="4051"/>
      <c r="AI44" s="4051"/>
      <c r="AJ44" s="4051"/>
      <c r="AK44" s="2173"/>
      <c r="AL44" s="3035">
        <f>IF(Místicos!AG44=0,0,VLOOKUP(Místicos!AG44,Tablas!#REF!,2,FALSE)-10)</f>
        <v>0</v>
      </c>
      <c r="AM44" s="173"/>
      <c r="AN44" s="1988"/>
      <c r="AO44" s="4059" t="str">
        <f>IF(OR(AS10="General",AS10="Magia Natural"),"",AS10)</f>
        <v/>
      </c>
      <c r="AP44" s="4060"/>
      <c r="AQ44" s="4060"/>
      <c r="AR44" s="4060"/>
      <c r="AS44" s="4060"/>
      <c r="AT44" s="4060"/>
      <c r="AU44" s="4060"/>
      <c r="AV44" s="4061"/>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208"/>
      <c r="D45" s="3208"/>
      <c r="E45" s="3208"/>
      <c r="F45" s="3208"/>
      <c r="G45" s="3208"/>
      <c r="H45" s="22"/>
      <c r="I45" s="67"/>
      <c r="J45" s="4132"/>
      <c r="K45" s="4133"/>
      <c r="L45" s="4133"/>
      <c r="M45" s="4133"/>
      <c r="N45" s="4133"/>
      <c r="O45" s="4133"/>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174"/>
      <c r="X45" s="3722"/>
      <c r="Y45" s="4050"/>
      <c r="Z45" s="4050"/>
      <c r="AA45" s="4050"/>
      <c r="AB45" s="4050"/>
      <c r="AC45" s="1628" t="str">
        <f>IF(Místicos!Y45=0,"",VLOOKUP(Místicos!Y45,Tabla_Conjuros,3,FALSE))</f>
        <v/>
      </c>
      <c r="AD45" s="1885" t="str">
        <f t="shared" si="0"/>
        <v/>
      </c>
      <c r="AE45" s="4174"/>
      <c r="AF45" s="3722"/>
      <c r="AG45" s="4050"/>
      <c r="AH45" s="4050"/>
      <c r="AI45" s="4050"/>
      <c r="AJ45" s="4050"/>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138"/>
      <c r="D46" s="4138"/>
      <c r="E46" s="4138"/>
      <c r="F46" s="4138"/>
      <c r="G46" s="4138"/>
      <c r="H46" s="232"/>
      <c r="I46" s="67"/>
      <c r="J46" s="4130"/>
      <c r="K46" s="4131"/>
      <c r="L46" s="4131"/>
      <c r="M46" s="4131"/>
      <c r="N46" s="4131"/>
      <c r="O46" s="4131"/>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173"/>
      <c r="X46" s="3719"/>
      <c r="Y46" s="4051"/>
      <c r="Z46" s="4051"/>
      <c r="AA46" s="4051"/>
      <c r="AB46" s="4051"/>
      <c r="AC46" s="2175" t="str">
        <f>IF(Místicos!Y46=0,"",VLOOKUP(Místicos!Y46,Tabla_Conjuros,3,FALSE))</f>
        <v/>
      </c>
      <c r="AD46" s="1885" t="str">
        <f t="shared" si="0"/>
        <v/>
      </c>
      <c r="AE46" s="4173"/>
      <c r="AF46" s="3719"/>
      <c r="AG46" s="4051"/>
      <c r="AH46" s="4051"/>
      <c r="AI46" s="4051"/>
      <c r="AJ46" s="4051"/>
      <c r="AK46" s="2173"/>
      <c r="AL46" s="3035">
        <f>IF(Místicos!AG46=0,0,VLOOKUP(Místicos!AG46,Tablas!#REF!,2,FALSE)-10)</f>
        <v>0</v>
      </c>
      <c r="AM46" s="173"/>
      <c r="AN46" s="1988"/>
      <c r="AO46" s="4069"/>
      <c r="AP46" s="4070"/>
      <c r="AQ46" s="4072" t="str">
        <f>IF($AZ$45,"Caligrafía ritual",IF($BA$45,"Vínculos Físicos",IF($BB$45,"Zonas Espirituales","""")))</f>
        <v>"</v>
      </c>
      <c r="AR46" s="4072"/>
      <c r="AS46" s="4072"/>
      <c r="AT46" s="4072"/>
      <c r="AU46" s="4087"/>
      <c r="AV46" s="4088"/>
      <c r="AW46" s="2005"/>
      <c r="AX46" s="1706"/>
      <c r="AY46" s="1885">
        <f>IF(AC46="",0,VLOOKUP(AC46,Tablas!$M$1024:$N$1033,2)*VLOOKUP(W46,Tabla_CosteConjuros,3))</f>
        <v>0</v>
      </c>
    </row>
    <row r="47" spans="1:60" ht="12" customHeight="1" x14ac:dyDescent="0.2">
      <c r="A47" s="173"/>
      <c r="B47" s="1703"/>
      <c r="C47" s="3208"/>
      <c r="D47" s="3208"/>
      <c r="E47" s="3208"/>
      <c r="F47" s="3208"/>
      <c r="G47" s="3208"/>
      <c r="H47" s="22"/>
      <c r="I47" s="67"/>
      <c r="J47" s="4132"/>
      <c r="K47" s="4133"/>
      <c r="L47" s="4133"/>
      <c r="M47" s="4133"/>
      <c r="N47" s="4133"/>
      <c r="O47" s="4133"/>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174"/>
      <c r="X47" s="3722"/>
      <c r="Y47" s="4050"/>
      <c r="Z47" s="4050"/>
      <c r="AA47" s="4050"/>
      <c r="AB47" s="4050"/>
      <c r="AC47" s="1628" t="str">
        <f>IF(Místicos!Y47=0,"",VLOOKUP(Místicos!Y47,Tabla_Conjuros,3,FALSE))</f>
        <v/>
      </c>
      <c r="AD47" s="1885" t="str">
        <f t="shared" si="0"/>
        <v/>
      </c>
      <c r="AE47" s="4174"/>
      <c r="AF47" s="3722"/>
      <c r="AG47" s="4050"/>
      <c r="AH47" s="4050"/>
      <c r="AI47" s="4050"/>
      <c r="AJ47" s="4050"/>
      <c r="AK47" s="2201"/>
      <c r="AL47" s="3035">
        <f>IF(Místicos!AG47=0,0,VLOOKUP(Místicos!AG47,Tablas!#REF!,2,FALSE)-10)</f>
        <v>0</v>
      </c>
      <c r="AM47" s="173"/>
      <c r="AN47" s="1988"/>
      <c r="AO47" s="4263" t="str">
        <f>IF($AZ$45,"Nv. Conjuro  Dif.",IF($BA$45,"",IF($BB$45,"Tipo de zona","""")))</f>
        <v>"</v>
      </c>
      <c r="AP47" s="4118"/>
      <c r="AQ47" s="4055" t="str">
        <f>IF($AZ$45,"Tiempo empleado en la preparación",IF($BA$45,"Objeto a consumir - Bono a RM",IF($BB$45,"Descripción","")))</f>
        <v/>
      </c>
      <c r="AR47" s="4055"/>
      <c r="AS47" s="4055"/>
      <c r="AT47" s="4055"/>
      <c r="AU47" s="4055" t="str">
        <f>IF($AZ$45,"Bono",IF($BA$45,"",IF($BB$45,"Llamar espíritus","")))</f>
        <v/>
      </c>
      <c r="AV47" s="4056"/>
      <c r="AW47" s="2005"/>
      <c r="AX47" s="1706"/>
      <c r="AY47" s="1885">
        <f>IF(AC47="",0,VLOOKUP(AC47,Tablas!$M$1024:$N$1033,2)*VLOOKUP(W47,Tabla_CosteConjuros,3))</f>
        <v>0</v>
      </c>
      <c r="AZ47" s="4241" t="s">
        <v>8501</v>
      </c>
      <c r="BA47" s="4241"/>
      <c r="BB47" s="4241"/>
      <c r="BC47" s="4241" t="s">
        <v>8513</v>
      </c>
      <c r="BD47" s="4241"/>
      <c r="BE47" s="4241"/>
      <c r="BF47" s="4241" t="s">
        <v>8514</v>
      </c>
      <c r="BG47" s="4241"/>
      <c r="BH47" s="4241"/>
    </row>
    <row r="48" spans="1:60" ht="12" customHeight="1" x14ac:dyDescent="0.2">
      <c r="A48" s="173"/>
      <c r="B48" s="1703"/>
      <c r="C48" s="4138"/>
      <c r="D48" s="4138"/>
      <c r="E48" s="4138"/>
      <c r="F48" s="4138"/>
      <c r="G48" s="4138"/>
      <c r="H48" s="232"/>
      <c r="I48" s="67"/>
      <c r="J48" s="4130"/>
      <c r="K48" s="4131"/>
      <c r="L48" s="4131"/>
      <c r="M48" s="4131"/>
      <c r="N48" s="4131"/>
      <c r="O48" s="4131"/>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173"/>
      <c r="X48" s="3719"/>
      <c r="Y48" s="4051"/>
      <c r="Z48" s="4051"/>
      <c r="AA48" s="4051"/>
      <c r="AB48" s="4051"/>
      <c r="AC48" s="2175" t="str">
        <f>IF(Místicos!Y48=0,"",VLOOKUP(Místicos!Y48,Tabla_Conjuros,3,FALSE))</f>
        <v/>
      </c>
      <c r="AD48" s="1885" t="str">
        <f t="shared" si="0"/>
        <v/>
      </c>
      <c r="AE48" s="4173"/>
      <c r="AF48" s="3719"/>
      <c r="AG48" s="4051"/>
      <c r="AH48" s="4051"/>
      <c r="AI48" s="4051"/>
      <c r="AJ48" s="4051"/>
      <c r="AK48" s="2173"/>
      <c r="AL48" s="3035">
        <f>IF(Místicos!AG48=0,0,VLOOKUP(Místicos!AG48,Tablas!#REF!,2,FALSE)-10)</f>
        <v>0</v>
      </c>
      <c r="AM48" s="173"/>
      <c r="AN48" s="1988"/>
      <c r="AO48" s="4255" t="str">
        <f>IF($AZ$45,AZ48,IF($BA$45,BA48,IF($BB$45,BB48,"")))</f>
        <v/>
      </c>
      <c r="AP48" s="4256"/>
      <c r="AQ48" s="4057" t="str">
        <f>IF($AZ$45,BC48,IF($BA$45,BD48,IF($BB$45,BE48,"")))</f>
        <v/>
      </c>
      <c r="AR48" s="4057"/>
      <c r="AS48" s="4057"/>
      <c r="AT48" s="4057"/>
      <c r="AU48" s="4057" t="str">
        <f t="shared" ref="AU48:AU55" si="2">IF($AZ$45,BF48,IF($BA$45,BG48,IF($BB$45,BH48,"")))</f>
        <v/>
      </c>
      <c r="AV48" s="4058"/>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208"/>
      <c r="D49" s="3208"/>
      <c r="E49" s="3208"/>
      <c r="F49" s="3208"/>
      <c r="G49" s="3208"/>
      <c r="H49" s="22"/>
      <c r="I49" s="67"/>
      <c r="J49" s="4132"/>
      <c r="K49" s="4133"/>
      <c r="L49" s="4133"/>
      <c r="M49" s="4133"/>
      <c r="N49" s="4133"/>
      <c r="O49" s="4133"/>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174"/>
      <c r="X49" s="3722"/>
      <c r="Y49" s="4050"/>
      <c r="Z49" s="4050"/>
      <c r="AA49" s="4050"/>
      <c r="AB49" s="4050"/>
      <c r="AC49" s="1628" t="str">
        <f>IF(Místicos!Y49=0,"",VLOOKUP(Místicos!Y49,Tabla_Conjuros,3,FALSE))</f>
        <v/>
      </c>
      <c r="AD49" s="1885" t="str">
        <f t="shared" si="0"/>
        <v/>
      </c>
      <c r="AE49" s="4174"/>
      <c r="AF49" s="3722"/>
      <c r="AG49" s="4050"/>
      <c r="AH49" s="4050"/>
      <c r="AI49" s="4050"/>
      <c r="AJ49" s="4050"/>
      <c r="AK49" s="2201"/>
      <c r="AL49" s="3035">
        <f>IF(Místicos!AG49=0,0,VLOOKUP(Místicos!AG49,Tablas!#REF!,2,FALSE)-10)</f>
        <v>0</v>
      </c>
      <c r="AM49" s="173"/>
      <c r="AN49" s="1988"/>
      <c r="AO49" s="4255" t="str">
        <f t="shared" ref="AO49:AO52" si="3">IF($AZ$45,AZ49,IF($BA$45,BA49,IF($BB$45,BB49,"")))</f>
        <v/>
      </c>
      <c r="AP49" s="4256"/>
      <c r="AQ49" s="4057" t="str">
        <f t="shared" ref="AQ49:AQ52" si="4">IF($AZ$45,BC49,IF($BA$45,BD49,IF($BB$45,BE49,"")))</f>
        <v/>
      </c>
      <c r="AR49" s="4057"/>
      <c r="AS49" s="4057"/>
      <c r="AT49" s="4057"/>
      <c r="AU49" s="4057" t="str">
        <f t="shared" si="2"/>
        <v/>
      </c>
      <c r="AV49" s="4058"/>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138"/>
      <c r="D50" s="4138"/>
      <c r="E50" s="4138"/>
      <c r="F50" s="4138"/>
      <c r="G50" s="4138"/>
      <c r="H50" s="232"/>
      <c r="I50" s="67"/>
      <c r="J50" s="4130"/>
      <c r="K50" s="4131"/>
      <c r="L50" s="4131"/>
      <c r="M50" s="4131"/>
      <c r="N50" s="4131"/>
      <c r="O50" s="4131"/>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66"/>
      <c r="X50" s="4035"/>
      <c r="Y50" s="4052"/>
      <c r="Z50" s="4052"/>
      <c r="AA50" s="4052"/>
      <c r="AB50" s="4052"/>
      <c r="AC50" s="2176" t="str">
        <f>IF(Místicos!Y50=0,"",VLOOKUP(Místicos!Y50,Tabla_Conjuros,3,FALSE))</f>
        <v/>
      </c>
      <c r="AD50" s="1885" t="str">
        <f t="shared" si="0"/>
        <v/>
      </c>
      <c r="AE50" s="4166"/>
      <c r="AF50" s="4035"/>
      <c r="AG50" s="4052"/>
      <c r="AH50" s="4052"/>
      <c r="AI50" s="4052"/>
      <c r="AJ50" s="4052"/>
      <c r="AK50" s="2174"/>
      <c r="AL50" s="3035">
        <f>IF(Místicos!AG50=0,0,VLOOKUP(Místicos!AG50,Tablas!#REF!,2,FALSE)-10)</f>
        <v>0</v>
      </c>
      <c r="AM50" s="173"/>
      <c r="AN50" s="1988"/>
      <c r="AO50" s="4255" t="str">
        <f t="shared" si="3"/>
        <v/>
      </c>
      <c r="AP50" s="4256"/>
      <c r="AQ50" s="4057" t="str">
        <f t="shared" si="4"/>
        <v/>
      </c>
      <c r="AR50" s="4057"/>
      <c r="AS50" s="4057"/>
      <c r="AT50" s="4057"/>
      <c r="AU50" s="4057" t="str">
        <f t="shared" si="2"/>
        <v/>
      </c>
      <c r="AV50" s="4058"/>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208"/>
      <c r="D51" s="3208"/>
      <c r="E51" s="3208"/>
      <c r="F51" s="3208"/>
      <c r="G51" s="3208"/>
      <c r="H51" s="22"/>
      <c r="I51" s="67"/>
      <c r="J51" s="4132"/>
      <c r="K51" s="4133"/>
      <c r="L51" s="4133"/>
      <c r="M51" s="4133"/>
      <c r="N51" s="4133"/>
      <c r="O51" s="4133"/>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255" t="str">
        <f t="shared" si="3"/>
        <v/>
      </c>
      <c r="AP51" s="4256"/>
      <c r="AQ51" s="4057" t="str">
        <f t="shared" si="4"/>
        <v/>
      </c>
      <c r="AR51" s="4057"/>
      <c r="AS51" s="4057"/>
      <c r="AT51" s="4057"/>
      <c r="AU51" s="4057" t="str">
        <f t="shared" si="2"/>
        <v/>
      </c>
      <c r="AV51" s="4058"/>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138"/>
      <c r="D52" s="4138"/>
      <c r="E52" s="4138"/>
      <c r="F52" s="4138"/>
      <c r="G52" s="4138"/>
      <c r="H52" s="232"/>
      <c r="I52" s="67"/>
      <c r="J52" s="4130"/>
      <c r="K52" s="4131"/>
      <c r="L52" s="4131"/>
      <c r="M52" s="4131"/>
      <c r="N52" s="4131"/>
      <c r="O52" s="4131"/>
      <c r="P52" s="1823" t="str">
        <f>IF(J52=0,"",VLOOKUP(J52,Tablas!$AA$1013:$AC$1182,2,FALSE))</f>
        <v/>
      </c>
      <c r="Q52" s="1863" t="str">
        <f>IF(J52=0,"",VLOOKUP(J52,Tablas!$AA$1013:$AC$1182,3,FALSE)*IF($P$25="Invocador",0.5,1))</f>
        <v/>
      </c>
      <c r="R52" s="67"/>
      <c r="S52" s="1710"/>
      <c r="T52" s="1497"/>
      <c r="U52" s="173"/>
      <c r="V52" s="1876"/>
      <c r="W52" s="3471" t="s">
        <v>2042</v>
      </c>
      <c r="X52" s="3472"/>
      <c r="Y52" s="3472"/>
      <c r="Z52" s="3472"/>
      <c r="AA52" s="3472"/>
      <c r="AB52" s="4168" t="s">
        <v>1861</v>
      </c>
      <c r="AC52" s="4168"/>
      <c r="AD52" s="4168"/>
      <c r="AE52" s="4168"/>
      <c r="AF52" s="4168"/>
      <c r="AG52" s="4168"/>
      <c r="AH52" s="4168"/>
      <c r="AI52" s="4168"/>
      <c r="AJ52" s="4168"/>
      <c r="AK52" s="4169"/>
      <c r="AL52" s="3029"/>
      <c r="AM52" s="173"/>
      <c r="AN52" s="1988"/>
      <c r="AO52" s="4255" t="str">
        <f t="shared" si="3"/>
        <v/>
      </c>
      <c r="AP52" s="4256"/>
      <c r="AQ52" s="4057" t="str">
        <f t="shared" si="4"/>
        <v/>
      </c>
      <c r="AR52" s="4057"/>
      <c r="AS52" s="4057"/>
      <c r="AT52" s="4057"/>
      <c r="AU52" s="4057" t="str">
        <f t="shared" si="2"/>
        <v/>
      </c>
      <c r="AV52" s="4058"/>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208"/>
      <c r="D53" s="3208"/>
      <c r="E53" s="3208"/>
      <c r="F53" s="3208"/>
      <c r="G53" s="3208"/>
      <c r="H53" s="22"/>
      <c r="I53" s="67"/>
      <c r="J53" s="4132"/>
      <c r="K53" s="4133"/>
      <c r="L53" s="4133"/>
      <c r="M53" s="4133"/>
      <c r="N53" s="4133"/>
      <c r="O53" s="4133"/>
      <c r="P53" s="1822" t="str">
        <f>IF(J53=0,"",VLOOKUP(J53,Tablas!$AA$1013:$AC$1182,2,FALSE))</f>
        <v/>
      </c>
      <c r="Q53" s="1862" t="str">
        <f>IF(J53=0,"",VLOOKUP(J53,Tablas!$AA$1013:$AC$1182,3,FALSE)*IF($P$25="Invocador",0.5,1))</f>
        <v/>
      </c>
      <c r="R53" s="67"/>
      <c r="S53" s="1710"/>
      <c r="T53" s="1497"/>
      <c r="U53" s="173"/>
      <c r="V53" s="1876"/>
      <c r="W53" s="4170" t="str">
        <f>IF(SUM(Tablas!P1111:S1152)=0,"",IF(Tablas!A1&gt;MAX(Tablas!$P$1111:$P$1152),"",VLOOKUP(Tablas!A1,Tablas!$P$1111:$T$1152,2,FALSE)))</f>
        <v/>
      </c>
      <c r="X53" s="3898"/>
      <c r="Y53" s="3898"/>
      <c r="Z53" s="3898"/>
      <c r="AA53" s="3898"/>
      <c r="AB53" s="4032" t="str">
        <f>IF(SUM(Tablas!$P$1111:$P$1152)=0,"",IF(Tablas!A1&gt;MAX(Tablas!$P$1111:$P$1152),"",VLOOKUP(Tablas!A1,Tablas!$P$1111:$T$1152,4,FALSE)))</f>
        <v/>
      </c>
      <c r="AC53" s="4171"/>
      <c r="AD53" s="4171"/>
      <c r="AE53" s="4171"/>
      <c r="AF53" s="4171"/>
      <c r="AG53" s="4171"/>
      <c r="AH53" s="4171"/>
      <c r="AI53" s="4171"/>
      <c r="AJ53" s="4171"/>
      <c r="AK53" s="4172"/>
      <c r="AL53" s="3029"/>
      <c r="AM53" s="173"/>
      <c r="AN53" s="1988"/>
      <c r="AO53" s="4255" t="str">
        <f>IF($AZ$45,AZ53,IF($BA$45,BA53,IF($BB$45,BB53,"")))</f>
        <v/>
      </c>
      <c r="AP53" s="4256"/>
      <c r="AQ53" s="4057" t="str">
        <f>IF($AZ$45,BC53,IF($BA$45,BD53,IF($BB$45,BE53,"")))</f>
        <v/>
      </c>
      <c r="AR53" s="4057"/>
      <c r="AS53" s="4057"/>
      <c r="AT53" s="4057"/>
      <c r="AU53" s="4057" t="str">
        <f t="shared" si="2"/>
        <v/>
      </c>
      <c r="AV53" s="4058"/>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138"/>
      <c r="D54" s="4138"/>
      <c r="E54" s="4138"/>
      <c r="F54" s="4138"/>
      <c r="G54" s="4138"/>
      <c r="H54" s="232"/>
      <c r="I54" s="67"/>
      <c r="J54" s="4130"/>
      <c r="K54" s="4131"/>
      <c r="L54" s="4131"/>
      <c r="M54" s="4131"/>
      <c r="N54" s="4131"/>
      <c r="O54" s="4131"/>
      <c r="P54" s="1823" t="str">
        <f>IF(J54=0,"",VLOOKUP(J54,Tablas!$AA$1013:$AC$1182,2,FALSE))</f>
        <v/>
      </c>
      <c r="Q54" s="1863" t="str">
        <f>IF(J54=0,"",VLOOKUP(J54,Tablas!$AA$1013:$AC$1182,3,FALSE)*IF($P$25="Invocador",0.5,1))</f>
        <v/>
      </c>
      <c r="R54" s="67"/>
      <c r="S54" s="1710"/>
      <c r="T54" s="1497"/>
      <c r="U54" s="173"/>
      <c r="V54" s="1876"/>
      <c r="W54" s="4167" t="str">
        <f>IF(SUM(Tablas!$P$1111:$P$1152)=0,"",IF(Tablas!A2&gt;MAX(Tablas!$P$1111:$P$1152),"",VLOOKUP(Tablas!A2,Tablas!$P$1111:$T$1152,2,FALSE)))</f>
        <v/>
      </c>
      <c r="X54" s="3872"/>
      <c r="Y54" s="3872"/>
      <c r="Z54" s="3872"/>
      <c r="AA54" s="3872"/>
      <c r="AB54" s="3389" t="str">
        <f>IF(SUM(Tablas!$P$1111:$P$1152)=0,"",IF(Tablas!A2&gt;MAX(Tablas!$P$1111:$P$1152),"",VLOOKUP(Tablas!A2,Tablas!$P$1111:$T$1152,4,FALSE)))</f>
        <v/>
      </c>
      <c r="AC54" s="3272"/>
      <c r="AD54" s="3272"/>
      <c r="AE54" s="3272"/>
      <c r="AF54" s="3272"/>
      <c r="AG54" s="3272"/>
      <c r="AH54" s="3272"/>
      <c r="AI54" s="3272"/>
      <c r="AJ54" s="3272"/>
      <c r="AK54" s="4159"/>
      <c r="AL54" s="3029"/>
      <c r="AM54" s="173"/>
      <c r="AN54" s="1988"/>
      <c r="AO54" s="4273" t="str">
        <f>IF($AZ$45,AZ54,IF($BA$45,BA54,IF($BB$45,BB54,"")))</f>
        <v/>
      </c>
      <c r="AP54" s="4274"/>
      <c r="AQ54" s="4085" t="str">
        <f>IF($AZ$45,BC54,IF($BA$45,BD54,IF($BB$45,BE54,"")))</f>
        <v/>
      </c>
      <c r="AR54" s="4085"/>
      <c r="AS54" s="4085"/>
      <c r="AT54" s="4085"/>
      <c r="AU54" s="4085" t="str">
        <f t="shared" si="2"/>
        <v/>
      </c>
      <c r="AV54" s="4086"/>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208"/>
      <c r="D55" s="3208"/>
      <c r="E55" s="3208"/>
      <c r="F55" s="3208"/>
      <c r="G55" s="3208"/>
      <c r="H55" s="22"/>
      <c r="J55" s="4132"/>
      <c r="K55" s="4133"/>
      <c r="L55" s="4133"/>
      <c r="M55" s="4133"/>
      <c r="N55" s="4133"/>
      <c r="O55" s="4133"/>
      <c r="P55" s="1822" t="str">
        <f>IF(J55=0,"",VLOOKUP(J55,Tablas!$AA$1013:$AC$1182,2,FALSE))</f>
        <v/>
      </c>
      <c r="Q55" s="1862" t="str">
        <f>IF(J55=0,"",VLOOKUP(J55,Tablas!$AA$1013:$AC$1182,3,FALSE)*IF($P$25="Invocador",0.5,1))</f>
        <v/>
      </c>
      <c r="R55" s="67"/>
      <c r="S55" s="1710"/>
      <c r="T55" s="1497"/>
      <c r="U55" s="173"/>
      <c r="V55" s="1876"/>
      <c r="W55" s="4143" t="str">
        <f>IF(SUM(Tablas!$P$1111:$P$1152)=0,"",IF(Tablas!A3&gt;MAX(Tablas!$P$1111:$P$1152),"",VLOOKUP(Tablas!A3,Tablas!$P$1111:$T$1152,2,FALSE)))</f>
        <v/>
      </c>
      <c r="X55" s="4144"/>
      <c r="Y55" s="4144"/>
      <c r="Z55" s="4144"/>
      <c r="AA55" s="4145"/>
      <c r="AB55" s="3389" t="str">
        <f>IF(SUM(Tablas!$P$1111:$P$1152)=0,"",IF(Tablas!A3&gt;MAX(Tablas!$P$1111:$P$1152),"",VLOOKUP(Tablas!A3,Tablas!$P$1111:$T$1152,4,FALSE)))</f>
        <v/>
      </c>
      <c r="AC55" s="3272"/>
      <c r="AD55" s="3272"/>
      <c r="AE55" s="3272"/>
      <c r="AF55" s="3272"/>
      <c r="AG55" s="3272"/>
      <c r="AH55" s="3272"/>
      <c r="AI55" s="3272"/>
      <c r="AJ55" s="3272"/>
      <c r="AK55" s="4159"/>
      <c r="AL55" s="3029"/>
      <c r="AM55" s="173"/>
      <c r="AN55" s="1988"/>
      <c r="AO55" s="4102" t="str">
        <f>IF($AZ$45,AZ55,IF($BA$45,BA55,IF($BB$45,BB55,"")))</f>
        <v/>
      </c>
      <c r="AP55" s="4103"/>
      <c r="AQ55" s="4083" t="str">
        <f>IF($AZ$45,BC55,IF($BA$45,BD55,IF($BB$45,BE55,"")))</f>
        <v/>
      </c>
      <c r="AR55" s="4264"/>
      <c r="AS55" s="4264"/>
      <c r="AT55" s="4265"/>
      <c r="AU55" s="4083" t="str">
        <f t="shared" si="2"/>
        <v/>
      </c>
      <c r="AV55" s="4084"/>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138"/>
      <c r="D56" s="4138"/>
      <c r="E56" s="4138"/>
      <c r="F56" s="4138"/>
      <c r="G56" s="4138"/>
      <c r="H56" s="232"/>
      <c r="J56" s="4130"/>
      <c r="K56" s="4131"/>
      <c r="L56" s="4131"/>
      <c r="M56" s="4131"/>
      <c r="N56" s="4131"/>
      <c r="O56" s="4131"/>
      <c r="P56" s="1889" t="str">
        <f>IF(J56=0,"",VLOOKUP(J56,Tablas!$AA$1013:$AC$1182,2,FALSE))</f>
        <v/>
      </c>
      <c r="Q56" s="1863" t="str">
        <f>IF(J56=0,"",VLOOKUP(J56,Tablas!$AA$1013:$AC$1182,3,FALSE)*IF($P$25="Invocador",0.5,1))</f>
        <v/>
      </c>
      <c r="R56" s="67"/>
      <c r="S56" s="1710"/>
      <c r="T56" s="1497"/>
      <c r="U56" s="173"/>
      <c r="V56" s="1876"/>
      <c r="W56" s="4143" t="str">
        <f>IF(SUM(Tablas!$P$1111:$P$1152)=0,"",IF(Tablas!A4&gt;MAX(Tablas!$P$1111:$P$1152),"",VLOOKUP(Tablas!A4,Tablas!$P$1111:$T$1152,2,FALSE)))</f>
        <v/>
      </c>
      <c r="X56" s="4144"/>
      <c r="Y56" s="4144"/>
      <c r="Z56" s="4144"/>
      <c r="AA56" s="4145"/>
      <c r="AB56" s="3389" t="str">
        <f>IF(SUM(Tablas!$P$1111:$P$1152)=0,"",IF(Tablas!A4&gt;MAX(Tablas!$P$1111:$P$1152),"",VLOOKUP(Tablas!A4,Tablas!$P$1111:$T$1152,4,FALSE)))</f>
        <v/>
      </c>
      <c r="AC56" s="3272"/>
      <c r="AD56" s="3272"/>
      <c r="AE56" s="3272"/>
      <c r="AF56" s="3272"/>
      <c r="AG56" s="3272"/>
      <c r="AH56" s="3272"/>
      <c r="AI56" s="3272"/>
      <c r="AJ56" s="3272"/>
      <c r="AK56" s="4159"/>
      <c r="AL56" s="3029"/>
      <c r="AM56" s="173"/>
      <c r="AN56" s="1988"/>
      <c r="AO56" s="4261" t="str">
        <f t="shared" ref="AO56" si="5">IF($AZ$45,AZ56,IF($BA$45,BA56,IF($BB$45,BB56,"")))</f>
        <v/>
      </c>
      <c r="AP56" s="4262"/>
      <c r="AQ56" s="4093" t="str">
        <f>IF($AZ$45,BC56,IF($BA$45,BD56,IF($BB$45,BE56,"")))</f>
        <v/>
      </c>
      <c r="AR56" s="4094"/>
      <c r="AS56" s="4094"/>
      <c r="AT56" s="4094"/>
      <c r="AU56" s="4094"/>
      <c r="AV56" s="4095"/>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208"/>
      <c r="D57" s="3208"/>
      <c r="E57" s="3208"/>
      <c r="F57" s="3208"/>
      <c r="G57" s="3208"/>
      <c r="H57" s="22"/>
      <c r="J57" s="4132"/>
      <c r="K57" s="4133"/>
      <c r="L57" s="4133"/>
      <c r="M57" s="4133"/>
      <c r="N57" s="4133"/>
      <c r="O57" s="4133"/>
      <c r="P57" s="1822" t="str">
        <f>IF(J57=0,"",VLOOKUP(J57,Tablas!$AA$1013:$AC$1182,2,FALSE))</f>
        <v/>
      </c>
      <c r="Q57" s="1862" t="str">
        <f>IF(J57=0,"",VLOOKUP(J57,Tablas!$AA$1013:$AC$1182,3,FALSE)*IF($P$25="Invocador",0.5,1))</f>
        <v/>
      </c>
      <c r="R57" s="67"/>
      <c r="S57" s="1710"/>
      <c r="T57" s="1497"/>
      <c r="U57" s="173"/>
      <c r="V57" s="1876"/>
      <c r="W57" s="4143" t="str">
        <f>IF(SUM(Tablas!$P$1111:$P$1152)=0,"",IF(Tablas!A5&gt;MAX(Tablas!$P$1111:$P$1152),"",VLOOKUP(Tablas!A5,Tablas!$P$1111:$T$1152,2,FALSE)))</f>
        <v/>
      </c>
      <c r="X57" s="4144"/>
      <c r="Y57" s="4144"/>
      <c r="Z57" s="4144"/>
      <c r="AA57" s="4145"/>
      <c r="AB57" s="3389" t="str">
        <f>IF(SUM(Tablas!$P$1111:$P$1152)=0,"",IF(Tablas!A5&gt;MAX(Tablas!$P$1111:$P$1152),"",VLOOKUP(Tablas!A5,Tablas!$P$1111:$T$1152,4,FALSE)))</f>
        <v/>
      </c>
      <c r="AC57" s="3272"/>
      <c r="AD57" s="3272"/>
      <c r="AE57" s="3272"/>
      <c r="AF57" s="3272"/>
      <c r="AG57" s="3272"/>
      <c r="AH57" s="3272"/>
      <c r="AI57" s="3272"/>
      <c r="AJ57" s="3272"/>
      <c r="AK57" s="4159"/>
      <c r="AL57" s="3029"/>
      <c r="AM57" s="173"/>
      <c r="AN57" s="1988"/>
      <c r="AO57" s="4089" t="str">
        <f>IF($AZ$45,AZ57,IF($BA$45,BA57,IF($BB$45,BB57,"")))</f>
        <v/>
      </c>
      <c r="AP57" s="4090"/>
      <c r="AQ57" s="4096" t="str">
        <f t="shared" ref="AQ57:AQ58" si="6">IF($AZ$45,BC57,IF($BA$45,BD57,IF($BB$45,BE57,"")))</f>
        <v/>
      </c>
      <c r="AR57" s="4097"/>
      <c r="AS57" s="4097"/>
      <c r="AT57" s="4097"/>
      <c r="AU57" s="4097"/>
      <c r="AV57" s="4098"/>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138"/>
      <c r="D58" s="4138"/>
      <c r="E58" s="4138"/>
      <c r="F58" s="4138"/>
      <c r="G58" s="4138"/>
      <c r="H58" s="232"/>
      <c r="J58" s="4130"/>
      <c r="K58" s="4131"/>
      <c r="L58" s="4131"/>
      <c r="M58" s="4131"/>
      <c r="N58" s="4131"/>
      <c r="O58" s="4131"/>
      <c r="P58" s="1823" t="str">
        <f>IF(J58=0,"",VLOOKUP(J58,Tablas!$AA$1013:$AC$1182,2,FALSE))</f>
        <v/>
      </c>
      <c r="Q58" s="1863" t="str">
        <f>IF(J58=0,"",VLOOKUP(J58,Tablas!$AA$1013:$AC$1182,3,FALSE)*IF($P$25="Invocador",0.5,1))</f>
        <v/>
      </c>
      <c r="R58" s="67"/>
      <c r="S58" s="1710"/>
      <c r="T58" s="1497"/>
      <c r="U58" s="173"/>
      <c r="V58" s="1876"/>
      <c r="W58" s="4143" t="str">
        <f>IF(SUM(Tablas!$P$1111:$P$1152)=0,"",IF(Tablas!A6&gt;MAX(Tablas!$P$1111:$P$1152),"",VLOOKUP(Tablas!A6,Tablas!$P$1111:$T$1152,2,FALSE)))</f>
        <v/>
      </c>
      <c r="X58" s="4144"/>
      <c r="Y58" s="4144"/>
      <c r="Z58" s="4144"/>
      <c r="AA58" s="4145"/>
      <c r="AB58" s="3389" t="str">
        <f>IF(SUM(Tablas!$P$1111:$P$1152)=0,"",IF(Tablas!A6&gt;MAX(Tablas!$P$1111:$P$1152),"",VLOOKUP(Tablas!A6,Tablas!$P$1111:$T$1152,4,FALSE)))</f>
        <v/>
      </c>
      <c r="AC58" s="3272"/>
      <c r="AD58" s="3272"/>
      <c r="AE58" s="3272"/>
      <c r="AF58" s="3272"/>
      <c r="AG58" s="3272"/>
      <c r="AH58" s="3272"/>
      <c r="AI58" s="3272"/>
      <c r="AJ58" s="3272"/>
      <c r="AK58" s="4159"/>
      <c r="AL58" s="3029"/>
      <c r="AM58" s="173"/>
      <c r="AN58" s="1988"/>
      <c r="AO58" s="4091" t="str">
        <f t="shared" ref="AO58" si="7">IF($AZ$45,AZ58,IF($BA$45,BA58,IF($BB$45,BB58,"")))</f>
        <v/>
      </c>
      <c r="AP58" s="4092"/>
      <c r="AQ58" s="4099" t="str">
        <f t="shared" si="6"/>
        <v/>
      </c>
      <c r="AR58" s="4100"/>
      <c r="AS58" s="4100"/>
      <c r="AT58" s="4100"/>
      <c r="AU58" s="4100"/>
      <c r="AV58" s="4101"/>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331" t="s">
        <v>2039</v>
      </c>
      <c r="D59" s="3331"/>
      <c r="E59" s="3331"/>
      <c r="F59" s="3331"/>
      <c r="G59" s="3331"/>
      <c r="H59" s="233">
        <f>SUM(H33:H58)+IF(Sheele!$F$5="No",0,Sheele!$U$5)</f>
        <v>0</v>
      </c>
      <c r="J59" s="4135" t="str">
        <f>IF(Tablas!X21,IF(AND(22-COUNTBLANK(P33:P58)&gt;VLOOKUP(Nivel_Sobrenatural,Tablas!$S$9:$X$12,6,FALSE)),"Número inicial de invocaciones excesivo. ","")&amp;IF(P25="Invocador","Costes de las invocaciones ya reducidos",""),"")</f>
        <v/>
      </c>
      <c r="K59" s="4136"/>
      <c r="L59" s="4136"/>
      <c r="M59" s="4136"/>
      <c r="N59" s="4136"/>
      <c r="O59" s="4136"/>
      <c r="P59" s="4136"/>
      <c r="Q59" s="4137"/>
      <c r="R59" s="67"/>
      <c r="S59" s="1710"/>
      <c r="T59" s="1497"/>
      <c r="U59" s="173"/>
      <c r="V59" s="1876"/>
      <c r="W59" s="4143" t="str">
        <f>IF(SUM(Tablas!$P$1111:$P$1152)=0,"",IF(Tablas!A7&gt;MAX(Tablas!$P$1111:$P$1152),"",VLOOKUP(Tablas!A7,Tablas!$P$1111:$T$1152,2,FALSE)))</f>
        <v/>
      </c>
      <c r="X59" s="4144"/>
      <c r="Y59" s="4144"/>
      <c r="Z59" s="4144"/>
      <c r="AA59" s="4145"/>
      <c r="AB59" s="3389" t="str">
        <f>IF(SUM(Tablas!$P$1111:$P$1152)=0,"",IF(Tablas!A7&gt;MAX(Tablas!$P$1111:$P$1152),"",VLOOKUP(Tablas!A7,Tablas!$P$1111:$T$1152,4,FALSE)))</f>
        <v/>
      </c>
      <c r="AC59" s="3272"/>
      <c r="AD59" s="3272"/>
      <c r="AE59" s="3272"/>
      <c r="AF59" s="3272"/>
      <c r="AG59" s="3272"/>
      <c r="AH59" s="3272"/>
      <c r="AI59" s="3272"/>
      <c r="AJ59" s="3272"/>
      <c r="AK59" s="4159"/>
      <c r="AL59" s="3029"/>
      <c r="AM59" s="173"/>
      <c r="AN59" s="1988"/>
      <c r="AW59" s="2005"/>
      <c r="AX59" s="1706"/>
    </row>
    <row r="60" spans="1:62" ht="12" customHeight="1" thickBot="1" x14ac:dyDescent="0.25">
      <c r="A60" s="173"/>
      <c r="B60" s="1703"/>
      <c r="R60" s="67"/>
      <c r="S60" s="1710"/>
      <c r="T60" s="1497"/>
      <c r="U60" s="173"/>
      <c r="V60" s="1876"/>
      <c r="W60" s="4143" t="str">
        <f>IF(SUM(Tablas!$P$1111:$P$1152)=0,"",IF(Tablas!A8&gt;MAX(Tablas!$P$1111:$P$1152),"",VLOOKUP(Tablas!A8,Tablas!$P$1111:$T$1152,2,FALSE)))</f>
        <v/>
      </c>
      <c r="X60" s="4144"/>
      <c r="Y60" s="4144"/>
      <c r="Z60" s="4144"/>
      <c r="AA60" s="4145"/>
      <c r="AB60" s="3389" t="str">
        <f>IF(SUM(Tablas!$P$1111:$P$1152)=0,"",IF(Tablas!A8&gt;MAX(Tablas!$P$1111:$P$1152),"",VLOOKUP(Tablas!A8,Tablas!$P$1111:$T$1152,4,FALSE)))</f>
        <v/>
      </c>
      <c r="AC60" s="3272"/>
      <c r="AD60" s="3272"/>
      <c r="AE60" s="3272"/>
      <c r="AF60" s="3272"/>
      <c r="AG60" s="3272"/>
      <c r="AH60" s="3272"/>
      <c r="AI60" s="3272"/>
      <c r="AJ60" s="3272"/>
      <c r="AK60" s="4159"/>
      <c r="AL60" s="3029"/>
      <c r="AM60" s="173"/>
      <c r="AN60" s="1988"/>
      <c r="AO60" s="4062" t="s">
        <v>8484</v>
      </c>
      <c r="AP60" s="4063"/>
      <c r="AQ60" s="4063"/>
      <c r="AR60" s="4063"/>
      <c r="AS60" s="4063"/>
      <c r="AT60" s="4063"/>
      <c r="AU60" s="4063"/>
      <c r="AV60" s="4064"/>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72" t="s">
        <v>2040</v>
      </c>
      <c r="D61" s="3172"/>
      <c r="E61" s="3172"/>
      <c r="F61" s="3172"/>
      <c r="G61" s="3172"/>
      <c r="H61" s="3172"/>
      <c r="I61" s="67"/>
      <c r="J61" s="4164" t="s">
        <v>2041</v>
      </c>
      <c r="K61" s="4164"/>
      <c r="L61" s="4164"/>
      <c r="M61" s="4165" t="s">
        <v>1823</v>
      </c>
      <c r="N61" s="4165"/>
      <c r="O61" s="4165"/>
      <c r="P61" s="4165"/>
      <c r="Q61" s="4165"/>
      <c r="R61" s="67"/>
      <c r="S61" s="1710"/>
      <c r="T61" s="1497"/>
      <c r="U61" s="173"/>
      <c r="V61" s="1876"/>
      <c r="W61" s="4143" t="str">
        <f>IF(SUM(Tablas!$P$1111:$P$1152)=0,"",IF(Tablas!A9&gt;MAX(Tablas!$P$1111:$P$1152),"",VLOOKUP(Tablas!A9,Tablas!$P$1111:$T$1152,2,FALSE)))</f>
        <v/>
      </c>
      <c r="X61" s="4144"/>
      <c r="Y61" s="4144"/>
      <c r="Z61" s="4144"/>
      <c r="AA61" s="4145"/>
      <c r="AB61" s="4146" t="str">
        <f>IF(SUM(Tablas!$P$1111:$P$1152)=0,"",IF(Tablas!A9&gt;MAX(Tablas!$P$1111:$P$1152),"",VLOOKUP(Tablas!A9,Tablas!$P$1111:$T$1152,4,FALSE)))</f>
        <v/>
      </c>
      <c r="AC61" s="4147"/>
      <c r="AD61" s="4147"/>
      <c r="AE61" s="4147"/>
      <c r="AF61" s="4147"/>
      <c r="AG61" s="4147"/>
      <c r="AH61" s="4147"/>
      <c r="AI61" s="4147"/>
      <c r="AJ61" s="4147"/>
      <c r="AK61" s="4148"/>
      <c r="AL61" s="3029"/>
      <c r="AM61" s="173"/>
      <c r="AN61" s="1988"/>
      <c r="AO61" s="4037" t="s">
        <v>2014</v>
      </c>
      <c r="AP61" s="4038"/>
      <c r="AQ61" s="4038" t="s">
        <v>2013</v>
      </c>
      <c r="AR61" s="4038"/>
      <c r="AS61" s="4038"/>
      <c r="AT61" s="2256"/>
      <c r="AU61" s="1981" t="s">
        <v>8485</v>
      </c>
      <c r="AV61" s="1980" t="s">
        <v>3101</v>
      </c>
      <c r="AW61" s="2005"/>
      <c r="AX61" s="1706"/>
    </row>
    <row r="62" spans="1:62" ht="12" customHeight="1" x14ac:dyDescent="0.2">
      <c r="A62" s="173"/>
      <c r="B62" s="1703"/>
      <c r="C62" s="4161" t="s">
        <v>2043</v>
      </c>
      <c r="D62" s="4161"/>
      <c r="E62" s="235" t="s">
        <v>1676</v>
      </c>
      <c r="F62" s="4162" t="s">
        <v>2044</v>
      </c>
      <c r="G62" s="4162"/>
      <c r="H62" s="4162"/>
      <c r="I62" s="67"/>
      <c r="J62" s="236">
        <v>20</v>
      </c>
      <c r="K62" s="4134" t="s">
        <v>2045</v>
      </c>
      <c r="L62" s="4134"/>
      <c r="M62" s="4163" t="s">
        <v>2046</v>
      </c>
      <c r="N62" s="4163"/>
      <c r="O62" s="4163"/>
      <c r="P62" s="4163"/>
      <c r="Q62" s="4163"/>
      <c r="R62" s="67"/>
      <c r="S62" s="1710"/>
      <c r="T62" s="1497"/>
      <c r="U62" s="173"/>
      <c r="V62" s="1876"/>
      <c r="W62" s="4143" t="str">
        <f>IF(SUM(Tablas!$P$1111:$P$1152)=0,"",IF(Tablas!A10&gt;MAX(Tablas!$P$1111:$P$1152),"",VLOOKUP(Tablas!A10,Tablas!$P$1111:$T$1152,2,FALSE)))</f>
        <v/>
      </c>
      <c r="X62" s="4144"/>
      <c r="Y62" s="4144"/>
      <c r="Z62" s="4144"/>
      <c r="AA62" s="4145"/>
      <c r="AB62" s="4146" t="str">
        <f>IF(SUM(Tablas!$P$1111:$P$1152)=0,"",IF(Tablas!A10&gt;MAX(Tablas!$P$1111:$P$1152),"",VLOOKUP(Tablas!A10,Tablas!$P$1111:$T$1152,4,FALSE)))</f>
        <v/>
      </c>
      <c r="AC62" s="4147"/>
      <c r="AD62" s="4147"/>
      <c r="AE62" s="4147"/>
      <c r="AF62" s="4147"/>
      <c r="AG62" s="4147"/>
      <c r="AH62" s="4147"/>
      <c r="AI62" s="4147"/>
      <c r="AJ62" s="4147"/>
      <c r="AK62" s="4148"/>
      <c r="AL62" s="3029"/>
      <c r="AM62" s="173"/>
      <c r="AN62" s="2255" t="str">
        <f>"Conjuros"&amp;IF(AO62="","","_"&amp;AO62)</f>
        <v>Conjuros</v>
      </c>
      <c r="AO62" s="4046"/>
      <c r="AP62" s="4047"/>
      <c r="AQ62" s="4048"/>
      <c r="AR62" s="4048"/>
      <c r="AS62" s="4048"/>
      <c r="AT62" s="4049"/>
      <c r="AU62" s="1939"/>
      <c r="AV62" s="1983">
        <f>IF(AQ62="",0,AU62*VLOOKUP(AQ62,'Tablas Magia'!$D$6:$Z$680,11,FALSE)/2)</f>
        <v>0</v>
      </c>
      <c r="AW62" s="2005"/>
      <c r="AX62" s="1706"/>
      <c r="BD62" s="3024"/>
    </row>
    <row r="63" spans="1:62" ht="12" customHeight="1" x14ac:dyDescent="0.2">
      <c r="A63" s="173"/>
      <c r="B63" s="1703"/>
      <c r="C63" s="4160" t="s">
        <v>2047</v>
      </c>
      <c r="D63" s="4160"/>
      <c r="E63" s="237">
        <v>-100</v>
      </c>
      <c r="F63" s="4126" t="s">
        <v>2048</v>
      </c>
      <c r="G63" s="4126"/>
      <c r="H63" s="4127">
        <v>20</v>
      </c>
      <c r="I63" s="67"/>
      <c r="J63" s="236">
        <v>40</v>
      </c>
      <c r="K63" s="4134" t="s">
        <v>2049</v>
      </c>
      <c r="L63" s="4134"/>
      <c r="M63" s="4150" t="s">
        <v>2050</v>
      </c>
      <c r="N63" s="4150"/>
      <c r="O63" s="4150"/>
      <c r="P63" s="4150"/>
      <c r="Q63" s="4150"/>
      <c r="R63" s="67"/>
      <c r="S63" s="1710"/>
      <c r="T63" s="1497"/>
      <c r="U63" s="173"/>
      <c r="V63" s="1876"/>
      <c r="W63" s="4143" t="str">
        <f>IF(SUM(Tablas!$P$1111:$P$1152)=0,"",IF(Tablas!A11&gt;MAX(Tablas!$P$1111:$P$1152),"",VLOOKUP(Tablas!A11,Tablas!$P$1111:$T$1152,2,FALSE)))</f>
        <v/>
      </c>
      <c r="X63" s="4144"/>
      <c r="Y63" s="4144"/>
      <c r="Z63" s="4144"/>
      <c r="AA63" s="4145"/>
      <c r="AB63" s="4146" t="str">
        <f>IF(SUM(Tablas!$P$1111:$P$1152)=0,"",IF(Tablas!A11&gt;MAX(Tablas!$P$1111:$P$1152),"",VLOOKUP(Tablas!A11,Tablas!$P$1111:$T$1152,4,FALSE)))</f>
        <v/>
      </c>
      <c r="AC63" s="4147"/>
      <c r="AD63" s="4147"/>
      <c r="AE63" s="4147"/>
      <c r="AF63" s="4147"/>
      <c r="AG63" s="4147"/>
      <c r="AH63" s="4147"/>
      <c r="AI63" s="4147"/>
      <c r="AJ63" s="4147"/>
      <c r="AK63" s="4148"/>
      <c r="AL63" s="3029"/>
      <c r="AM63" s="173"/>
      <c r="AN63" s="2255" t="str">
        <f t="shared" ref="AN63:AN72" si="8">"Conjuros"&amp;IF(AO63="","","_"&amp;AO63)</f>
        <v>Conjuros</v>
      </c>
      <c r="AO63" s="4039"/>
      <c r="AP63" s="4040"/>
      <c r="AQ63" s="4041"/>
      <c r="AR63" s="4041"/>
      <c r="AS63" s="4041"/>
      <c r="AT63" s="4042"/>
      <c r="AU63" s="1982"/>
      <c r="AV63" s="1984">
        <f>IF(AQ63="",0,AU63*VLOOKUP(AQ63,'Tablas Magia'!$D$6:$Z$680,11,FALSE)/2)</f>
        <v>0</v>
      </c>
      <c r="AW63" s="2005"/>
      <c r="AX63" s="1706"/>
      <c r="BD63" s="3024"/>
    </row>
    <row r="64" spans="1:62" ht="12" customHeight="1" x14ac:dyDescent="0.2">
      <c r="A64" s="173"/>
      <c r="B64" s="1703"/>
      <c r="C64" s="4125" t="s">
        <v>2051</v>
      </c>
      <c r="D64" s="4125"/>
      <c r="E64" s="237">
        <v>-50</v>
      </c>
      <c r="F64" s="4126"/>
      <c r="G64" s="4126"/>
      <c r="H64" s="4127"/>
      <c r="I64" s="67"/>
      <c r="J64" s="236">
        <v>80</v>
      </c>
      <c r="K64" s="4134" t="s">
        <v>2052</v>
      </c>
      <c r="L64" s="4134"/>
      <c r="M64" s="4150" t="s">
        <v>2053</v>
      </c>
      <c r="N64" s="4150"/>
      <c r="O64" s="4150"/>
      <c r="P64" s="4150"/>
      <c r="Q64" s="4150"/>
      <c r="R64" s="67"/>
      <c r="S64" s="1710"/>
      <c r="T64" s="1497"/>
      <c r="U64" s="173"/>
      <c r="V64" s="1876"/>
      <c r="W64" s="4143" t="str">
        <f>IF(SUM(Tablas!$P$1111:$P$1152)=0,"",IF(Tablas!A12&gt;MAX(Tablas!$P$1111:$P$1152),"",VLOOKUP(Tablas!A12,Tablas!$P$1111:$T$1152,2,FALSE)))</f>
        <v/>
      </c>
      <c r="X64" s="4144"/>
      <c r="Y64" s="4144"/>
      <c r="Z64" s="4144"/>
      <c r="AA64" s="4145"/>
      <c r="AB64" s="4146" t="str">
        <f>IF(SUM(Tablas!$P$1111:$P$1152)=0,"",IF(Tablas!A12&gt;MAX(Tablas!$P$1111:$P$1152),"",VLOOKUP(Tablas!A12,Tablas!$P$1111:$T$1152,4,FALSE)))</f>
        <v/>
      </c>
      <c r="AC64" s="4147"/>
      <c r="AD64" s="4147"/>
      <c r="AE64" s="4147"/>
      <c r="AF64" s="4147"/>
      <c r="AG64" s="4147"/>
      <c r="AH64" s="4147"/>
      <c r="AI64" s="4147"/>
      <c r="AJ64" s="4147"/>
      <c r="AK64" s="4148"/>
      <c r="AL64" s="3029"/>
      <c r="AM64" s="173"/>
      <c r="AN64" s="2255" t="str">
        <f t="shared" si="8"/>
        <v>Conjuros</v>
      </c>
      <c r="AO64" s="4043"/>
      <c r="AP64" s="4044"/>
      <c r="AQ64" s="3719"/>
      <c r="AR64" s="3719"/>
      <c r="AS64" s="3719"/>
      <c r="AT64" s="4045"/>
      <c r="AU64" s="1940"/>
      <c r="AV64" s="1935">
        <f>IF(AQ64="",0,AU64*VLOOKUP(AQ64,'Tablas Magia'!$D$6:$Z$680,11,FALSE)/2)</f>
        <v>0</v>
      </c>
      <c r="AW64" s="2005"/>
      <c r="AX64" s="1706"/>
    </row>
    <row r="65" spans="1:50" ht="12" customHeight="1" x14ac:dyDescent="0.2">
      <c r="A65" s="173"/>
      <c r="B65" s="1703"/>
      <c r="C65" s="4125" t="s">
        <v>2054</v>
      </c>
      <c r="D65" s="4125"/>
      <c r="E65" s="237">
        <v>-20</v>
      </c>
      <c r="F65" s="4126" t="s">
        <v>2055</v>
      </c>
      <c r="G65" s="4126"/>
      <c r="H65" s="4127">
        <v>10</v>
      </c>
      <c r="I65" s="67"/>
      <c r="J65" s="236">
        <v>120</v>
      </c>
      <c r="K65" s="4134" t="s">
        <v>2056</v>
      </c>
      <c r="L65" s="4134"/>
      <c r="M65" s="4150" t="str">
        <f>IF(Metamagia!$R$54+Metamagia!$U$54+Metamagia!$AA$54+Metamagia!$AA$59+Metamagia!$AA$64+Metamagia!$AD$48+Metamagia!$AG$46&gt;0,"Blancos hasta 100m. Zeón 10","Blancos hasta 100m")</f>
        <v>Blancos hasta 100m</v>
      </c>
      <c r="N65" s="4150"/>
      <c r="O65" s="4150"/>
      <c r="P65" s="4150"/>
      <c r="Q65" s="4150"/>
      <c r="R65" s="67"/>
      <c r="S65" s="1710"/>
      <c r="T65" s="1497"/>
      <c r="U65" s="173"/>
      <c r="V65" s="1876"/>
      <c r="W65" s="4143" t="str">
        <f>IF(SUM(Tablas!$P$1111:$P$1152)=0,"",IF(Tablas!A13&gt;MAX(Tablas!$P$1111:$P$1152),"",VLOOKUP(Tablas!A13,Tablas!$P$1111:$T$1152,2,FALSE)))</f>
        <v/>
      </c>
      <c r="X65" s="4144"/>
      <c r="Y65" s="4144"/>
      <c r="Z65" s="4144"/>
      <c r="AA65" s="4145"/>
      <c r="AB65" s="4146" t="str">
        <f>IF(SUM(Tablas!$P$1111:$P$1152)=0,"",IF(Tablas!A13&gt;MAX(Tablas!$P$1111:$P$1152),"",VLOOKUP(Tablas!A13,Tablas!$P$1111:$T$1152,4,FALSE)))</f>
        <v/>
      </c>
      <c r="AC65" s="4147"/>
      <c r="AD65" s="4147"/>
      <c r="AE65" s="4147"/>
      <c r="AF65" s="4147"/>
      <c r="AG65" s="4147"/>
      <c r="AH65" s="4147"/>
      <c r="AI65" s="4147"/>
      <c r="AJ65" s="4147"/>
      <c r="AK65" s="4148"/>
      <c r="AL65" s="3028"/>
      <c r="AM65" s="173"/>
      <c r="AN65" s="2255" t="str">
        <f t="shared" si="8"/>
        <v>Conjuros</v>
      </c>
      <c r="AO65" s="4039"/>
      <c r="AP65" s="4040"/>
      <c r="AQ65" s="4041"/>
      <c r="AR65" s="4041"/>
      <c r="AS65" s="4041"/>
      <c r="AT65" s="4042"/>
      <c r="AU65" s="1982"/>
      <c r="AV65" s="1984">
        <f>IF(AQ65="",0,AU65*VLOOKUP(AQ65,'Tablas Magia'!$D$6:$Z$680,11,FALSE)/2)</f>
        <v>0</v>
      </c>
      <c r="AW65" s="2004"/>
      <c r="AX65" s="1706"/>
    </row>
    <row r="66" spans="1:50" ht="12" customHeight="1" x14ac:dyDescent="0.2">
      <c r="A66" s="173"/>
      <c r="B66" s="1703"/>
      <c r="C66" s="4125" t="s">
        <v>2057</v>
      </c>
      <c r="D66" s="4125"/>
      <c r="E66" s="237">
        <v>0</v>
      </c>
      <c r="F66" s="4126"/>
      <c r="G66" s="4126"/>
      <c r="H66" s="4127"/>
      <c r="I66" s="67"/>
      <c r="J66" s="236">
        <v>140</v>
      </c>
      <c r="K66" s="4134" t="s">
        <v>2058</v>
      </c>
      <c r="L66" s="4134"/>
      <c r="M66" s="4150" t="str">
        <f>IF(Metamagia!$R$54+Metamagia!$U$54+Metamagia!$AA$54+Metamagia!$AA$59+Metamagia!$AA$64+Metamagia!$AD$48+Metamagia!$AG$46&gt;1,"Blancos hasta 250m. Zeón 20","Blancos hasta 250m")</f>
        <v>Blancos hasta 250m</v>
      </c>
      <c r="N66" s="4150"/>
      <c r="O66" s="4150"/>
      <c r="P66" s="4150"/>
      <c r="Q66" s="4150"/>
      <c r="R66" s="67"/>
      <c r="S66" s="1710"/>
      <c r="T66" s="1497"/>
      <c r="U66" s="173"/>
      <c r="V66" s="1876"/>
      <c r="W66" s="4143" t="str">
        <f>IF(SUM(Tablas!$P$1111:$P$1152)=0,"",IF(Tablas!A14&gt;MAX(Tablas!$P$1111:$P$1152),"",VLOOKUP(Tablas!A14,Tablas!$P$1111:$T$1152,2,FALSE)))</f>
        <v/>
      </c>
      <c r="X66" s="4144"/>
      <c r="Y66" s="4144"/>
      <c r="Z66" s="4144"/>
      <c r="AA66" s="4145"/>
      <c r="AB66" s="4146" t="str">
        <f>IF(SUM(Tablas!$P$1111:$P$1152)=0,"",IF(Tablas!A14&gt;MAX(Tablas!$P$1111:$P$1152),"",VLOOKUP(Tablas!A14,Tablas!$P$1111:$T$1152,4,FALSE)))</f>
        <v/>
      </c>
      <c r="AC66" s="4147"/>
      <c r="AD66" s="4147"/>
      <c r="AE66" s="4147"/>
      <c r="AF66" s="4147"/>
      <c r="AG66" s="4147"/>
      <c r="AH66" s="4147"/>
      <c r="AI66" s="4147"/>
      <c r="AJ66" s="4147"/>
      <c r="AK66" s="4148"/>
      <c r="AL66" s="3028"/>
      <c r="AM66" s="173"/>
      <c r="AN66" s="2255" t="str">
        <f t="shared" si="8"/>
        <v>Conjuros</v>
      </c>
      <c r="AO66" s="4043"/>
      <c r="AP66" s="4044"/>
      <c r="AQ66" s="3719"/>
      <c r="AR66" s="3719"/>
      <c r="AS66" s="3719"/>
      <c r="AT66" s="4045"/>
      <c r="AU66" s="1940"/>
      <c r="AV66" s="1935">
        <f>IF(AQ66="",0,AU66*VLOOKUP(AQ66,'Tablas Magia'!$D$6:$Z$680,11,FALSE)/2)</f>
        <v>0</v>
      </c>
      <c r="AW66" s="2004"/>
      <c r="AX66" s="1706"/>
    </row>
    <row r="67" spans="1:50" ht="12" customHeight="1" x14ac:dyDescent="0.2">
      <c r="A67" s="173"/>
      <c r="B67" s="1703"/>
      <c r="C67" s="4125" t="s">
        <v>2059</v>
      </c>
      <c r="D67" s="4125"/>
      <c r="E67" s="237">
        <v>10</v>
      </c>
      <c r="F67" s="4126" t="s">
        <v>2060</v>
      </c>
      <c r="G67" s="4126"/>
      <c r="H67" s="4127">
        <v>20</v>
      </c>
      <c r="I67" s="67"/>
      <c r="J67" s="236">
        <v>180</v>
      </c>
      <c r="K67" s="4134" t="s">
        <v>2061</v>
      </c>
      <c r="L67" s="4134"/>
      <c r="M67" s="4150" t="str">
        <f>IF(Metamagia!$R$54+Metamagia!$U$54+Metamagia!$AA$54+Metamagia!$AA$59+Metamagia!$AA$64+Metamagia!$AD$48+Metamagia!$AG$46&gt;2,"Blancos hasta 500m. Zeón 40","Blancos hasta 500m")</f>
        <v>Blancos hasta 500m</v>
      </c>
      <c r="N67" s="4150"/>
      <c r="O67" s="4150"/>
      <c r="P67" s="4150"/>
      <c r="Q67" s="4150"/>
      <c r="R67" s="67"/>
      <c r="S67" s="1710"/>
      <c r="T67" s="1497"/>
      <c r="U67" s="173"/>
      <c r="V67" s="1876"/>
      <c r="W67" s="4143" t="str">
        <f>IF(SUM(Tablas!$P$1111:$P$1152)=0,"",IF(Tablas!A15&gt;MAX(Tablas!$P$1111:$P$1152),"",VLOOKUP(Tablas!A15,Tablas!$P$1111:$T$1152,2,FALSE)))</f>
        <v/>
      </c>
      <c r="X67" s="4144"/>
      <c r="Y67" s="4144"/>
      <c r="Z67" s="4144"/>
      <c r="AA67" s="4145"/>
      <c r="AB67" s="4146" t="str">
        <f>IF(SUM(Tablas!$P$1111:$P$1152)=0,"",IF(Tablas!A15&gt;MAX(Tablas!$P$1111:$P$1152),"",VLOOKUP(Tablas!A15,Tablas!$P$1111:$T$1152,4,FALSE)))</f>
        <v/>
      </c>
      <c r="AC67" s="4147"/>
      <c r="AD67" s="4147"/>
      <c r="AE67" s="4147"/>
      <c r="AF67" s="4147"/>
      <c r="AG67" s="4147"/>
      <c r="AH67" s="4147"/>
      <c r="AI67" s="4147"/>
      <c r="AJ67" s="4147"/>
      <c r="AK67" s="4148"/>
      <c r="AL67" s="3028"/>
      <c r="AM67" s="173"/>
      <c r="AN67" s="2255" t="str">
        <f t="shared" si="8"/>
        <v>Conjuros</v>
      </c>
      <c r="AO67" s="4039"/>
      <c r="AP67" s="4040"/>
      <c r="AQ67" s="4041"/>
      <c r="AR67" s="4041"/>
      <c r="AS67" s="4041"/>
      <c r="AT67" s="4042"/>
      <c r="AU67" s="1982"/>
      <c r="AV67" s="1984">
        <f>IF(AQ67="",0,AU67*VLOOKUP(AQ67,'Tablas Magia'!$D$6:$Z$680,11,FALSE)/2)</f>
        <v>0</v>
      </c>
      <c r="AW67" s="2004"/>
      <c r="AX67" s="1706"/>
    </row>
    <row r="68" spans="1:50" ht="12" customHeight="1" x14ac:dyDescent="0.2">
      <c r="A68" s="173"/>
      <c r="B68" s="1703"/>
      <c r="C68" s="4125" t="s">
        <v>2062</v>
      </c>
      <c r="D68" s="4125"/>
      <c r="E68" s="237">
        <v>20</v>
      </c>
      <c r="F68" s="4126"/>
      <c r="G68" s="4126"/>
      <c r="H68" s="4127"/>
      <c r="I68" s="67"/>
      <c r="J68" s="236">
        <v>240</v>
      </c>
      <c r="K68" s="4134" t="s">
        <v>2063</v>
      </c>
      <c r="L68" s="4134"/>
      <c r="M68" s="4150" t="str">
        <f>IF(Metamagia!$R$54+Metamagia!$U$54+Metamagia!$AA$54+Metamagia!$AA$59+Metamagia!$AA$64+Metamagia!$AD$48+Metamagia!$AG$46&gt;3,"Hasta 1 km. Blanco localizado. Zeón 60","Hasta 1 km. Blanco localizado")</f>
        <v>Hasta 1 km. Blanco localizado</v>
      </c>
      <c r="N68" s="4150"/>
      <c r="O68" s="4150"/>
      <c r="P68" s="4150"/>
      <c r="Q68" s="4150"/>
      <c r="R68" s="67"/>
      <c r="S68" s="1710"/>
      <c r="T68" s="1497"/>
      <c r="U68" s="173"/>
      <c r="V68" s="1876"/>
      <c r="W68" s="4143" t="str">
        <f>IF(SUM(Tablas!$P$1111:$P$1152)=0,"",IF(Tablas!A16&gt;MAX(Tablas!$P$1111:$P$1152),"",VLOOKUP(Tablas!A16,Tablas!$P$1111:$T$1152,2,FALSE)))</f>
        <v/>
      </c>
      <c r="X68" s="4144"/>
      <c r="Y68" s="4144"/>
      <c r="Z68" s="4144"/>
      <c r="AA68" s="4145"/>
      <c r="AB68" s="4146" t="str">
        <f>IF(SUM(Tablas!$P$1111:$P$1152)=0,"",IF(Tablas!A16&gt;MAX(Tablas!$P$1111:$P$1152),"",VLOOKUP(Tablas!A16,Tablas!$P$1111:$T$1152,4,FALSE)))</f>
        <v/>
      </c>
      <c r="AC68" s="4147"/>
      <c r="AD68" s="4147"/>
      <c r="AE68" s="4147"/>
      <c r="AF68" s="4147"/>
      <c r="AG68" s="4147"/>
      <c r="AH68" s="4147"/>
      <c r="AI68" s="4147"/>
      <c r="AJ68" s="4147"/>
      <c r="AK68" s="4148"/>
      <c r="AL68" s="3028"/>
      <c r="AM68" s="173"/>
      <c r="AN68" s="2255" t="str">
        <f t="shared" si="8"/>
        <v>Conjuros</v>
      </c>
      <c r="AO68" s="4043"/>
      <c r="AP68" s="4044"/>
      <c r="AQ68" s="3719"/>
      <c r="AR68" s="3719"/>
      <c r="AS68" s="3719"/>
      <c r="AT68" s="4045"/>
      <c r="AU68" s="1940"/>
      <c r="AV68" s="1935">
        <f>IF(AQ68="",0,AU68*VLOOKUP(AQ68,'Tablas Magia'!$D$6:$Z$680,11,FALSE)/2)</f>
        <v>0</v>
      </c>
      <c r="AW68" s="2004"/>
      <c r="AX68" s="1706"/>
    </row>
    <row r="69" spans="1:50" ht="12" customHeight="1" x14ac:dyDescent="0.2">
      <c r="A69" s="173"/>
      <c r="B69" s="1703"/>
      <c r="C69" s="4125" t="s">
        <v>2064</v>
      </c>
      <c r="D69" s="4125"/>
      <c r="E69" s="237">
        <v>30</v>
      </c>
      <c r="F69" s="4157" t="s">
        <v>2065</v>
      </c>
      <c r="G69" s="4157"/>
      <c r="H69" s="4158">
        <v>-50</v>
      </c>
      <c r="I69" s="67"/>
      <c r="J69" s="236">
        <v>280</v>
      </c>
      <c r="K69" s="4134" t="s">
        <v>2066</v>
      </c>
      <c r="L69" s="4134"/>
      <c r="M69" s="4150" t="str">
        <f>IF(Metamagia!$R$54+Metamagia!$U$54+Metamagia!$AA$54+Metamagia!$AA$59+Metamagia!$AA$64+Metamagia!$AD$48+Metamagia!$AG$46&gt;4,"Hasta 10 km. Blanco aprox. Zeón 80","Hasta 10 km. Blanco aproximado")</f>
        <v>Hasta 10 km. Blanco aproximado</v>
      </c>
      <c r="N69" s="4150"/>
      <c r="O69" s="4150"/>
      <c r="P69" s="4150"/>
      <c r="Q69" s="4150"/>
      <c r="R69" s="67"/>
      <c r="S69" s="1710"/>
      <c r="T69" s="1497"/>
      <c r="U69" s="173"/>
      <c r="V69" s="1876"/>
      <c r="W69" s="4143" t="str">
        <f>IF(SUM(Tablas!$P$1111:$P$1152)=0,"",IF(Tablas!A17&gt;MAX(Tablas!$P$1111:$P$1152),"",VLOOKUP(Tablas!A17,Tablas!$P$1111:$T$1152,2,FALSE)))</f>
        <v/>
      </c>
      <c r="X69" s="4144"/>
      <c r="Y69" s="4144"/>
      <c r="Z69" s="4144"/>
      <c r="AA69" s="4145"/>
      <c r="AB69" s="4146" t="str">
        <f>IF(SUM(Tablas!$P$1111:$P$1152)=0,"",IF(Tablas!A17&gt;MAX(Tablas!$P$1111:$P$1152),"",VLOOKUP(Tablas!A17,Tablas!$P$1111:$T$1152,4,FALSE)))</f>
        <v/>
      </c>
      <c r="AC69" s="4147"/>
      <c r="AD69" s="4147"/>
      <c r="AE69" s="4147"/>
      <c r="AF69" s="4147"/>
      <c r="AG69" s="4147"/>
      <c r="AH69" s="4147"/>
      <c r="AI69" s="4147"/>
      <c r="AJ69" s="4147"/>
      <c r="AK69" s="4148"/>
      <c r="AL69" s="3028"/>
      <c r="AM69" s="173"/>
      <c r="AN69" s="2255" t="str">
        <f t="shared" si="8"/>
        <v>Conjuros</v>
      </c>
      <c r="AO69" s="4039"/>
      <c r="AP69" s="4040"/>
      <c r="AQ69" s="4041"/>
      <c r="AR69" s="4041"/>
      <c r="AS69" s="4041"/>
      <c r="AT69" s="4042"/>
      <c r="AU69" s="1982"/>
      <c r="AV69" s="1984">
        <f>IF(AQ69="",0,AU69*VLOOKUP(AQ69,'Tablas Magia'!$D$6:$Z$680,11,FALSE)/2)</f>
        <v>0</v>
      </c>
      <c r="AW69" s="2004"/>
      <c r="AX69" s="1706"/>
    </row>
    <row r="70" spans="1:50" ht="12" customHeight="1" x14ac:dyDescent="0.2">
      <c r="A70" s="173"/>
      <c r="B70" s="1703"/>
      <c r="C70" s="4125" t="s">
        <v>2067</v>
      </c>
      <c r="D70" s="4125"/>
      <c r="E70" s="237">
        <v>40</v>
      </c>
      <c r="F70" s="4157"/>
      <c r="G70" s="4157"/>
      <c r="H70" s="4158"/>
      <c r="I70" s="67"/>
      <c r="J70" s="236">
        <v>320</v>
      </c>
      <c r="K70" s="4134" t="s">
        <v>2068</v>
      </c>
      <c r="L70" s="4134"/>
      <c r="M70" s="4150" t="str">
        <f>IF(Metamagia!$R$54+Metamagia!$U$54+Metamagia!$AA$54+Metamagia!$AA$59+Metamagia!$AA$64+Metamagia!$AD$48+Metamagia!$AG$46&gt;5,"Zeón 100","-")</f>
        <v>-</v>
      </c>
      <c r="N70" s="4150"/>
      <c r="O70" s="4150"/>
      <c r="P70" s="4150"/>
      <c r="Q70" s="4150"/>
      <c r="R70" s="67"/>
      <c r="S70" s="1710"/>
      <c r="T70" s="1497"/>
      <c r="U70" s="173"/>
      <c r="V70" s="1876"/>
      <c r="W70" s="4143" t="str">
        <f>IF(SUM(Tablas!$P$1111:$P$1152)=0,"",IF(Tablas!A18&gt;MAX(Tablas!$P$1111:$P$1152),"",VLOOKUP(Tablas!A18,Tablas!$P$1111:$T$1152,2,FALSE)))</f>
        <v/>
      </c>
      <c r="X70" s="4144"/>
      <c r="Y70" s="4144"/>
      <c r="Z70" s="4144"/>
      <c r="AA70" s="4145"/>
      <c r="AB70" s="4146" t="str">
        <f>IF(SUM(Tablas!$P$1111:$P$1152)=0,"",IF(Tablas!A18&gt;MAX(Tablas!$P$1111:$P$1152),"",VLOOKUP(Tablas!A18,Tablas!$P$1111:$T$1152,4,FALSE)))</f>
        <v/>
      </c>
      <c r="AC70" s="4147"/>
      <c r="AD70" s="4147"/>
      <c r="AE70" s="4147"/>
      <c r="AF70" s="4147"/>
      <c r="AG70" s="4147"/>
      <c r="AH70" s="4147"/>
      <c r="AI70" s="4147"/>
      <c r="AJ70" s="4147"/>
      <c r="AK70" s="4148"/>
      <c r="AL70" s="3028"/>
      <c r="AM70" s="173"/>
      <c r="AN70" s="2255" t="str">
        <f t="shared" si="8"/>
        <v>Conjuros</v>
      </c>
      <c r="AO70" s="4043"/>
      <c r="AP70" s="4044"/>
      <c r="AQ70" s="3719"/>
      <c r="AR70" s="3719"/>
      <c r="AS70" s="3719"/>
      <c r="AT70" s="4045"/>
      <c r="AU70" s="1940"/>
      <c r="AV70" s="1935">
        <f>IF(AQ70="",0,AU70*VLOOKUP(AQ70,'Tablas Magia'!$D$6:$Z$680,11,FALSE)/2)</f>
        <v>0</v>
      </c>
      <c r="AW70" s="2004"/>
      <c r="AX70" s="1706"/>
    </row>
    <row r="71" spans="1:50" ht="12" customHeight="1" thickBot="1" x14ac:dyDescent="0.25">
      <c r="A71" s="173"/>
      <c r="B71" s="1703"/>
      <c r="C71" s="4125" t="s">
        <v>2069</v>
      </c>
      <c r="D71" s="4125"/>
      <c r="E71" s="237">
        <v>50</v>
      </c>
      <c r="F71" s="4140"/>
      <c r="G71" s="4140"/>
      <c r="H71" s="4140"/>
      <c r="I71" s="67"/>
      <c r="J71" s="239">
        <v>440</v>
      </c>
      <c r="K71" s="4141" t="s">
        <v>2002</v>
      </c>
      <c r="L71" s="4141"/>
      <c r="M71" s="4142" t="str">
        <f>IF(Metamagia!$R$54+Metamagia!$U$54+Metamagia!$AA$54+Metamagia!$AA$59+Metamagia!$AA$64+Metamagia!$AD$48+Metamagia!$AG$46&gt;6,"Zeón 200","-")</f>
        <v>-</v>
      </c>
      <c r="N71" s="4142"/>
      <c r="O71" s="4142"/>
      <c r="P71" s="4142"/>
      <c r="Q71" s="4142"/>
      <c r="R71" s="67"/>
      <c r="S71" s="1710"/>
      <c r="T71" s="1497"/>
      <c r="U71" s="173"/>
      <c r="V71" s="1876"/>
      <c r="W71" s="4143" t="str">
        <f>IF(SUM(Tablas!$P$1111:$P$1152)=0,"",IF(Tablas!A19&gt;MAX(Tablas!$P$1111:$P$1152),"",VLOOKUP(Tablas!A19,Tablas!$P$1111:$T$1152,2,FALSE)))</f>
        <v/>
      </c>
      <c r="X71" s="4144"/>
      <c r="Y71" s="4144"/>
      <c r="Z71" s="4144"/>
      <c r="AA71" s="4145"/>
      <c r="AB71" s="4146" t="str">
        <f>IF(SUM(Tablas!$P$1111:$P$1152)=0,"",IF(Tablas!A19&gt;MAX(Tablas!$P$1111:$P$1152),"",VLOOKUP(Tablas!A19,Tablas!$P$1111:$T$1152,4,FALSE)))</f>
        <v/>
      </c>
      <c r="AC71" s="4147"/>
      <c r="AD71" s="4147"/>
      <c r="AE71" s="4147"/>
      <c r="AF71" s="4147"/>
      <c r="AG71" s="4147"/>
      <c r="AH71" s="4147"/>
      <c r="AI71" s="4147"/>
      <c r="AJ71" s="4147"/>
      <c r="AK71" s="4148"/>
      <c r="AL71" s="3028"/>
      <c r="AM71" s="173"/>
      <c r="AN71" s="2255" t="str">
        <f t="shared" si="8"/>
        <v>Conjuros</v>
      </c>
      <c r="AO71" s="4039"/>
      <c r="AP71" s="4040"/>
      <c r="AQ71" s="4041"/>
      <c r="AR71" s="4041"/>
      <c r="AS71" s="4041"/>
      <c r="AT71" s="4042"/>
      <c r="AU71" s="1982"/>
      <c r="AV71" s="1984">
        <f>IF(AQ71="",0,AU71*VLOOKUP(AQ71,'Tablas Magia'!$D$6:$Z$680,11,FALSE)/2)</f>
        <v>0</v>
      </c>
      <c r="AW71" s="2004"/>
      <c r="AX71" s="1706"/>
    </row>
    <row r="72" spans="1:50" ht="12" customHeight="1" thickBot="1" x14ac:dyDescent="0.25">
      <c r="A72" s="173"/>
      <c r="B72" s="1703"/>
      <c r="C72" s="4125" t="s">
        <v>2070</v>
      </c>
      <c r="D72" s="4125"/>
      <c r="E72" s="237">
        <v>60</v>
      </c>
      <c r="F72" s="4140"/>
      <c r="G72" s="4140"/>
      <c r="H72" s="4140"/>
      <c r="I72" s="67"/>
      <c r="J72" s="4149"/>
      <c r="K72" s="4149"/>
      <c r="L72" s="4149"/>
      <c r="M72" s="4149"/>
      <c r="N72" s="4149"/>
      <c r="O72" s="4149"/>
      <c r="P72" s="4149"/>
      <c r="Q72" s="4149"/>
      <c r="R72" s="67"/>
      <c r="S72" s="1710"/>
      <c r="T72" s="1497"/>
      <c r="U72" s="173"/>
      <c r="V72" s="1876"/>
      <c r="W72" s="4143" t="str">
        <f>IF(SUM(Tablas!$P$1111:$P$1152)=0,"",IF(Tablas!A20&gt;MAX(Tablas!$P$1111:$P$1152),"",VLOOKUP(Tablas!A20,Tablas!$P$1111:$T$1152,2,FALSE)))</f>
        <v/>
      </c>
      <c r="X72" s="4144"/>
      <c r="Y72" s="4144"/>
      <c r="Z72" s="4144"/>
      <c r="AA72" s="4145"/>
      <c r="AB72" s="4146" t="str">
        <f>IF(SUM(Tablas!$P$1111:$P$1152)=0,"",IF(Tablas!A20&gt;MAX(Tablas!$P$1111:$P$1152),"",VLOOKUP(Tablas!A20,Tablas!$P$1111:$T$1152,4,FALSE)))</f>
        <v/>
      </c>
      <c r="AC72" s="4147"/>
      <c r="AD72" s="4147"/>
      <c r="AE72" s="4147"/>
      <c r="AF72" s="4147"/>
      <c r="AG72" s="4147"/>
      <c r="AH72" s="4147"/>
      <c r="AI72" s="4147"/>
      <c r="AJ72" s="4147"/>
      <c r="AK72" s="4148"/>
      <c r="AL72" s="3028"/>
      <c r="AM72" s="173"/>
      <c r="AN72" s="2255" t="str">
        <f t="shared" si="8"/>
        <v>Conjuros</v>
      </c>
      <c r="AO72" s="4033"/>
      <c r="AP72" s="4034"/>
      <c r="AQ72" s="4035"/>
      <c r="AR72" s="4035"/>
      <c r="AS72" s="4035"/>
      <c r="AT72" s="4036"/>
      <c r="AU72" s="1941"/>
      <c r="AV72" s="1895">
        <f>IF(AQ72="",0,AU72*VLOOKUP(AQ72,'Tablas Magia'!$D$6:$Z$680,11,FALSE)/2)</f>
        <v>0</v>
      </c>
      <c r="AW72" s="2004"/>
      <c r="AX72" s="1706"/>
    </row>
    <row r="73" spans="1:50" ht="12" customHeight="1" thickBot="1" x14ac:dyDescent="0.25">
      <c r="A73" s="173"/>
      <c r="B73" s="1703"/>
      <c r="C73" s="4139" t="s">
        <v>2071</v>
      </c>
      <c r="D73" s="4139"/>
      <c r="E73" s="240">
        <v>70</v>
      </c>
      <c r="F73" s="4140"/>
      <c r="G73" s="4140"/>
      <c r="H73" s="4140"/>
      <c r="I73" s="67"/>
      <c r="J73" s="4149"/>
      <c r="K73" s="4149"/>
      <c r="L73" s="4149"/>
      <c r="M73" s="4149"/>
      <c r="N73" s="4149"/>
      <c r="O73" s="4149"/>
      <c r="P73" s="4149"/>
      <c r="Q73" s="4149"/>
      <c r="R73" s="67"/>
      <c r="S73" s="1710"/>
      <c r="T73" s="1497"/>
      <c r="U73" s="173"/>
      <c r="V73" s="1876"/>
      <c r="W73" s="4151" t="str">
        <f>IF(SUM(Tablas!$P$1111:$P$1152)=0,"",IF(Tablas!A21&gt;MAX(Tablas!$P$1111:$P$1152),"",VLOOKUP(Tablas!A21,Tablas!$P$1111:$T$1152,2,FALSE)))</f>
        <v/>
      </c>
      <c r="X73" s="4152"/>
      <c r="Y73" s="4152"/>
      <c r="Z73" s="4152"/>
      <c r="AA73" s="4153"/>
      <c r="AB73" s="4154" t="str">
        <f>IF(SUM(Tablas!$P$1111:$P$1152)=0,"",IF(Tablas!A21&gt;MAX(Tablas!$P$1111:$P$1152),"",VLOOKUP(Tablas!A21,Tablas!$P$1111:$T$1152,4,FALSE)))</f>
        <v/>
      </c>
      <c r="AC73" s="4155"/>
      <c r="AD73" s="4155"/>
      <c r="AE73" s="4155"/>
      <c r="AF73" s="4155"/>
      <c r="AG73" s="4155"/>
      <c r="AH73" s="4155"/>
      <c r="AI73" s="4155"/>
      <c r="AJ73" s="4155"/>
      <c r="AK73" s="4156"/>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213"/>
      <c r="D3" s="3213"/>
      <c r="E3" s="3213"/>
      <c r="F3" s="3213"/>
      <c r="G3" s="3213"/>
      <c r="H3" s="3213"/>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213"/>
      <c r="D4" s="3213"/>
      <c r="E4" s="3213"/>
      <c r="F4" s="3213"/>
      <c r="G4" s="3213"/>
      <c r="H4" s="3213"/>
      <c r="I4" s="12"/>
      <c r="J4" s="247"/>
      <c r="K4" s="247"/>
      <c r="L4" s="247"/>
      <c r="M4" s="247"/>
      <c r="N4" s="247"/>
      <c r="O4" s="247"/>
      <c r="P4" s="247"/>
      <c r="Q4" s="247"/>
      <c r="R4" s="247"/>
      <c r="S4" s="247"/>
      <c r="T4" s="247"/>
      <c r="U4" s="247"/>
      <c r="V4" s="56"/>
      <c r="W4" s="56"/>
      <c r="X4" s="56"/>
      <c r="Y4" s="56"/>
      <c r="Z4" s="56"/>
      <c r="AA4" s="3167" t="s">
        <v>1625</v>
      </c>
      <c r="AB4" s="3167"/>
      <c r="AC4" s="3168" t="str">
        <f>IF(OR(General!$G$22="",General!$G$22=0),"",General!$G$22)</f>
        <v/>
      </c>
      <c r="AD4" s="3168"/>
      <c r="AE4" s="3168"/>
      <c r="AF4" s="3168"/>
      <c r="AG4" s="3168"/>
      <c r="AH4" s="13"/>
      <c r="AI4" s="68"/>
      <c r="AJ4" s="173"/>
    </row>
    <row r="5" spans="1:36" ht="12" customHeight="1" x14ac:dyDescent="0.2">
      <c r="A5" s="1497">
        <v>25</v>
      </c>
      <c r="B5" s="245"/>
      <c r="C5" s="3213"/>
      <c r="D5" s="3213"/>
      <c r="E5" s="3213"/>
      <c r="F5" s="3213"/>
      <c r="G5" s="3213"/>
      <c r="H5" s="3213"/>
      <c r="I5" s="12"/>
      <c r="J5" s="247"/>
      <c r="K5" s="247"/>
      <c r="L5" s="247"/>
      <c r="M5" s="247"/>
      <c r="N5" s="247"/>
      <c r="O5" s="247"/>
      <c r="P5" s="247"/>
      <c r="Q5" s="247"/>
      <c r="R5" s="247"/>
      <c r="S5" s="247"/>
      <c r="T5" s="247"/>
      <c r="U5" s="247"/>
      <c r="V5" s="56"/>
      <c r="W5" s="56"/>
      <c r="X5" s="56"/>
      <c r="Y5" s="56"/>
      <c r="Z5" s="56"/>
      <c r="AA5" s="3210" t="s">
        <v>1626</v>
      </c>
      <c r="AB5" s="3210"/>
      <c r="AC5" s="3211" t="str">
        <f>Principal!$L$5</f>
        <v/>
      </c>
      <c r="AD5" s="3211"/>
      <c r="AE5" s="3211"/>
      <c r="AF5" s="14" t="s">
        <v>1627</v>
      </c>
      <c r="AG5" s="15" t="str">
        <f>Principal!$P$5</f>
        <v>0</v>
      </c>
      <c r="AH5" s="16"/>
      <c r="AI5" s="68"/>
      <c r="AJ5" s="173"/>
    </row>
    <row r="6" spans="1:36" ht="12" customHeight="1" x14ac:dyDescent="0.2">
      <c r="A6" s="1641"/>
      <c r="B6" s="248"/>
      <c r="C6" s="3213"/>
      <c r="D6" s="3213"/>
      <c r="E6" s="3213"/>
      <c r="F6" s="3213"/>
      <c r="G6" s="3213"/>
      <c r="H6" s="3213"/>
      <c r="I6" s="12"/>
      <c r="J6" s="247"/>
      <c r="K6" s="247"/>
      <c r="L6" s="247"/>
      <c r="M6" s="247"/>
      <c r="N6" s="247"/>
      <c r="O6" s="247"/>
      <c r="P6" s="247"/>
      <c r="Q6" s="247"/>
      <c r="R6" s="247"/>
      <c r="S6" s="247"/>
      <c r="T6" s="247"/>
      <c r="U6" s="247"/>
      <c r="V6" s="56"/>
      <c r="W6" s="56"/>
      <c r="X6" s="56"/>
      <c r="Y6" s="56"/>
      <c r="Z6" s="56"/>
      <c r="AA6" s="3212" t="s">
        <v>2072</v>
      </c>
      <c r="AB6" s="3212"/>
      <c r="AC6" s="3212"/>
      <c r="AD6" s="3212"/>
      <c r="AE6" s="3212"/>
      <c r="AF6" s="3212"/>
      <c r="AG6" s="3212"/>
      <c r="AH6" s="16"/>
      <c r="AI6" s="68"/>
      <c r="AJ6" s="173"/>
    </row>
    <row r="7" spans="1:36" ht="12" customHeight="1" x14ac:dyDescent="0.2">
      <c r="A7" s="1642"/>
      <c r="B7" s="249"/>
      <c r="C7" s="3213"/>
      <c r="D7" s="3213"/>
      <c r="E7" s="3213"/>
      <c r="F7" s="3213"/>
      <c r="G7" s="3213"/>
      <c r="H7" s="3213"/>
      <c r="I7" s="12"/>
      <c r="J7" s="247"/>
      <c r="K7" s="247"/>
      <c r="L7" s="247"/>
      <c r="M7" s="247"/>
      <c r="N7" s="247"/>
      <c r="O7" s="247"/>
      <c r="P7" s="247"/>
      <c r="Q7" s="247"/>
      <c r="R7" s="247"/>
      <c r="S7" s="247"/>
      <c r="T7" s="247"/>
      <c r="U7" s="247"/>
      <c r="V7" s="56"/>
      <c r="W7" s="56"/>
      <c r="X7" s="56"/>
      <c r="Y7" s="56"/>
      <c r="Z7" s="56"/>
      <c r="AA7" s="3212"/>
      <c r="AB7" s="3212"/>
      <c r="AC7" s="3212"/>
      <c r="AD7" s="3212"/>
      <c r="AE7" s="3212"/>
      <c r="AF7" s="3212"/>
      <c r="AG7" s="3212"/>
      <c r="AH7" s="16"/>
      <c r="AI7" s="68"/>
      <c r="AJ7" s="173"/>
    </row>
    <row r="8" spans="1:36" ht="12" customHeight="1" x14ac:dyDescent="0.2">
      <c r="A8" s="1642"/>
      <c r="B8" s="249"/>
      <c r="C8" s="3213"/>
      <c r="D8" s="3213"/>
      <c r="E8" s="3213"/>
      <c r="F8" s="3213"/>
      <c r="G8" s="3213"/>
      <c r="H8" s="3213"/>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75" t="s">
        <v>2073</v>
      </c>
      <c r="J10" s="4275"/>
      <c r="K10" s="255"/>
      <c r="L10" s="252"/>
      <c r="M10" s="252"/>
      <c r="N10" s="252"/>
      <c r="O10" s="253"/>
      <c r="P10" s="253"/>
      <c r="Q10" s="253"/>
      <c r="R10" s="253"/>
      <c r="S10" s="253"/>
      <c r="T10" s="253"/>
      <c r="U10" s="253"/>
      <c r="V10" s="253"/>
      <c r="W10" s="253"/>
      <c r="X10" s="252"/>
      <c r="Y10" s="252"/>
      <c r="Z10" s="254"/>
      <c r="AA10" s="4275" t="s">
        <v>2074</v>
      </c>
      <c r="AB10" s="4275"/>
      <c r="AC10" s="255"/>
      <c r="AD10" s="252"/>
      <c r="AE10" s="252"/>
      <c r="AF10" s="67"/>
      <c r="AG10" s="67"/>
      <c r="AH10" s="67"/>
      <c r="AI10" s="68"/>
      <c r="AJ10" s="173"/>
    </row>
    <row r="11" spans="1:36" ht="12" customHeight="1" x14ac:dyDescent="0.2">
      <c r="A11" s="1644"/>
      <c r="B11" s="245"/>
      <c r="C11" s="252"/>
      <c r="D11" s="252"/>
      <c r="E11" s="252"/>
      <c r="F11" s="4275" t="s">
        <v>2075</v>
      </c>
      <c r="G11" s="4275"/>
      <c r="H11" s="256"/>
      <c r="I11" s="4275"/>
      <c r="J11" s="4275"/>
      <c r="K11" s="257"/>
      <c r="L11" s="4275" t="s">
        <v>2076</v>
      </c>
      <c r="M11" s="4275"/>
      <c r="N11" s="254"/>
      <c r="O11" s="253"/>
      <c r="P11" s="253"/>
      <c r="Q11" s="253"/>
      <c r="R11" s="253"/>
      <c r="S11" s="253"/>
      <c r="T11" s="253"/>
      <c r="U11" s="253"/>
      <c r="V11" s="253"/>
      <c r="W11" s="253"/>
      <c r="X11" s="4275" t="s">
        <v>2077</v>
      </c>
      <c r="Y11" s="4275"/>
      <c r="Z11" s="256"/>
      <c r="AA11" s="4275"/>
      <c r="AB11" s="4275"/>
      <c r="AC11" s="258"/>
      <c r="AD11" s="4275" t="s">
        <v>2077</v>
      </c>
      <c r="AE11" s="4275"/>
      <c r="AF11" s="255"/>
      <c r="AG11" s="67"/>
      <c r="AH11" s="67"/>
      <c r="AI11" s="68"/>
      <c r="AJ11" s="173"/>
    </row>
    <row r="12" spans="1:36" ht="12" customHeight="1" x14ac:dyDescent="0.2">
      <c r="A12" s="1497"/>
      <c r="B12" s="245"/>
      <c r="C12" s="252"/>
      <c r="D12" s="252"/>
      <c r="E12" s="254"/>
      <c r="F12" s="4275"/>
      <c r="G12" s="4275"/>
      <c r="H12" s="259"/>
      <c r="I12" s="4275"/>
      <c r="J12" s="4275"/>
      <c r="K12" s="259"/>
      <c r="L12" s="4275"/>
      <c r="M12" s="4275"/>
      <c r="N12" s="254"/>
      <c r="O12" s="253"/>
      <c r="P12" s="253"/>
      <c r="Q12" s="253"/>
      <c r="R12" s="253"/>
      <c r="S12" s="253"/>
      <c r="T12" s="253"/>
      <c r="U12" s="253"/>
      <c r="V12" s="253"/>
      <c r="W12" s="253"/>
      <c r="X12" s="4275"/>
      <c r="Y12" s="4275"/>
      <c r="Z12" s="259"/>
      <c r="AA12" s="4275"/>
      <c r="AB12" s="4275"/>
      <c r="AC12" s="259"/>
      <c r="AD12" s="4275"/>
      <c r="AE12" s="4275"/>
      <c r="AF12" s="259"/>
      <c r="AG12" s="67"/>
      <c r="AH12" s="67"/>
      <c r="AI12" s="68"/>
      <c r="AJ12" s="173"/>
    </row>
    <row r="13" spans="1:36" ht="12" customHeight="1" x14ac:dyDescent="0.2">
      <c r="A13" s="1497"/>
      <c r="B13" s="245"/>
      <c r="C13" s="252"/>
      <c r="D13" s="252"/>
      <c r="E13" s="254"/>
      <c r="F13" s="4275"/>
      <c r="G13" s="4275"/>
      <c r="H13" s="259"/>
      <c r="I13" s="260" t="str">
        <f>IF(PDs!$R$15&lt;Metamagia!K10,"Nv "&amp;Metamagia!K10,"")</f>
        <v/>
      </c>
      <c r="J13" s="261"/>
      <c r="K13" s="259">
        <v>10</v>
      </c>
      <c r="L13" s="4275"/>
      <c r="M13" s="4275"/>
      <c r="N13" s="259"/>
      <c r="O13" s="253"/>
      <c r="P13" s="253"/>
      <c r="Q13" s="253"/>
      <c r="R13" s="253"/>
      <c r="S13" s="253"/>
      <c r="T13" s="253"/>
      <c r="U13" s="253"/>
      <c r="V13" s="253"/>
      <c r="W13" s="253"/>
      <c r="X13" s="4275"/>
      <c r="Y13" s="4275"/>
      <c r="Z13" s="259"/>
      <c r="AA13" s="260" t="str">
        <f>IF(PDs!$R$15&lt;Metamagia!AC10,"Nv "&amp;Metamagia!AC10,"")</f>
        <v/>
      </c>
      <c r="AB13" s="261"/>
      <c r="AC13" s="259">
        <v>5</v>
      </c>
      <c r="AD13" s="4275"/>
      <c r="AE13" s="4275"/>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75" t="s">
        <v>2078</v>
      </c>
      <c r="J15" s="4275"/>
      <c r="K15" s="259"/>
      <c r="L15" s="264">
        <f>IF(M14&gt;0,1,0)</f>
        <v>0</v>
      </c>
      <c r="M15" s="252"/>
      <c r="N15" s="259"/>
      <c r="O15" s="252"/>
      <c r="P15" s="252"/>
      <c r="Q15" s="254"/>
      <c r="R15" s="4275" t="s">
        <v>2076</v>
      </c>
      <c r="S15" s="4275"/>
      <c r="T15" s="252"/>
      <c r="U15" s="67"/>
      <c r="V15" s="67"/>
      <c r="W15" s="255"/>
      <c r="X15" s="219">
        <f>IF(Y14&gt;0,1,0)</f>
        <v>0</v>
      </c>
      <c r="Y15" s="243"/>
      <c r="Z15" s="259"/>
      <c r="AA15" s="4275" t="s">
        <v>2079</v>
      </c>
      <c r="AB15" s="4275"/>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75"/>
      <c r="J16" s="4275"/>
      <c r="K16" s="266"/>
      <c r="L16" s="267"/>
      <c r="M16" s="252"/>
      <c r="N16" s="259"/>
      <c r="O16" s="252"/>
      <c r="P16" s="268"/>
      <c r="Q16" s="269"/>
      <c r="R16" s="4275"/>
      <c r="S16" s="4275"/>
      <c r="T16" s="254"/>
      <c r="U16" s="67"/>
      <c r="V16" s="67"/>
      <c r="W16" s="255"/>
      <c r="X16" s="252"/>
      <c r="Y16" s="265"/>
      <c r="Z16" s="257"/>
      <c r="AA16" s="4275"/>
      <c r="AB16" s="4275"/>
      <c r="AC16" s="266"/>
      <c r="AD16" s="267"/>
      <c r="AE16" s="252"/>
      <c r="AF16" s="259"/>
      <c r="AG16" s="253"/>
      <c r="AH16" s="253"/>
      <c r="AI16" s="263"/>
      <c r="AJ16" s="173"/>
    </row>
    <row r="17" spans="1:36" ht="12" customHeight="1" x14ac:dyDescent="0.2">
      <c r="A17" s="1497"/>
      <c r="B17" s="245"/>
      <c r="C17" s="253"/>
      <c r="D17" s="253"/>
      <c r="E17" s="253"/>
      <c r="F17" s="252"/>
      <c r="G17" s="245"/>
      <c r="H17" s="259"/>
      <c r="I17" s="4275"/>
      <c r="J17" s="4275"/>
      <c r="K17" s="259"/>
      <c r="L17" s="270"/>
      <c r="M17" s="252"/>
      <c r="N17" s="259"/>
      <c r="O17" s="270"/>
      <c r="P17" s="252"/>
      <c r="Q17" s="254"/>
      <c r="R17" s="4275"/>
      <c r="S17" s="4275"/>
      <c r="T17" s="259"/>
      <c r="U17" s="67"/>
      <c r="V17" s="67"/>
      <c r="W17" s="255"/>
      <c r="X17" s="252"/>
      <c r="Y17" s="245"/>
      <c r="Z17" s="259"/>
      <c r="AA17" s="4275"/>
      <c r="AB17" s="4275"/>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75" t="s">
        <v>2076</v>
      </c>
      <c r="D20" s="4275"/>
      <c r="E20" s="259"/>
      <c r="F20" s="4275" t="s">
        <v>2080</v>
      </c>
      <c r="G20" s="4275"/>
      <c r="H20" s="259">
        <v>3</v>
      </c>
      <c r="I20" s="4275" t="s">
        <v>2081</v>
      </c>
      <c r="J20" s="4275"/>
      <c r="K20" s="259">
        <v>4</v>
      </c>
      <c r="L20" s="4275" t="s">
        <v>2082</v>
      </c>
      <c r="M20" s="4275"/>
      <c r="N20" s="259">
        <v>2</v>
      </c>
      <c r="O20" s="4275" t="s">
        <v>2073</v>
      </c>
      <c r="P20" s="4275"/>
      <c r="Q20" s="259">
        <v>4</v>
      </c>
      <c r="R20" s="4275" t="s">
        <v>2081</v>
      </c>
      <c r="S20" s="4275"/>
      <c r="T20" s="259">
        <v>5</v>
      </c>
      <c r="U20" s="4275" t="s">
        <v>2079</v>
      </c>
      <c r="V20" s="4275"/>
      <c r="W20" s="255"/>
      <c r="X20" s="4275" t="s">
        <v>2083</v>
      </c>
      <c r="Y20" s="4275"/>
      <c r="Z20" s="259">
        <v>3</v>
      </c>
      <c r="AA20" s="4275" t="s">
        <v>2084</v>
      </c>
      <c r="AB20" s="4275"/>
      <c r="AC20" s="259">
        <v>5</v>
      </c>
      <c r="AD20" s="4275" t="s">
        <v>2085</v>
      </c>
      <c r="AE20" s="4275"/>
      <c r="AF20" s="259">
        <v>2</v>
      </c>
      <c r="AG20" s="4275" t="s">
        <v>2083</v>
      </c>
      <c r="AH20" s="4275"/>
      <c r="AI20" s="272">
        <v>3</v>
      </c>
      <c r="AJ20" s="173"/>
    </row>
    <row r="21" spans="1:36" ht="12" customHeight="1" x14ac:dyDescent="0.2">
      <c r="A21" s="1497"/>
      <c r="B21" s="245"/>
      <c r="C21" s="4275"/>
      <c r="D21" s="4275"/>
      <c r="E21" s="256"/>
      <c r="F21" s="4275"/>
      <c r="G21" s="4275"/>
      <c r="H21" s="256"/>
      <c r="I21" s="4275"/>
      <c r="J21" s="4275"/>
      <c r="K21" s="256"/>
      <c r="L21" s="4275"/>
      <c r="M21" s="4275"/>
      <c r="N21" s="256"/>
      <c r="O21" s="4275"/>
      <c r="P21" s="4275"/>
      <c r="Q21" s="259"/>
      <c r="R21" s="4275"/>
      <c r="S21" s="4275"/>
      <c r="T21" s="259"/>
      <c r="U21" s="4275"/>
      <c r="V21" s="4275"/>
      <c r="W21" s="258"/>
      <c r="X21" s="4275"/>
      <c r="Y21" s="4275"/>
      <c r="Z21" s="256"/>
      <c r="AA21" s="4275"/>
      <c r="AB21" s="4275"/>
      <c r="AC21" s="256"/>
      <c r="AD21" s="4275"/>
      <c r="AE21" s="4275"/>
      <c r="AF21" s="256"/>
      <c r="AG21" s="4275"/>
      <c r="AH21" s="4275"/>
      <c r="AI21" s="272"/>
      <c r="AJ21" s="173"/>
    </row>
    <row r="22" spans="1:36" ht="12" customHeight="1" x14ac:dyDescent="0.2">
      <c r="A22" s="1497"/>
      <c r="B22" s="245"/>
      <c r="C22" s="4275"/>
      <c r="D22" s="4275"/>
      <c r="E22" s="259"/>
      <c r="F22" s="4275"/>
      <c r="G22" s="4275"/>
      <c r="H22" s="259"/>
      <c r="I22" s="4275"/>
      <c r="J22" s="4275"/>
      <c r="K22" s="259"/>
      <c r="L22" s="4275"/>
      <c r="M22" s="4275"/>
      <c r="N22" s="259"/>
      <c r="O22" s="4275"/>
      <c r="P22" s="4275"/>
      <c r="Q22" s="259"/>
      <c r="R22" s="4275"/>
      <c r="S22" s="4275"/>
      <c r="T22" s="259"/>
      <c r="U22" s="4275"/>
      <c r="V22" s="4275"/>
      <c r="W22" s="255"/>
      <c r="X22" s="4275"/>
      <c r="Y22" s="4275"/>
      <c r="Z22" s="259"/>
      <c r="AA22" s="4275"/>
      <c r="AB22" s="4275"/>
      <c r="AC22" s="259"/>
      <c r="AD22" s="4275"/>
      <c r="AE22" s="4275"/>
      <c r="AF22" s="259"/>
      <c r="AG22" s="4275"/>
      <c r="AH22" s="4275"/>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75" t="s">
        <v>2082</v>
      </c>
      <c r="J25" s="4275"/>
      <c r="K25" s="259">
        <v>6</v>
      </c>
      <c r="L25" s="267"/>
      <c r="M25" s="252"/>
      <c r="N25" s="259"/>
      <c r="O25" s="252"/>
      <c r="P25" s="252"/>
      <c r="Q25" s="259"/>
      <c r="R25" s="4275" t="s">
        <v>2086</v>
      </c>
      <c r="S25" s="4275"/>
      <c r="T25" s="259">
        <v>2</v>
      </c>
      <c r="U25" s="68"/>
      <c r="V25" s="67"/>
      <c r="W25" s="255"/>
      <c r="X25" s="267"/>
      <c r="Y25" s="252"/>
      <c r="Z25" s="259"/>
      <c r="AA25" s="4275" t="s">
        <v>2087</v>
      </c>
      <c r="AB25" s="4275"/>
      <c r="AC25" s="259">
        <v>8</v>
      </c>
      <c r="AD25" s="267"/>
      <c r="AE25" s="252"/>
      <c r="AF25" s="259"/>
      <c r="AG25" s="67"/>
      <c r="AH25" s="245"/>
      <c r="AI25" s="272"/>
      <c r="AJ25" s="173"/>
    </row>
    <row r="26" spans="1:36" ht="12" customHeight="1" x14ac:dyDescent="0.2">
      <c r="A26" s="1497"/>
      <c r="B26" s="245"/>
      <c r="C26" s="253"/>
      <c r="D26" s="274"/>
      <c r="E26" s="275"/>
      <c r="F26" s="4275" t="s">
        <v>2078</v>
      </c>
      <c r="G26" s="4275"/>
      <c r="H26" s="259">
        <v>6</v>
      </c>
      <c r="I26" s="4275"/>
      <c r="J26" s="4275"/>
      <c r="K26" s="259"/>
      <c r="L26" s="4275" t="s">
        <v>2080</v>
      </c>
      <c r="M26" s="4275"/>
      <c r="N26" s="259">
        <v>6</v>
      </c>
      <c r="O26" s="252"/>
      <c r="P26" s="252"/>
      <c r="Q26" s="259"/>
      <c r="R26" s="4275"/>
      <c r="S26" s="4275"/>
      <c r="T26" s="266"/>
      <c r="U26" s="180"/>
      <c r="V26" s="67"/>
      <c r="W26" s="255"/>
      <c r="X26" s="4275" t="s">
        <v>2088</v>
      </c>
      <c r="Y26" s="4275"/>
      <c r="Z26" s="259">
        <v>7</v>
      </c>
      <c r="AA26" s="4275"/>
      <c r="AB26" s="4275"/>
      <c r="AC26" s="259"/>
      <c r="AD26" s="4275" t="s">
        <v>2089</v>
      </c>
      <c r="AE26" s="4275"/>
      <c r="AF26" s="259">
        <v>8</v>
      </c>
      <c r="AG26" s="253"/>
      <c r="AH26" s="274"/>
      <c r="AI26" s="276"/>
      <c r="AJ26" s="173"/>
    </row>
    <row r="27" spans="1:36" ht="12" customHeight="1" x14ac:dyDescent="0.2">
      <c r="A27" s="1497"/>
      <c r="B27" s="245"/>
      <c r="C27" s="253"/>
      <c r="D27" s="277"/>
      <c r="E27" s="275"/>
      <c r="F27" s="4275"/>
      <c r="G27" s="4275"/>
      <c r="H27" s="259"/>
      <c r="I27" s="4275"/>
      <c r="J27" s="4275"/>
      <c r="K27" s="259"/>
      <c r="L27" s="4275"/>
      <c r="M27" s="4275"/>
      <c r="N27" s="259"/>
      <c r="O27" s="252"/>
      <c r="P27" s="252"/>
      <c r="Q27" s="254"/>
      <c r="R27" s="4275"/>
      <c r="S27" s="4275"/>
      <c r="T27" s="259"/>
      <c r="U27" s="67"/>
      <c r="V27" s="67"/>
      <c r="W27" s="255"/>
      <c r="X27" s="4275"/>
      <c r="Y27" s="4275"/>
      <c r="Z27" s="259"/>
      <c r="AA27" s="4275"/>
      <c r="AB27" s="4275"/>
      <c r="AC27" s="259"/>
      <c r="AD27" s="4275"/>
      <c r="AE27" s="4275"/>
      <c r="AF27" s="259"/>
      <c r="AG27" s="253"/>
      <c r="AH27" s="277"/>
      <c r="AI27" s="276"/>
      <c r="AJ27" s="173"/>
    </row>
    <row r="28" spans="1:36" ht="12" customHeight="1" x14ac:dyDescent="0.2">
      <c r="A28" s="1497"/>
      <c r="B28" s="245"/>
      <c r="C28" s="4275" t="s">
        <v>2075</v>
      </c>
      <c r="D28" s="4275"/>
      <c r="E28" s="259">
        <v>4</v>
      </c>
      <c r="F28" s="4275"/>
      <c r="G28" s="4275"/>
      <c r="H28" s="259"/>
      <c r="I28" s="260" t="str">
        <f>IF(PDs!$R$15&lt;Metamagia!K25,"Nv "&amp;Metamagia!K25,"")</f>
        <v>Nv 6</v>
      </c>
      <c r="J28" s="261"/>
      <c r="K28" s="259">
        <v>10</v>
      </c>
      <c r="L28" s="4275"/>
      <c r="M28" s="4275"/>
      <c r="N28" s="259"/>
      <c r="O28" s="252"/>
      <c r="P28" s="252"/>
      <c r="Q28" s="254"/>
      <c r="R28" s="260" t="str">
        <f>IF(PDs!$R$15&lt;Metamagia!T25,"Nv "&amp;Metamagia!T25,"")</f>
        <v>Nv 2</v>
      </c>
      <c r="S28" s="261"/>
      <c r="T28" s="259">
        <v>5</v>
      </c>
      <c r="U28" s="67"/>
      <c r="V28" s="67"/>
      <c r="W28" s="255"/>
      <c r="X28" s="4275"/>
      <c r="Y28" s="4275"/>
      <c r="Z28" s="259"/>
      <c r="AA28" s="260" t="str">
        <f>IF(PDs!$R$15&lt;Metamagia!AC25,"Nv "&amp;Metamagia!AC25,"")</f>
        <v>Nv 8</v>
      </c>
      <c r="AB28" s="261"/>
      <c r="AC28" s="259">
        <v>5</v>
      </c>
      <c r="AD28" s="4275"/>
      <c r="AE28" s="4275"/>
      <c r="AF28" s="259"/>
      <c r="AG28" s="4275" t="s">
        <v>2085</v>
      </c>
      <c r="AH28" s="4275"/>
      <c r="AI28" s="272">
        <v>4</v>
      </c>
      <c r="AJ28" s="173"/>
    </row>
    <row r="29" spans="1:36" ht="12" customHeight="1" x14ac:dyDescent="0.2">
      <c r="A29" s="1497"/>
      <c r="B29" s="245"/>
      <c r="C29" s="4275"/>
      <c r="D29" s="4275"/>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5"/>
      <c r="AH29" s="4275"/>
      <c r="AI29" s="272"/>
      <c r="AJ29" s="173"/>
    </row>
    <row r="30" spans="1:36" ht="12" customHeight="1" x14ac:dyDescent="0.2">
      <c r="A30" s="1497"/>
      <c r="B30" s="245"/>
      <c r="C30" s="4275"/>
      <c r="D30" s="4275"/>
      <c r="E30" s="259"/>
      <c r="F30" s="264">
        <f>IF(G29&gt;0,1,0)</f>
        <v>0</v>
      </c>
      <c r="G30" s="268"/>
      <c r="H30" s="257"/>
      <c r="I30" s="4275" t="s">
        <v>2081</v>
      </c>
      <c r="J30" s="4275"/>
      <c r="K30" s="279">
        <v>7</v>
      </c>
      <c r="L30" s="271">
        <f>IF(M29&gt;0,1,0)</f>
        <v>0</v>
      </c>
      <c r="M30" s="252"/>
      <c r="N30" s="259"/>
      <c r="O30" s="253"/>
      <c r="P30" s="253"/>
      <c r="Q30" s="253"/>
      <c r="R30" s="253"/>
      <c r="S30" s="253"/>
      <c r="T30" s="253"/>
      <c r="U30" s="253"/>
      <c r="V30" s="253"/>
      <c r="W30" s="255"/>
      <c r="X30" s="264">
        <f>IF(Y29&gt;0,1,0)</f>
        <v>0</v>
      </c>
      <c r="Y30" s="268"/>
      <c r="Z30" s="257"/>
      <c r="AA30" s="4275" t="s">
        <v>2090</v>
      </c>
      <c r="AB30" s="4275"/>
      <c r="AC30" s="279">
        <v>9</v>
      </c>
      <c r="AD30" s="271">
        <f>IF(AE29&gt;0,1,0)</f>
        <v>0</v>
      </c>
      <c r="AE30" s="252"/>
      <c r="AF30" s="259"/>
      <c r="AG30" s="4275"/>
      <c r="AH30" s="4275"/>
      <c r="AI30" s="272"/>
      <c r="AJ30" s="173"/>
    </row>
    <row r="31" spans="1:36" ht="12" customHeight="1" x14ac:dyDescent="0.2">
      <c r="A31" s="1497"/>
      <c r="B31" s="245"/>
      <c r="C31" s="260" t="str">
        <f>IF(PDs!$R$15&lt;Metamagia!E28,"Nv "&amp;Metamagia!E28,"")</f>
        <v>Nv 4</v>
      </c>
      <c r="D31" s="261"/>
      <c r="E31" s="259">
        <v>5</v>
      </c>
      <c r="F31" s="280"/>
      <c r="G31" s="50"/>
      <c r="H31" s="259"/>
      <c r="I31" s="4275"/>
      <c r="J31" s="4275"/>
      <c r="K31" s="281"/>
      <c r="L31" s="252"/>
      <c r="M31" s="252"/>
      <c r="N31" s="259"/>
      <c r="O31" s="253"/>
      <c r="P31" s="253"/>
      <c r="Q31" s="253"/>
      <c r="R31" s="253"/>
      <c r="S31" s="253"/>
      <c r="T31" s="253"/>
      <c r="U31" s="253"/>
      <c r="V31" s="253"/>
      <c r="W31" s="255"/>
      <c r="X31" s="280"/>
      <c r="Y31" s="50"/>
      <c r="Z31" s="259"/>
      <c r="AA31" s="4275"/>
      <c r="AB31" s="4275"/>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75"/>
      <c r="J32" s="4275"/>
      <c r="K32" s="281"/>
      <c r="L32" s="252"/>
      <c r="M32" s="252"/>
      <c r="N32" s="259"/>
      <c r="O32" s="253"/>
      <c r="P32" s="253"/>
      <c r="Q32" s="253"/>
      <c r="R32" s="253"/>
      <c r="S32" s="253"/>
      <c r="T32" s="253"/>
      <c r="U32" s="253"/>
      <c r="V32" s="253"/>
      <c r="W32" s="255"/>
      <c r="X32" s="284"/>
      <c r="Y32" s="50"/>
      <c r="Z32" s="259"/>
      <c r="AA32" s="4275"/>
      <c r="AB32" s="4275"/>
      <c r="AC32" s="281"/>
      <c r="AD32" s="252"/>
      <c r="AE32" s="252"/>
      <c r="AF32" s="259"/>
      <c r="AG32" s="273">
        <f>IF(AH31&gt;0,1,0)</f>
        <v>0</v>
      </c>
      <c r="AH32" s="282"/>
      <c r="AI32" s="272"/>
      <c r="AJ32" s="173"/>
    </row>
    <row r="33" spans="1:36" ht="12" customHeight="1" x14ac:dyDescent="0.2">
      <c r="A33" s="1497"/>
      <c r="B33" s="245"/>
      <c r="C33" s="253"/>
      <c r="D33" s="274"/>
      <c r="E33" s="275"/>
      <c r="F33" s="4275" t="s">
        <v>2091</v>
      </c>
      <c r="G33" s="4275"/>
      <c r="H33" s="259">
        <v>10</v>
      </c>
      <c r="I33" s="260" t="str">
        <f>IF(PDs!$R$15&lt;Metamagia!K30,"Nv "&amp;Metamagia!K30,"")</f>
        <v>Nv 7</v>
      </c>
      <c r="J33" s="261"/>
      <c r="K33" s="281">
        <v>10</v>
      </c>
      <c r="L33" s="252"/>
      <c r="M33" s="252"/>
      <c r="N33" s="259"/>
      <c r="O33" s="253"/>
      <c r="V33" s="253"/>
      <c r="W33" s="255"/>
      <c r="X33" s="4275" t="s">
        <v>2092</v>
      </c>
      <c r="Y33" s="4275"/>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75"/>
      <c r="G34" s="4275"/>
      <c r="H34" s="266"/>
      <c r="I34" s="264">
        <f>IF(J33&gt;0,1,0)</f>
        <v>0</v>
      </c>
      <c r="J34" s="252"/>
      <c r="K34" s="259"/>
      <c r="L34" s="253"/>
      <c r="M34" s="253"/>
      <c r="N34" s="275"/>
      <c r="O34" s="253"/>
      <c r="V34" s="253"/>
      <c r="W34" s="253"/>
      <c r="X34" s="4275"/>
      <c r="Y34" s="4275"/>
      <c r="Z34" s="266"/>
      <c r="AA34" s="271">
        <f>IF(AB33&gt;0,1,0)</f>
        <v>0</v>
      </c>
      <c r="AB34" s="243"/>
      <c r="AC34" s="259"/>
      <c r="AD34" s="253"/>
      <c r="AE34" s="253"/>
      <c r="AF34" s="275"/>
      <c r="AG34" s="253"/>
      <c r="AH34" s="277"/>
      <c r="AI34" s="276"/>
      <c r="AJ34" s="173"/>
    </row>
    <row r="35" spans="1:36" ht="12" customHeight="1" x14ac:dyDescent="0.2">
      <c r="A35" s="1497"/>
      <c r="B35" s="245"/>
      <c r="C35" s="4275" t="s">
        <v>2078</v>
      </c>
      <c r="D35" s="4275"/>
      <c r="E35" s="259">
        <v>5</v>
      </c>
      <c r="F35" s="4275"/>
      <c r="G35" s="4275"/>
      <c r="H35" s="259"/>
      <c r="I35" s="244"/>
      <c r="J35" s="252"/>
      <c r="K35" s="259"/>
      <c r="L35" s="253"/>
      <c r="M35" s="253"/>
      <c r="N35" s="275"/>
      <c r="O35" s="253"/>
      <c r="P35" s="3172" t="s">
        <v>1824</v>
      </c>
      <c r="Q35" s="3172"/>
      <c r="R35" s="3172"/>
      <c r="S35" s="3172"/>
      <c r="T35" s="3172"/>
      <c r="U35" s="3172"/>
      <c r="V35" s="253"/>
      <c r="W35" s="253"/>
      <c r="X35" s="4275"/>
      <c r="Y35" s="4275"/>
      <c r="Z35" s="259"/>
      <c r="AA35" s="252"/>
      <c r="AB35" s="252"/>
      <c r="AC35" s="259"/>
      <c r="AD35" s="253"/>
      <c r="AE35" s="253"/>
      <c r="AF35" s="275"/>
      <c r="AG35" s="4275" t="s">
        <v>2093</v>
      </c>
      <c r="AH35" s="4275"/>
      <c r="AI35" s="272">
        <v>5</v>
      </c>
      <c r="AJ35" s="173"/>
    </row>
    <row r="36" spans="1:36" ht="12" customHeight="1" x14ac:dyDescent="0.2">
      <c r="A36" s="1497"/>
      <c r="B36" s="245"/>
      <c r="C36" s="4275"/>
      <c r="D36" s="4275"/>
      <c r="E36" s="259"/>
      <c r="F36" s="260" t="str">
        <f>IF(PDs!$R$15&lt;Metamagia!H33,"Nv "&amp;Metamagia!H33,"")</f>
        <v>Nv 10</v>
      </c>
      <c r="G36" s="261"/>
      <c r="H36" s="259">
        <v>20</v>
      </c>
      <c r="I36" s="252"/>
      <c r="J36" s="252"/>
      <c r="K36" s="259"/>
      <c r="L36" s="253"/>
      <c r="M36" s="253"/>
      <c r="N36" s="275"/>
      <c r="O36" s="253"/>
      <c r="P36" s="4276" t="s">
        <v>2008</v>
      </c>
      <c r="Q36" s="4276"/>
      <c r="R36" s="4277" t="s">
        <v>2009</v>
      </c>
      <c r="S36" s="4277"/>
      <c r="T36" s="4278" t="s">
        <v>2010</v>
      </c>
      <c r="U36" s="4278"/>
      <c r="V36" s="253"/>
      <c r="W36" s="253"/>
      <c r="X36" s="260" t="str">
        <f>IF(PDs!$R$15&lt;Metamagia!Z33,"Nv "&amp;Metamagia!Z33,"")</f>
        <v>Nv 10</v>
      </c>
      <c r="Y36" s="261"/>
      <c r="Z36" s="259">
        <v>20</v>
      </c>
      <c r="AA36" s="252"/>
      <c r="AB36" s="252"/>
      <c r="AC36" s="259"/>
      <c r="AD36" s="253"/>
      <c r="AE36" s="253"/>
      <c r="AF36" s="275"/>
      <c r="AG36" s="4275"/>
      <c r="AH36" s="4275"/>
      <c r="AI36" s="272"/>
      <c r="AJ36" s="173"/>
    </row>
    <row r="37" spans="1:36" ht="12" customHeight="1" x14ac:dyDescent="0.2">
      <c r="A37" s="1497"/>
      <c r="B37" s="245"/>
      <c r="C37" s="4275"/>
      <c r="D37" s="4275"/>
      <c r="E37" s="259"/>
      <c r="F37" s="278">
        <f>IF(G36&gt;0,1,0)</f>
        <v>0</v>
      </c>
      <c r="G37" s="253"/>
      <c r="H37" s="275"/>
      <c r="I37" s="252"/>
      <c r="J37" s="252"/>
      <c r="K37" s="259"/>
      <c r="L37" s="4275" t="s">
        <v>2094</v>
      </c>
      <c r="M37" s="4275"/>
      <c r="N37" s="259">
        <v>10</v>
      </c>
      <c r="O37" s="253"/>
      <c r="P37" s="4279">
        <f>Místicos!$C$12</f>
        <v>0</v>
      </c>
      <c r="Q37" s="4279"/>
      <c r="R37" s="4280">
        <f>Místicos!$E$12</f>
        <v>0</v>
      </c>
      <c r="S37" s="4280"/>
      <c r="T37" s="4281">
        <f>D23+D31+D38+D45+D53+G14+G23+G29+G36+G47+G53+G62+J13+J18+J23+J28+J33+J43+J48+J53+J58+J63+M14+M23+M29+M40+M47+M53+M62+P23+P53+S18+S23+S28+S48+S53+S58+V23+V53+Y14+Y23+Y29+Y36+Y47+Y53+Y62+AB13+AB18+AB23+AB28+AB33+AB43+AB48+AB53+AB58+AB63+AE14+AE23+AE29+AE40+AE47+AE53+AE62+AH23+AH31+AH38+AH45+AH53</f>
        <v>0</v>
      </c>
      <c r="U37" s="4281"/>
      <c r="V37" s="253"/>
      <c r="W37" s="253"/>
      <c r="X37" s="278">
        <f>IF(Y36&gt;0,1,0)</f>
        <v>0</v>
      </c>
      <c r="Y37" s="253"/>
      <c r="Z37" s="275"/>
      <c r="AA37" s="252"/>
      <c r="AB37" s="252"/>
      <c r="AC37" s="272"/>
      <c r="AD37" s="4275" t="s">
        <v>2095</v>
      </c>
      <c r="AE37" s="4275"/>
      <c r="AF37" s="259">
        <v>10</v>
      </c>
      <c r="AG37" s="4275"/>
      <c r="AH37" s="4275"/>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75"/>
      <c r="M38" s="4275"/>
      <c r="N38" s="287"/>
      <c r="O38" s="253"/>
      <c r="P38" s="4279"/>
      <c r="Q38" s="4279"/>
      <c r="R38" s="4280"/>
      <c r="S38" s="4280"/>
      <c r="T38" s="4281"/>
      <c r="U38" s="4281"/>
      <c r="V38" s="253"/>
      <c r="W38" s="255"/>
      <c r="X38" s="253"/>
      <c r="Y38" s="253"/>
      <c r="Z38" s="275"/>
      <c r="AA38" s="252"/>
      <c r="AB38" s="268"/>
      <c r="AC38" s="257"/>
      <c r="AD38" s="4275"/>
      <c r="AE38" s="4275"/>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75"/>
      <c r="M39" s="4275"/>
      <c r="N39" s="259"/>
      <c r="O39" s="253"/>
      <c r="P39" s="253"/>
      <c r="Q39" s="253"/>
      <c r="R39" s="253"/>
      <c r="S39" s="253"/>
      <c r="T39" s="253"/>
      <c r="U39" s="253"/>
      <c r="V39" s="253"/>
      <c r="W39" s="255"/>
      <c r="X39" s="253"/>
      <c r="Y39" s="253"/>
      <c r="Z39" s="275"/>
      <c r="AA39" s="252"/>
      <c r="AB39" s="265"/>
      <c r="AC39" s="272"/>
      <c r="AD39" s="4275"/>
      <c r="AE39" s="4275"/>
      <c r="AF39" s="259"/>
      <c r="AG39" s="219">
        <f>IF(AH38&gt;0,1,0)</f>
        <v>0</v>
      </c>
      <c r="AH39" s="245"/>
      <c r="AI39" s="272"/>
      <c r="AJ39" s="173"/>
    </row>
    <row r="40" spans="1:36" ht="12" customHeight="1" x14ac:dyDescent="0.2">
      <c r="A40" s="1497"/>
      <c r="B40" s="245"/>
      <c r="C40" s="252"/>
      <c r="D40" s="245"/>
      <c r="E40" s="259"/>
      <c r="F40" s="288"/>
      <c r="G40" s="50"/>
      <c r="H40" s="259"/>
      <c r="I40" s="4275" t="s">
        <v>2096</v>
      </c>
      <c r="J40" s="4275"/>
      <c r="K40" s="259">
        <v>7</v>
      </c>
      <c r="L40" s="260" t="str">
        <f>IF(PDs!$R$15&lt;Metamagia!N37,"Nv "&amp;Metamagia!N37,"")</f>
        <v>Nv 10</v>
      </c>
      <c r="M40" s="261"/>
      <c r="N40" s="259">
        <v>20</v>
      </c>
      <c r="O40" s="253"/>
      <c r="P40" s="253"/>
      <c r="Q40" s="253"/>
      <c r="R40" s="253"/>
      <c r="S40" s="253"/>
      <c r="T40" s="253"/>
      <c r="U40" s="253"/>
      <c r="V40" s="253"/>
      <c r="W40" s="255"/>
      <c r="X40" s="253"/>
      <c r="Y40" s="253"/>
      <c r="Z40" s="275"/>
      <c r="AA40" s="4275" t="s">
        <v>2097</v>
      </c>
      <c r="AB40" s="4275"/>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75"/>
      <c r="J41" s="4275"/>
      <c r="K41" s="259"/>
      <c r="L41" s="219">
        <f>IF(M40&gt;0,1,0)</f>
        <v>0</v>
      </c>
      <c r="M41" s="252"/>
      <c r="N41" s="259"/>
      <c r="O41" s="253"/>
      <c r="V41" s="253"/>
      <c r="W41" s="255"/>
      <c r="X41" s="288"/>
      <c r="Y41" s="50"/>
      <c r="Z41" s="259"/>
      <c r="AA41" s="4275"/>
      <c r="AB41" s="4275"/>
      <c r="AC41" s="259"/>
      <c r="AD41" s="219">
        <f>IF(AE40&gt;0,1,0)</f>
        <v>0</v>
      </c>
      <c r="AE41" s="252"/>
      <c r="AF41" s="259"/>
      <c r="AG41" s="253"/>
      <c r="AH41" s="277"/>
      <c r="AI41" s="276"/>
      <c r="AJ41" s="173"/>
    </row>
    <row r="42" spans="1:36" ht="12" customHeight="1" x14ac:dyDescent="0.2">
      <c r="A42" s="1497"/>
      <c r="B42" s="245"/>
      <c r="C42" s="4275" t="s">
        <v>2098</v>
      </c>
      <c r="D42" s="4275"/>
      <c r="E42" s="289">
        <v>2</v>
      </c>
      <c r="F42" s="50"/>
      <c r="G42" s="243"/>
      <c r="H42" s="290"/>
      <c r="I42" s="4275"/>
      <c r="J42" s="4275"/>
      <c r="K42" s="291"/>
      <c r="L42" s="292"/>
      <c r="M42" s="252"/>
      <c r="N42" s="259"/>
      <c r="O42" s="253"/>
      <c r="V42" s="253"/>
      <c r="W42" s="255"/>
      <c r="X42" s="50"/>
      <c r="Y42" s="243"/>
      <c r="Z42" s="290"/>
      <c r="AA42" s="4275"/>
      <c r="AB42" s="4275"/>
      <c r="AC42" s="293"/>
      <c r="AD42" s="292"/>
      <c r="AE42" s="252"/>
      <c r="AF42" s="259"/>
      <c r="AG42" s="4275" t="s">
        <v>2099</v>
      </c>
      <c r="AH42" s="4275"/>
      <c r="AI42" s="272">
        <v>3</v>
      </c>
      <c r="AJ42" s="173"/>
    </row>
    <row r="43" spans="1:36" ht="12" customHeight="1" x14ac:dyDescent="0.2">
      <c r="A43" s="1497"/>
      <c r="B43" s="245"/>
      <c r="C43" s="4275"/>
      <c r="D43" s="4275"/>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5"/>
      <c r="AH43" s="4275"/>
      <c r="AI43" s="272"/>
      <c r="AJ43" s="173"/>
    </row>
    <row r="44" spans="1:36" ht="12" customHeight="1" x14ac:dyDescent="0.2">
      <c r="A44" s="1497"/>
      <c r="B44" s="245"/>
      <c r="C44" s="4275"/>
      <c r="D44" s="4275"/>
      <c r="E44" s="259"/>
      <c r="F44" s="4275" t="s">
        <v>2100</v>
      </c>
      <c r="G44" s="4275"/>
      <c r="H44" s="259">
        <v>6</v>
      </c>
      <c r="I44" s="219">
        <f>IF(J43&gt;0,1,0)</f>
        <v>0</v>
      </c>
      <c r="J44" s="252"/>
      <c r="K44" s="259"/>
      <c r="L44" s="4275" t="s">
        <v>2101</v>
      </c>
      <c r="M44" s="4275"/>
      <c r="N44" s="259">
        <v>9</v>
      </c>
      <c r="O44" s="252"/>
      <c r="V44" s="67"/>
      <c r="W44" s="255"/>
      <c r="X44" s="4275" t="s">
        <v>2102</v>
      </c>
      <c r="Y44" s="4275"/>
      <c r="Z44" s="259">
        <v>8</v>
      </c>
      <c r="AA44" s="219">
        <f>IF(AB43&gt;0,1,0)</f>
        <v>0</v>
      </c>
      <c r="AB44" s="252"/>
      <c r="AC44" s="259"/>
      <c r="AD44" s="4275" t="s">
        <v>2099</v>
      </c>
      <c r="AE44" s="4275"/>
      <c r="AF44" s="259">
        <v>10</v>
      </c>
      <c r="AG44" s="4275"/>
      <c r="AH44" s="4275"/>
      <c r="AI44" s="272"/>
      <c r="AJ44" s="173"/>
    </row>
    <row r="45" spans="1:36" ht="12" customHeight="1" x14ac:dyDescent="0.2">
      <c r="A45" s="1497"/>
      <c r="B45" s="245"/>
      <c r="C45" s="260" t="str">
        <f>IF(PDs!$R$15&lt;Metamagia!E42,"Nv "&amp;Metamagia!E42,"")</f>
        <v>Nv 2</v>
      </c>
      <c r="D45" s="261"/>
      <c r="E45" s="259">
        <v>5</v>
      </c>
      <c r="F45" s="4275"/>
      <c r="G45" s="4275"/>
      <c r="H45" s="259"/>
      <c r="I45" s="4275" t="s">
        <v>2101</v>
      </c>
      <c r="J45" s="4275"/>
      <c r="K45" s="259">
        <v>6</v>
      </c>
      <c r="L45" s="4275"/>
      <c r="M45" s="4275"/>
      <c r="N45" s="259"/>
      <c r="O45" s="252"/>
      <c r="P45" s="252"/>
      <c r="Q45" s="254"/>
      <c r="R45" s="4275" t="s">
        <v>2098</v>
      </c>
      <c r="S45" s="4275"/>
      <c r="T45" s="259">
        <v>2</v>
      </c>
      <c r="U45" s="67"/>
      <c r="V45" s="67"/>
      <c r="W45" s="255"/>
      <c r="X45" s="4275"/>
      <c r="Y45" s="4275"/>
      <c r="Z45" s="259"/>
      <c r="AA45" s="4275" t="s">
        <v>2103</v>
      </c>
      <c r="AB45" s="4275"/>
      <c r="AC45" s="259">
        <v>6</v>
      </c>
      <c r="AD45" s="4275"/>
      <c r="AE45" s="4275"/>
      <c r="AF45" s="259"/>
      <c r="AG45" s="260" t="str">
        <f>IF(PDs!$R$15&lt;Metamagia!AI42,"Nv "&amp;Metamagia!AI42,"")</f>
        <v>Nv 3</v>
      </c>
      <c r="AH45" s="261"/>
      <c r="AI45" s="272">
        <v>5</v>
      </c>
      <c r="AJ45" s="173"/>
    </row>
    <row r="46" spans="1:36" ht="12" customHeight="1" x14ac:dyDescent="0.2">
      <c r="A46" s="1497"/>
      <c r="B46" s="245"/>
      <c r="C46" s="264">
        <f>IF(D45&gt;0,1,0)</f>
        <v>0</v>
      </c>
      <c r="D46" s="252"/>
      <c r="E46" s="259"/>
      <c r="F46" s="4275"/>
      <c r="G46" s="4275"/>
      <c r="H46" s="259"/>
      <c r="I46" s="4275"/>
      <c r="J46" s="4275"/>
      <c r="K46" s="259"/>
      <c r="L46" s="4275"/>
      <c r="M46" s="4275"/>
      <c r="N46" s="259"/>
      <c r="O46" s="252"/>
      <c r="P46" s="268"/>
      <c r="Q46" s="269"/>
      <c r="R46" s="4275"/>
      <c r="S46" s="4275"/>
      <c r="T46" s="259"/>
      <c r="U46" s="67"/>
      <c r="V46" s="67"/>
      <c r="W46" s="255"/>
      <c r="X46" s="4275"/>
      <c r="Y46" s="4275"/>
      <c r="Z46" s="259"/>
      <c r="AA46" s="4275"/>
      <c r="AB46" s="4275"/>
      <c r="AC46" s="259"/>
      <c r="AD46" s="4275"/>
      <c r="AE46" s="4275"/>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75"/>
      <c r="J47" s="4275"/>
      <c r="K47" s="259"/>
      <c r="L47" s="260" t="str">
        <f>IF(PDs!$R$15&lt;Metamagia!N44,"Nv "&amp;Metamagia!N44,"")</f>
        <v>Nv 9</v>
      </c>
      <c r="M47" s="261"/>
      <c r="N47" s="259">
        <v>25</v>
      </c>
      <c r="O47" s="270"/>
      <c r="P47" s="252"/>
      <c r="Q47" s="254"/>
      <c r="R47" s="4275"/>
      <c r="S47" s="4275"/>
      <c r="T47" s="259"/>
      <c r="U47" s="67"/>
      <c r="V47" s="67"/>
      <c r="W47" s="294"/>
      <c r="X47" s="260" t="str">
        <f>IF(PDs!$R$15&lt;Metamagia!Z44,"Nv "&amp;Metamagia!Z44,"")</f>
        <v>Nv 8</v>
      </c>
      <c r="Y47" s="261"/>
      <c r="Z47" s="259">
        <v>5</v>
      </c>
      <c r="AA47" s="4275"/>
      <c r="AB47" s="4275"/>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75" t="s">
        <v>2104</v>
      </c>
      <c r="D50" s="4275"/>
      <c r="E50" s="259"/>
      <c r="F50" s="4275" t="s">
        <v>2105</v>
      </c>
      <c r="G50" s="4275"/>
      <c r="H50" s="259">
        <v>3</v>
      </c>
      <c r="I50" s="4275" t="s">
        <v>2106</v>
      </c>
      <c r="J50" s="4275"/>
      <c r="K50" s="259">
        <v>3</v>
      </c>
      <c r="L50" s="4275" t="s">
        <v>2107</v>
      </c>
      <c r="M50" s="4275"/>
      <c r="N50" s="259">
        <v>3</v>
      </c>
      <c r="O50" s="4275" t="s">
        <v>2108</v>
      </c>
      <c r="P50" s="4275"/>
      <c r="Q50" s="254"/>
      <c r="R50" s="4275" t="s">
        <v>2099</v>
      </c>
      <c r="S50" s="4275"/>
      <c r="T50" s="259">
        <v>5</v>
      </c>
      <c r="U50" s="4275" t="s">
        <v>2099</v>
      </c>
      <c r="V50" s="4275"/>
      <c r="W50" s="259">
        <v>4</v>
      </c>
      <c r="X50" s="4275" t="s">
        <v>2109</v>
      </c>
      <c r="Y50" s="4275"/>
      <c r="Z50" s="259">
        <v>3</v>
      </c>
      <c r="AA50" s="4275" t="s">
        <v>2099</v>
      </c>
      <c r="AB50" s="4275"/>
      <c r="AC50" s="259">
        <v>6</v>
      </c>
      <c r="AD50" s="4275" t="s">
        <v>2110</v>
      </c>
      <c r="AE50" s="4275"/>
      <c r="AF50" s="259">
        <v>3</v>
      </c>
      <c r="AG50" s="4275" t="s">
        <v>2111</v>
      </c>
      <c r="AH50" s="4275"/>
      <c r="AI50" s="272">
        <v>3</v>
      </c>
      <c r="AJ50" s="173"/>
    </row>
    <row r="51" spans="1:36" ht="12" customHeight="1" x14ac:dyDescent="0.2">
      <c r="A51" s="1497"/>
      <c r="B51" s="245"/>
      <c r="C51" s="4275"/>
      <c r="D51" s="4275"/>
      <c r="E51" s="256"/>
      <c r="F51" s="4275"/>
      <c r="G51" s="4275"/>
      <c r="H51" s="256"/>
      <c r="I51" s="4275"/>
      <c r="J51" s="4275"/>
      <c r="K51" s="256"/>
      <c r="L51" s="4275"/>
      <c r="M51" s="4275"/>
      <c r="N51" s="256"/>
      <c r="O51" s="4275"/>
      <c r="P51" s="4275"/>
      <c r="Q51" s="254"/>
      <c r="R51" s="4275"/>
      <c r="S51" s="4275"/>
      <c r="T51" s="259"/>
      <c r="U51" s="4275"/>
      <c r="V51" s="4275"/>
      <c r="W51" s="256"/>
      <c r="X51" s="4275"/>
      <c r="Y51" s="4275"/>
      <c r="Z51" s="256"/>
      <c r="AA51" s="4275"/>
      <c r="AB51" s="4275"/>
      <c r="AC51" s="256"/>
      <c r="AD51" s="4275"/>
      <c r="AE51" s="4275"/>
      <c r="AF51" s="256"/>
      <c r="AG51" s="4275"/>
      <c r="AH51" s="4275"/>
      <c r="AI51" s="272"/>
      <c r="AJ51" s="173"/>
    </row>
    <row r="52" spans="1:36" ht="12" customHeight="1" x14ac:dyDescent="0.2">
      <c r="A52" s="1497"/>
      <c r="B52" s="245"/>
      <c r="C52" s="4275"/>
      <c r="D52" s="4275"/>
      <c r="E52" s="259"/>
      <c r="F52" s="4275"/>
      <c r="G52" s="4275"/>
      <c r="H52" s="259"/>
      <c r="I52" s="4275"/>
      <c r="J52" s="4275"/>
      <c r="K52" s="259"/>
      <c r="L52" s="4275"/>
      <c r="M52" s="4275"/>
      <c r="N52" s="259"/>
      <c r="O52" s="4275"/>
      <c r="P52" s="4275"/>
      <c r="Q52" s="254"/>
      <c r="R52" s="4275"/>
      <c r="S52" s="4275"/>
      <c r="T52" s="259"/>
      <c r="U52" s="4275"/>
      <c r="V52" s="4275"/>
      <c r="W52" s="259"/>
      <c r="X52" s="4275"/>
      <c r="Y52" s="4275"/>
      <c r="Z52" s="259"/>
      <c r="AA52" s="4275"/>
      <c r="AB52" s="4275"/>
      <c r="AC52" s="259"/>
      <c r="AD52" s="4275"/>
      <c r="AE52" s="4275"/>
      <c r="AF52" s="259"/>
      <c r="AG52" s="4275"/>
      <c r="AH52" s="4275"/>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75" t="s">
        <v>2112</v>
      </c>
      <c r="J55" s="4275"/>
      <c r="K55" s="259"/>
      <c r="L55" s="252"/>
      <c r="M55" s="245"/>
      <c r="N55" s="259"/>
      <c r="O55" s="252"/>
      <c r="P55" s="252"/>
      <c r="Q55" s="254"/>
      <c r="R55" s="4275" t="s">
        <v>2102</v>
      </c>
      <c r="S55" s="4275"/>
      <c r="T55" s="259">
        <v>5</v>
      </c>
      <c r="U55" s="68"/>
      <c r="V55" s="67"/>
      <c r="W55" s="255"/>
      <c r="X55" s="297"/>
      <c r="Y55" s="298"/>
      <c r="Z55" s="299"/>
      <c r="AA55" s="4275" t="s">
        <v>2099</v>
      </c>
      <c r="AB55" s="4275"/>
      <c r="AC55" s="259"/>
      <c r="AD55" s="252"/>
      <c r="AE55" s="245"/>
      <c r="AF55" s="259"/>
      <c r="AG55" s="67"/>
      <c r="AH55" s="67"/>
      <c r="AI55" s="295"/>
      <c r="AJ55" s="173"/>
    </row>
    <row r="56" spans="1:36" ht="12" customHeight="1" x14ac:dyDescent="0.2">
      <c r="A56" s="1497"/>
      <c r="B56" s="65"/>
      <c r="C56" s="103"/>
      <c r="D56" s="103"/>
      <c r="E56" s="119"/>
      <c r="F56" s="300"/>
      <c r="G56" s="301"/>
      <c r="H56" s="302"/>
      <c r="I56" s="4275"/>
      <c r="J56" s="4275"/>
      <c r="K56" s="266"/>
      <c r="L56" s="180"/>
      <c r="M56" s="65"/>
      <c r="N56" s="259"/>
      <c r="O56" s="252"/>
      <c r="P56" s="252"/>
      <c r="Q56" s="254"/>
      <c r="R56" s="4275"/>
      <c r="S56" s="4275"/>
      <c r="T56" s="266"/>
      <c r="U56" s="180"/>
      <c r="V56" s="67"/>
      <c r="W56" s="255"/>
      <c r="X56" s="300"/>
      <c r="Y56" s="301"/>
      <c r="Z56" s="302"/>
      <c r="AA56" s="4275"/>
      <c r="AB56" s="4275"/>
      <c r="AC56" s="266"/>
      <c r="AD56" s="180"/>
      <c r="AE56" s="65"/>
      <c r="AF56" s="259"/>
      <c r="AG56" s="67"/>
      <c r="AH56" s="67"/>
      <c r="AI56" s="68"/>
      <c r="AJ56" s="173"/>
    </row>
    <row r="57" spans="1:36" ht="12" customHeight="1" x14ac:dyDescent="0.2">
      <c r="A57" s="1497"/>
      <c r="B57" s="65"/>
      <c r="C57" s="103"/>
      <c r="D57" s="103"/>
      <c r="E57" s="119"/>
      <c r="F57" s="303"/>
      <c r="G57" s="304"/>
      <c r="H57" s="259"/>
      <c r="I57" s="4275"/>
      <c r="J57" s="4275"/>
      <c r="K57" s="259"/>
      <c r="L57" s="67"/>
      <c r="M57" s="65"/>
      <c r="N57" s="259"/>
      <c r="O57" s="252"/>
      <c r="P57" s="252"/>
      <c r="Q57" s="254"/>
      <c r="R57" s="4275"/>
      <c r="S57" s="4275"/>
      <c r="T57" s="259"/>
      <c r="U57" s="67"/>
      <c r="V57" s="67"/>
      <c r="W57" s="255"/>
      <c r="X57" s="303"/>
      <c r="Y57" s="304"/>
      <c r="Z57" s="259"/>
      <c r="AA57" s="4275"/>
      <c r="AB57" s="4275"/>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75" t="s">
        <v>2113</v>
      </c>
      <c r="G59" s="4275"/>
      <c r="H59" s="259"/>
      <c r="I59" s="271">
        <f>IF(J58&gt;0,1,0)</f>
        <v>0</v>
      </c>
      <c r="J59" s="67"/>
      <c r="K59" s="259"/>
      <c r="L59" s="4275" t="s">
        <v>2098</v>
      </c>
      <c r="M59" s="4275"/>
      <c r="N59" s="259"/>
      <c r="O59" s="67"/>
      <c r="P59" s="67"/>
      <c r="Q59" s="255"/>
      <c r="R59" s="219">
        <f>IF(S58&gt;0,1,0)</f>
        <v>0</v>
      </c>
      <c r="S59" s="67"/>
      <c r="T59" s="255"/>
      <c r="U59" s="67"/>
      <c r="V59" s="67"/>
      <c r="W59" s="255"/>
      <c r="X59" s="4275" t="s">
        <v>2102</v>
      </c>
      <c r="Y59" s="4275"/>
      <c r="Z59" s="259"/>
      <c r="AA59" s="271">
        <f>IF(AB58&gt;0,1,0)</f>
        <v>0</v>
      </c>
      <c r="AB59" s="67"/>
      <c r="AC59" s="259"/>
      <c r="AD59" s="4275" t="s">
        <v>2111</v>
      </c>
      <c r="AE59" s="4275"/>
      <c r="AF59" s="259"/>
      <c r="AG59" s="67"/>
      <c r="AH59" s="67"/>
      <c r="AI59" s="68"/>
      <c r="AJ59" s="173"/>
    </row>
    <row r="60" spans="1:36" ht="12" customHeight="1" x14ac:dyDescent="0.2">
      <c r="A60" s="1645"/>
      <c r="B60" s="307"/>
      <c r="C60" s="103"/>
      <c r="D60" s="103"/>
      <c r="E60" s="305"/>
      <c r="F60" s="4275"/>
      <c r="G60" s="4275"/>
      <c r="H60" s="256"/>
      <c r="I60" s="4275" t="s">
        <v>2106</v>
      </c>
      <c r="J60" s="4275"/>
      <c r="K60" s="258"/>
      <c r="L60" s="4275"/>
      <c r="M60" s="4275"/>
      <c r="N60" s="259"/>
      <c r="O60" s="67"/>
      <c r="P60" s="67"/>
      <c r="Q60" s="67"/>
      <c r="R60" s="67"/>
      <c r="S60" s="67"/>
      <c r="T60" s="255"/>
      <c r="U60" s="67"/>
      <c r="V60" s="67"/>
      <c r="W60" s="255"/>
      <c r="X60" s="4275"/>
      <c r="Y60" s="4275"/>
      <c r="Z60" s="256"/>
      <c r="AA60" s="4275" t="s">
        <v>2099</v>
      </c>
      <c r="AB60" s="4275"/>
      <c r="AC60" s="256"/>
      <c r="AD60" s="4275"/>
      <c r="AE60" s="4275"/>
      <c r="AF60" s="259"/>
      <c r="AG60" s="67"/>
      <c r="AH60" s="67"/>
      <c r="AI60" s="68"/>
      <c r="AJ60" s="173"/>
    </row>
    <row r="61" spans="1:36" ht="12" customHeight="1" x14ac:dyDescent="0.2">
      <c r="A61" s="1645"/>
      <c r="B61" s="307"/>
      <c r="C61" s="103"/>
      <c r="D61" s="103"/>
      <c r="E61" s="305"/>
      <c r="F61" s="4275"/>
      <c r="G61" s="4275"/>
      <c r="H61" s="259"/>
      <c r="I61" s="4275"/>
      <c r="J61" s="4275"/>
      <c r="K61" s="255"/>
      <c r="L61" s="4275"/>
      <c r="M61" s="4275"/>
      <c r="N61" s="259"/>
      <c r="O61" s="67"/>
      <c r="P61" s="67"/>
      <c r="Q61" s="67"/>
      <c r="R61" s="67"/>
      <c r="S61" s="67"/>
      <c r="T61" s="255"/>
      <c r="U61" s="67"/>
      <c r="V61" s="67"/>
      <c r="W61" s="255"/>
      <c r="X61" s="4275"/>
      <c r="Y61" s="4275"/>
      <c r="Z61" s="259"/>
      <c r="AA61" s="4275"/>
      <c r="AB61" s="4275"/>
      <c r="AC61" s="259"/>
      <c r="AD61" s="4275"/>
      <c r="AE61" s="4275"/>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75"/>
      <c r="J62" s="4275"/>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5"/>
      <c r="AB62" s="4275"/>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470" t="str">
        <f>"Sheele ("&amp;VLOOKUP(Sheele!D5,'Tablas Sheele'!C5:G12,5,FALSE)&amp;")"</f>
        <v>Sheele (Haley)</v>
      </c>
      <c r="M3" s="4470"/>
      <c r="N3" s="4470"/>
      <c r="O3" s="4470"/>
      <c r="P3" s="4470"/>
      <c r="Q3" s="626"/>
      <c r="R3" s="626"/>
      <c r="S3" s="626"/>
      <c r="T3" s="626"/>
      <c r="U3" s="626"/>
      <c r="V3" s="626"/>
      <c r="W3" s="626"/>
      <c r="X3" s="626"/>
      <c r="Y3" s="626"/>
      <c r="Z3" s="627"/>
      <c r="AA3" s="628"/>
      <c r="AB3" s="618"/>
    </row>
    <row r="4" spans="1:53" ht="12" customHeight="1" x14ac:dyDescent="0.2">
      <c r="A4" s="615"/>
      <c r="B4" s="624"/>
      <c r="C4" s="629"/>
      <c r="D4" s="4459" t="s">
        <v>3258</v>
      </c>
      <c r="E4" s="4460"/>
      <c r="F4" s="4460" t="s">
        <v>3259</v>
      </c>
      <c r="G4" s="4461"/>
      <c r="H4" s="630"/>
      <c r="I4" s="630"/>
      <c r="J4" s="630"/>
      <c r="K4" s="630"/>
      <c r="L4" s="4471"/>
      <c r="M4" s="4471"/>
      <c r="N4" s="4471"/>
      <c r="O4" s="4471"/>
      <c r="P4" s="4471"/>
      <c r="Q4" s="630"/>
      <c r="R4" s="4282" t="s">
        <v>7700</v>
      </c>
      <c r="S4" s="4282"/>
      <c r="T4" s="4282"/>
      <c r="U4" s="1483">
        <f>VALUE(PDs!R15)</f>
        <v>0</v>
      </c>
      <c r="V4" s="630"/>
      <c r="W4" s="630"/>
      <c r="X4" s="630"/>
      <c r="Y4" s="630"/>
      <c r="Z4" s="631"/>
      <c r="AA4" s="628"/>
      <c r="AB4" s="618"/>
    </row>
    <row r="5" spans="1:53" ht="12" customHeight="1" thickBot="1" x14ac:dyDescent="0.25">
      <c r="A5" s="615"/>
      <c r="B5" s="624"/>
      <c r="C5" s="629"/>
      <c r="D5" s="4473" t="s">
        <v>1922</v>
      </c>
      <c r="E5" s="4474"/>
      <c r="F5" s="4474" t="s">
        <v>1690</v>
      </c>
      <c r="G5" s="4475"/>
      <c r="H5" s="630"/>
      <c r="I5" s="630"/>
      <c r="J5" s="630"/>
      <c r="K5" s="630"/>
      <c r="L5" s="4471"/>
      <c r="M5" s="4471"/>
      <c r="N5" s="4471"/>
      <c r="O5" s="4471"/>
      <c r="P5" s="4471"/>
      <c r="Q5" s="630"/>
      <c r="R5" s="4282" t="s">
        <v>3260</v>
      </c>
      <c r="S5" s="4282"/>
      <c r="T5" s="4282"/>
      <c r="U5" s="1567">
        <f>ROUNDUP(IF(U4=0,5,10*U4)/2,0)</f>
        <v>3</v>
      </c>
      <c r="V5" s="4283"/>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472"/>
      <c r="M6" s="4472"/>
      <c r="N6" s="4472"/>
      <c r="O6" s="4472"/>
      <c r="P6" s="4472"/>
      <c r="Q6" s="634"/>
      <c r="R6" s="634"/>
      <c r="S6" s="634"/>
      <c r="T6" s="2259"/>
      <c r="U6" s="634"/>
      <c r="V6" s="4284"/>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456" t="s">
        <v>1673</v>
      </c>
      <c r="D8" s="637"/>
      <c r="E8" s="1572" t="s">
        <v>1674</v>
      </c>
      <c r="F8" s="638" t="s">
        <v>1675</v>
      </c>
      <c r="G8" s="639" t="s">
        <v>1658</v>
      </c>
      <c r="H8" s="640" t="s">
        <v>1676</v>
      </c>
      <c r="I8" s="675"/>
      <c r="J8" s="675"/>
      <c r="K8" s="675"/>
      <c r="L8" s="4459" t="s">
        <v>3261</v>
      </c>
      <c r="M8" s="4460"/>
      <c r="N8" s="4460"/>
      <c r="O8" s="4460"/>
      <c r="P8" s="4460"/>
      <c r="Q8" s="4460"/>
      <c r="R8" s="4460"/>
      <c r="S8" s="4461"/>
      <c r="T8" s="675"/>
      <c r="U8" s="4415" t="s">
        <v>3262</v>
      </c>
      <c r="V8" s="4416"/>
      <c r="W8" s="4416"/>
      <c r="X8" s="4416"/>
      <c r="Y8" s="4416"/>
      <c r="Z8" s="4417"/>
      <c r="AA8" s="628"/>
      <c r="AB8" s="618"/>
      <c r="AT8" s="636"/>
      <c r="AU8" s="632"/>
      <c r="AV8" s="632"/>
    </row>
    <row r="9" spans="1:53" ht="12" customHeight="1" x14ac:dyDescent="0.2">
      <c r="A9" s="615"/>
      <c r="B9" s="624"/>
      <c r="C9" s="4457"/>
      <c r="D9" s="641" t="s">
        <v>1682</v>
      </c>
      <c r="E9" s="1567">
        <f>HLOOKUP($D$5,'Tablas Sheele'!$G$17:$N$25,'Tablas Sheele'!E18,)</f>
        <v>8</v>
      </c>
      <c r="F9" s="1408"/>
      <c r="G9" s="642">
        <f>E9+'Tablas Sheele'!D18+IF('Tablas Sheele'!F143&gt;0,2,0)</f>
        <v>8</v>
      </c>
      <c r="H9" s="1568">
        <f>IF(G9&lt;1,0,VLOOKUP(G9,Tablas!$C$14:$D$33,2))</f>
        <v>10</v>
      </c>
      <c r="I9" s="591"/>
      <c r="J9" s="675"/>
      <c r="K9" s="591"/>
      <c r="L9" s="4465" t="s">
        <v>1819</v>
      </c>
      <c r="M9" s="4466"/>
      <c r="N9" s="4466"/>
      <c r="O9" s="4467"/>
      <c r="P9" s="4468" t="s">
        <v>3263</v>
      </c>
      <c r="Q9" s="4468"/>
      <c r="R9" s="4468"/>
      <c r="S9" s="4469"/>
      <c r="T9" s="675"/>
      <c r="U9" s="4462"/>
      <c r="V9" s="4463"/>
      <c r="W9" s="4463"/>
      <c r="X9" s="4463"/>
      <c r="Y9" s="4463"/>
      <c r="Z9" s="4464"/>
      <c r="AA9" s="628"/>
      <c r="AB9" s="618"/>
      <c r="AT9" s="636"/>
      <c r="AU9" s="632"/>
      <c r="AV9" s="632"/>
    </row>
    <row r="10" spans="1:53" ht="12" customHeight="1" x14ac:dyDescent="0.2">
      <c r="A10" s="615"/>
      <c r="B10" s="624"/>
      <c r="C10" s="4457"/>
      <c r="D10" s="641" t="s">
        <v>1809</v>
      </c>
      <c r="E10" s="1567">
        <f>HLOOKUP($D$5,'Tablas Sheele'!$G$17:$N$25,'Tablas Sheele'!E19,)</f>
        <v>2</v>
      </c>
      <c r="F10" s="1409"/>
      <c r="G10" s="642">
        <f>E10+'Tablas Sheele'!D19</f>
        <v>2</v>
      </c>
      <c r="H10" s="1568">
        <f>IF(G10&lt;1,0,VLOOKUP(G10,Tablas!$C$14:$D$33,2))</f>
        <v>-20</v>
      </c>
      <c r="I10" s="591"/>
      <c r="J10" s="675"/>
      <c r="K10" s="675"/>
      <c r="L10" s="4421" t="s">
        <v>3264</v>
      </c>
      <c r="M10" s="4421"/>
      <c r="N10" s="4455">
        <f>IF(N21*2+20*'Tablas Sheele'!F103&gt;200, IF(N21*2&gt;=200,N21*2+10*'Tablas Sheele'!F103,200+1/2*(20*'Tablas Sheele'!F103-(200-N21*2))),N21*2+20*'Tablas Sheele'!F103 )</f>
        <v>50</v>
      </c>
      <c r="O10" s="4455"/>
      <c r="P10" s="4421" t="s">
        <v>3265</v>
      </c>
      <c r="Q10" s="4421"/>
      <c r="R10" s="4440">
        <f>IF('Tablas Sheele'!F176&gt;0,MAX(Sheele!N10,H11),H11)</f>
        <v>10</v>
      </c>
      <c r="S10" s="4440"/>
      <c r="T10" s="675"/>
      <c r="U10" s="4486" t="s">
        <v>1712</v>
      </c>
      <c r="V10" s="4487"/>
      <c r="W10" s="4476" t="s">
        <v>3266</v>
      </c>
      <c r="X10" s="4476"/>
      <c r="Y10" s="4476"/>
      <c r="Z10" s="4477"/>
      <c r="AA10" s="628"/>
      <c r="AB10" s="618"/>
      <c r="AT10" s="636"/>
      <c r="AU10" s="632"/>
      <c r="AV10" s="632"/>
    </row>
    <row r="11" spans="1:53" ht="12" customHeight="1" x14ac:dyDescent="0.2">
      <c r="A11" s="615"/>
      <c r="B11" s="624"/>
      <c r="C11" s="4457"/>
      <c r="D11" s="641" t="s">
        <v>1687</v>
      </c>
      <c r="E11" s="1567">
        <f>HLOOKUP($D$5,'Tablas Sheele'!$G$17:$N$25,'Tablas Sheele'!E20,)</f>
        <v>8</v>
      </c>
      <c r="F11" s="1409"/>
      <c r="G11" s="642">
        <f>E11+'Tablas Sheele'!D20+IF('Tablas Sheele'!F143&gt;0,2,0)</f>
        <v>8</v>
      </c>
      <c r="H11" s="1568">
        <f>IF(G11&lt;1,0,VLOOKUP(G11,Tablas!$C$14:$D$33,2))</f>
        <v>10</v>
      </c>
      <c r="I11" s="675"/>
      <c r="J11" s="675"/>
      <c r="K11" s="675"/>
      <c r="L11" s="4421"/>
      <c r="M11" s="4421"/>
      <c r="N11" s="4455"/>
      <c r="O11" s="4455"/>
      <c r="P11" s="4421"/>
      <c r="Q11" s="4421"/>
      <c r="R11" s="4440"/>
      <c r="S11" s="4440"/>
      <c r="T11" s="675"/>
      <c r="U11" s="4488"/>
      <c r="V11" s="4489"/>
      <c r="W11" s="4478" t="s">
        <v>3267</v>
      </c>
      <c r="X11" s="4479"/>
      <c r="Y11" s="4479" t="s">
        <v>3268</v>
      </c>
      <c r="Z11" s="4480"/>
      <c r="AA11" s="628"/>
      <c r="AB11" s="618"/>
    </row>
    <row r="12" spans="1:53" ht="12" customHeight="1" thickBot="1" x14ac:dyDescent="0.25">
      <c r="A12" s="615"/>
      <c r="B12" s="549"/>
      <c r="C12" s="4457"/>
      <c r="D12" s="641" t="s">
        <v>1692</v>
      </c>
      <c r="E12" s="1567">
        <f>HLOOKUP($D$5,'Tablas Sheele'!$G$17:$N$25,'Tablas Sheele'!E21,)</f>
        <v>2</v>
      </c>
      <c r="F12" s="1409"/>
      <c r="G12" s="642">
        <f>E12+'Tablas Sheele'!D21+IF('Tablas Sheele'!F143&gt;0,2,0)</f>
        <v>2</v>
      </c>
      <c r="H12" s="1568">
        <f>IF(G12&lt;1,0,VLOOKUP(G12,Tablas!$C$14:$D$33,2))</f>
        <v>-20</v>
      </c>
      <c r="I12" s="591"/>
      <c r="J12" s="675"/>
      <c r="K12" s="675"/>
      <c r="L12" s="4421" t="s">
        <v>3269</v>
      </c>
      <c r="M12" s="4421"/>
      <c r="N12" s="4455">
        <f>IF(N21*2+20*'Tablas Sheele'!F103&gt;200, IF(N21*2&gt;=200,N21*2+10*'Tablas Sheele'!F103,200+1/2*(20*'Tablas Sheele'!F103-(200-N21*2))),N21*2+20*'Tablas Sheele'!F103 )+IF('Tablas Sheele'!F187&gt;0,40,0)</f>
        <v>50</v>
      </c>
      <c r="O12" s="4455"/>
      <c r="P12" s="4421" t="s">
        <v>3270</v>
      </c>
      <c r="Q12" s="4421"/>
      <c r="R12" s="4440">
        <f>IF('Tablas Sheele'!F176&gt;0,MAX(Sheele!N12,H9),IF(D5="Aire",MAX(N12,H9),H9))</f>
        <v>50</v>
      </c>
      <c r="S12" s="4440"/>
      <c r="T12" s="675"/>
      <c r="U12" s="4481" t="str">
        <f>IF('Tablas Sheele'!F98&gt;0,U4+'Tablas Sheele'!F101,"-")</f>
        <v>-</v>
      </c>
      <c r="V12" s="4482"/>
      <c r="W12" s="4483" t="str">
        <f>IF('Tablas Sheele'!F98&gt;0,150,"-")</f>
        <v>-</v>
      </c>
      <c r="X12" s="4484"/>
      <c r="Y12" s="4483" t="str">
        <f>IF('Tablas Sheele'!F98&gt;0,IF('Tablas Sheele'!F99,N21-10,N21)&amp;" / asalto","-")</f>
        <v>-</v>
      </c>
      <c r="Z12" s="4485"/>
      <c r="AA12" s="628"/>
      <c r="AB12" s="618"/>
      <c r="AY12" s="632"/>
      <c r="AZ12" s="632"/>
      <c r="BA12" s="632"/>
    </row>
    <row r="13" spans="1:53" ht="12" customHeight="1" x14ac:dyDescent="0.2">
      <c r="A13" s="615"/>
      <c r="B13" s="643"/>
      <c r="C13" s="4457"/>
      <c r="D13" s="641" t="s">
        <v>1695</v>
      </c>
      <c r="E13" s="1567">
        <f>HLOOKUP($D$5,'Tablas Sheele'!$G$17:$N$25,'Tablas Sheele'!E22,)</f>
        <v>8</v>
      </c>
      <c r="F13" s="1409"/>
      <c r="G13" s="642">
        <f>E13+'Tablas Sheele'!D22</f>
        <v>8</v>
      </c>
      <c r="H13" s="1568">
        <f>IF(G13&lt;1,0,VLOOKUP(G13,Tablas!$C$14:$D$33,2))</f>
        <v>10</v>
      </c>
      <c r="I13" s="675"/>
      <c r="J13" s="675"/>
      <c r="K13" s="675"/>
      <c r="L13" s="4421"/>
      <c r="M13" s="4421"/>
      <c r="N13" s="4455"/>
      <c r="O13" s="4455"/>
      <c r="P13" s="4421"/>
      <c r="Q13" s="4421"/>
      <c r="R13" s="4440"/>
      <c r="S13" s="4440"/>
      <c r="T13" s="675"/>
      <c r="U13" s="4434" t="s">
        <v>3271</v>
      </c>
      <c r="V13" s="4435"/>
      <c r="W13" s="4435"/>
      <c r="X13" s="4435"/>
      <c r="Y13" s="4435"/>
      <c r="Z13" s="4436"/>
      <c r="AA13" s="628"/>
      <c r="AB13" s="618"/>
      <c r="AY13" s="632"/>
      <c r="AZ13" s="632"/>
      <c r="BA13" s="632"/>
    </row>
    <row r="14" spans="1:53" ht="12" customHeight="1" x14ac:dyDescent="0.2">
      <c r="A14" s="615"/>
      <c r="B14" s="643"/>
      <c r="C14" s="4457"/>
      <c r="D14" s="641" t="s">
        <v>1698</v>
      </c>
      <c r="E14" s="1567">
        <f>HLOOKUP($D$5,'Tablas Sheele'!$G$17:$N$25,'Tablas Sheele'!E23,)</f>
        <v>6</v>
      </c>
      <c r="F14" s="1409"/>
      <c r="G14" s="642">
        <f>E14+'Tablas Sheele'!D23</f>
        <v>6</v>
      </c>
      <c r="H14" s="1568">
        <f>IF(G14&lt;1,0,VLOOKUP(G14,Tablas!$C$14:$D$33,2))</f>
        <v>5</v>
      </c>
      <c r="I14" s="675"/>
      <c r="J14" s="675"/>
      <c r="K14" s="675"/>
      <c r="L14" s="4421" t="s">
        <v>3272</v>
      </c>
      <c r="M14" s="4437"/>
      <c r="N14" s="4438" t="str">
        <f>IF(D5="Naturaleza","Esencia",D5)</f>
        <v>Aire</v>
      </c>
      <c r="O14" s="4438"/>
      <c r="P14" s="4439" t="s">
        <v>3273</v>
      </c>
      <c r="Q14" s="4421"/>
      <c r="R14" s="4440">
        <f>IF('Tablas Sheele'!F176&gt;0,MAX(Sheele!N12,H11),H11)</f>
        <v>10</v>
      </c>
      <c r="S14" s="4440"/>
      <c r="T14" s="675"/>
      <c r="U14" s="4441" t="str">
        <f>"Gnosis "&amp;IF('Tablas Sheele'!F100&gt;0,30,20)</f>
        <v>Gnosis 20</v>
      </c>
      <c r="V14" s="4442"/>
      <c r="W14" s="4442"/>
      <c r="X14" s="4442"/>
      <c r="Y14" s="4442"/>
      <c r="Z14" s="4443"/>
      <c r="AA14" s="628"/>
      <c r="AB14" s="618"/>
      <c r="AY14" s="632"/>
      <c r="AZ14" s="632"/>
      <c r="BA14" s="632"/>
    </row>
    <row r="15" spans="1:53" ht="12" customHeight="1" x14ac:dyDescent="0.2">
      <c r="A15" s="615"/>
      <c r="B15" s="643"/>
      <c r="C15" s="4457"/>
      <c r="D15" s="641" t="s">
        <v>1700</v>
      </c>
      <c r="E15" s="1567">
        <f>HLOOKUP($D$5,'Tablas Sheele'!$G$17:$N$25,'Tablas Sheele'!E24,)</f>
        <v>8</v>
      </c>
      <c r="F15" s="1409"/>
      <c r="G15" s="642">
        <f>E15+'Tablas Sheele'!D24</f>
        <v>8</v>
      </c>
      <c r="H15" s="1568">
        <f>IF(G15&lt;1,0,VLOOKUP(G15,Tablas!$C$14:$D$33,2))</f>
        <v>10</v>
      </c>
      <c r="I15" s="675"/>
      <c r="J15" s="675"/>
      <c r="K15" s="675"/>
      <c r="L15" s="4421"/>
      <c r="M15" s="4437"/>
      <c r="N15" s="4444">
        <f>IF(20+10*'Tablas Sheele'!F104&lt;=50,20+10*'Tablas Sheele'!F104,50+1/2*(10*'Tablas Sheele'!F104-(50-20)))</f>
        <v>20</v>
      </c>
      <c r="O15" s="4445"/>
      <c r="P15" s="4439"/>
      <c r="Q15" s="4421"/>
      <c r="R15" s="4440"/>
      <c r="S15" s="4440"/>
      <c r="T15" s="675"/>
      <c r="U15" s="4446" t="s">
        <v>3274</v>
      </c>
      <c r="V15" s="4447"/>
      <c r="W15" s="4447"/>
      <c r="X15" s="4447"/>
      <c r="Y15" s="4447"/>
      <c r="Z15" s="4448"/>
      <c r="AA15" s="628"/>
      <c r="AB15" s="618"/>
      <c r="AY15" s="632"/>
      <c r="AZ15" s="632"/>
      <c r="BA15" s="632"/>
    </row>
    <row r="16" spans="1:53" ht="12" customHeight="1" thickBot="1" x14ac:dyDescent="0.25">
      <c r="A16" s="615"/>
      <c r="B16" s="643"/>
      <c r="C16" s="4458"/>
      <c r="D16" s="644" t="s">
        <v>1701</v>
      </c>
      <c r="E16" s="1569">
        <f>HLOOKUP($D$5,'Tablas Sheele'!$G$17:$N$25,'Tablas Sheele'!E25,)</f>
        <v>6</v>
      </c>
      <c r="F16" s="1410"/>
      <c r="G16" s="645">
        <f>E16+'Tablas Sheele'!D25</f>
        <v>6</v>
      </c>
      <c r="H16" s="1570">
        <f>IF(G16&lt;1,0,VLOOKUP(G16,Tablas!$C$14:$D$33,2))</f>
        <v>5</v>
      </c>
      <c r="I16" s="675"/>
      <c r="J16" s="675"/>
      <c r="K16" s="675"/>
      <c r="L16" s="4421" t="s">
        <v>3275</v>
      </c>
      <c r="M16" s="4421"/>
      <c r="N16" s="4453">
        <f>Místicos!L13</f>
        <v>0</v>
      </c>
      <c r="O16" s="4453"/>
      <c r="P16" s="4421" t="s">
        <v>1702</v>
      </c>
      <c r="Q16" s="4421"/>
      <c r="R16" s="4422">
        <f>Turno_SinArmas_final+IF('Tablas Sheele'!F121,50,0)</f>
        <v>40</v>
      </c>
      <c r="S16" s="4422"/>
      <c r="T16" s="675"/>
      <c r="U16" s="4449"/>
      <c r="V16" s="4450"/>
      <c r="W16" s="4450"/>
      <c r="X16" s="4450"/>
      <c r="Y16" s="4450"/>
      <c r="Z16" s="4451"/>
      <c r="AA16" s="628"/>
      <c r="AB16" s="618"/>
      <c r="AY16" s="632"/>
      <c r="AZ16" s="632"/>
      <c r="BA16" s="632"/>
    </row>
    <row r="17" spans="1:53" ht="12" customHeight="1" thickBot="1" x14ac:dyDescent="0.25">
      <c r="A17" s="615"/>
      <c r="B17" s="643"/>
      <c r="C17" s="675"/>
      <c r="D17" s="675"/>
      <c r="E17" s="675"/>
      <c r="F17" s="675"/>
      <c r="G17" s="675"/>
      <c r="H17" s="675"/>
      <c r="I17" s="675"/>
      <c r="J17" s="675"/>
      <c r="K17" s="675"/>
      <c r="L17" s="4452"/>
      <c r="M17" s="4452"/>
      <c r="N17" s="4454"/>
      <c r="O17" s="4455"/>
      <c r="P17" s="4421"/>
      <c r="Q17" s="4421"/>
      <c r="R17" s="4422"/>
      <c r="S17" s="4422"/>
      <c r="T17" s="675"/>
      <c r="U17" s="4423" t="s">
        <v>3276</v>
      </c>
      <c r="V17" s="4424"/>
      <c r="W17" s="4424"/>
      <c r="X17" s="4424"/>
      <c r="Y17" s="4424"/>
      <c r="Z17" s="4425"/>
      <c r="AA17" s="628"/>
      <c r="AB17" s="618"/>
      <c r="AY17" s="632"/>
      <c r="AZ17" s="632"/>
      <c r="BA17" s="632"/>
    </row>
    <row r="18" spans="1:53" ht="12" customHeight="1" x14ac:dyDescent="0.2">
      <c r="A18" s="615"/>
      <c r="B18" s="643"/>
      <c r="C18" s="4426" t="s">
        <v>3277</v>
      </c>
      <c r="D18" s="4427"/>
      <c r="E18" s="4427"/>
      <c r="F18" s="4427"/>
      <c r="G18" s="4427"/>
      <c r="H18" s="4427"/>
      <c r="I18" s="4428"/>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386"/>
      <c r="V18" s="4387"/>
      <c r="W18" s="4387"/>
      <c r="X18" s="4387"/>
      <c r="Y18" s="4387"/>
      <c r="Z18" s="4388"/>
      <c r="AA18" s="628"/>
      <c r="AB18" s="618"/>
      <c r="AY18" s="632"/>
      <c r="AZ18" s="632"/>
      <c r="BA18" s="632"/>
    </row>
    <row r="19" spans="1:53" ht="12" customHeight="1" x14ac:dyDescent="0.2">
      <c r="A19" s="615"/>
      <c r="B19" s="643"/>
      <c r="C19" s="4429" t="s">
        <v>3279</v>
      </c>
      <c r="D19" s="4430"/>
      <c r="E19" s="4430"/>
      <c r="F19" s="4430"/>
      <c r="G19" s="4431" t="str">
        <f>"Mejoras de "&amp;D5</f>
        <v>Mejoras de Aire</v>
      </c>
      <c r="H19" s="4432"/>
      <c r="I19" s="4432"/>
      <c r="J19" s="4433"/>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83"/>
      <c r="D20" s="4384"/>
      <c r="E20" s="4384"/>
      <c r="F20" s="4385"/>
      <c r="G20" s="4354"/>
      <c r="H20" s="4354"/>
      <c r="I20" s="4354"/>
      <c r="J20" s="4355"/>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83"/>
      <c r="D21" s="4384"/>
      <c r="E21" s="4384"/>
      <c r="F21" s="4385"/>
      <c r="G21" s="4354"/>
      <c r="H21" s="4354"/>
      <c r="I21" s="4354"/>
      <c r="J21" s="4355"/>
      <c r="K21" s="653"/>
      <c r="L21" s="4406" t="s">
        <v>3281</v>
      </c>
      <c r="M21" s="654" t="s">
        <v>1870</v>
      </c>
      <c r="N21" s="655">
        <f>25+5*U4</f>
        <v>25</v>
      </c>
      <c r="O21" s="675"/>
      <c r="P21" s="4409" t="s">
        <v>3282</v>
      </c>
      <c r="Q21" s="4410"/>
      <c r="R21" s="4410"/>
      <c r="S21" s="4411"/>
      <c r="T21" s="675"/>
      <c r="U21" s="4312" t="s">
        <v>1704</v>
      </c>
      <c r="V21" s="4313"/>
      <c r="W21" s="4313"/>
      <c r="X21" s="4313"/>
      <c r="Y21" s="4313"/>
      <c r="Z21" s="4314"/>
      <c r="AA21" s="628"/>
      <c r="AB21" s="618"/>
    </row>
    <row r="22" spans="1:53" ht="12" customHeight="1" x14ac:dyDescent="0.2">
      <c r="A22" s="615"/>
      <c r="B22" s="624"/>
      <c r="C22" s="4383"/>
      <c r="D22" s="4384"/>
      <c r="E22" s="4384"/>
      <c r="F22" s="4385"/>
      <c r="G22" s="4354"/>
      <c r="H22" s="4354"/>
      <c r="I22" s="4354"/>
      <c r="J22" s="4355"/>
      <c r="K22" s="653"/>
      <c r="L22" s="4407"/>
      <c r="M22" s="656" t="s">
        <v>1769</v>
      </c>
      <c r="N22" s="657">
        <f>Principal!J56-Principal!I56+IF('Tablas Sheele'!F$165&gt;0,50,0)</f>
        <v>20</v>
      </c>
      <c r="O22" s="675"/>
      <c r="P22" s="4395" t="s">
        <v>3283</v>
      </c>
      <c r="Q22" s="4396"/>
      <c r="R22" s="4399">
        <f>20+10*ROUNDDOWN(Controlar_final/50,0)+MIN(100,25*'Tablas Sheele'!F108)</f>
        <v>20</v>
      </c>
      <c r="S22" s="4400"/>
      <c r="T22" s="675"/>
      <c r="U22" s="4392"/>
      <c r="V22" s="4393"/>
      <c r="W22" s="4393"/>
      <c r="X22" s="4393"/>
      <c r="Y22" s="4393"/>
      <c r="Z22" s="4394"/>
      <c r="AA22" s="628"/>
      <c r="AB22" s="618"/>
    </row>
    <row r="23" spans="1:53" ht="12" customHeight="1" thickBot="1" x14ac:dyDescent="0.25">
      <c r="A23" s="615"/>
      <c r="B23" s="624"/>
      <c r="C23" s="4383"/>
      <c r="D23" s="4384"/>
      <c r="E23" s="4384"/>
      <c r="F23" s="4385"/>
      <c r="G23" s="4354"/>
      <c r="H23" s="4354"/>
      <c r="I23" s="4354"/>
      <c r="J23" s="4355"/>
      <c r="K23" s="675"/>
      <c r="L23" s="4407"/>
      <c r="M23" s="656" t="s">
        <v>1771</v>
      </c>
      <c r="N23" s="657">
        <f>Principal!J57-Principal!I57+IF('Tablas Sheele'!F$165&gt;0,50,0)</f>
        <v>20</v>
      </c>
      <c r="O23" s="675"/>
      <c r="P23" s="4397"/>
      <c r="Q23" s="4398"/>
      <c r="R23" s="4401"/>
      <c r="S23" s="4402"/>
      <c r="T23" s="675"/>
      <c r="U23" s="4403" t="s">
        <v>8058</v>
      </c>
      <c r="V23" s="4404"/>
      <c r="W23" s="4404"/>
      <c r="X23" s="4405"/>
      <c r="Y23" s="4404"/>
      <c r="Z23" s="658">
        <f>IF(VALUE($U$4)&lt;2,0,5*($U$4-1)-SUM(Y25:Y80))</f>
        <v>0</v>
      </c>
      <c r="AA23" s="628"/>
      <c r="AB23" s="618"/>
    </row>
    <row r="24" spans="1:53" ht="12" customHeight="1" x14ac:dyDescent="0.2">
      <c r="A24" s="615"/>
      <c r="B24" s="624"/>
      <c r="C24" s="4383"/>
      <c r="D24" s="4384"/>
      <c r="E24" s="4384"/>
      <c r="F24" s="4385"/>
      <c r="G24" s="4354"/>
      <c r="H24" s="4354"/>
      <c r="I24" s="4354"/>
      <c r="J24" s="4355"/>
      <c r="K24" s="675"/>
      <c r="L24" s="4407"/>
      <c r="M24" s="656" t="s">
        <v>1773</v>
      </c>
      <c r="N24" s="657">
        <f>Principal!J58-Principal!I58+IF('Tablas Sheele'!F$165&gt;0,50,0)</f>
        <v>20</v>
      </c>
      <c r="O24" s="675"/>
      <c r="P24" s="4412" t="s">
        <v>3284</v>
      </c>
      <c r="Q24" s="4413"/>
      <c r="R24" s="4413"/>
      <c r="S24" s="4414"/>
      <c r="T24" s="675"/>
      <c r="U24" s="659" t="s">
        <v>1708</v>
      </c>
      <c r="V24" s="4319" t="s">
        <v>1684</v>
      </c>
      <c r="W24" s="4382"/>
      <c r="X24" s="1584" t="s">
        <v>1674</v>
      </c>
      <c r="Y24" s="666" t="s">
        <v>3285</v>
      </c>
      <c r="Z24" s="1585" t="s">
        <v>1658</v>
      </c>
      <c r="AA24" s="628" t="s">
        <v>1728</v>
      </c>
      <c r="AB24" s="618"/>
    </row>
    <row r="25" spans="1:53" ht="12" customHeight="1" x14ac:dyDescent="0.2">
      <c r="A25" s="615"/>
      <c r="B25" s="624"/>
      <c r="C25" s="4383"/>
      <c r="D25" s="4384"/>
      <c r="E25" s="4384"/>
      <c r="F25" s="4385"/>
      <c r="G25" s="4354"/>
      <c r="H25" s="4354"/>
      <c r="I25" s="4354"/>
      <c r="J25" s="4355"/>
      <c r="K25" s="675"/>
      <c r="L25" s="4407"/>
      <c r="M25" s="656" t="s">
        <v>1775</v>
      </c>
      <c r="N25" s="657">
        <f>Principal!J59-Principal!I59+IF('Tablas Sheele'!F$165&gt;0,50,0)</f>
        <v>20</v>
      </c>
      <c r="O25" s="675"/>
      <c r="P25" s="4386" t="s">
        <v>3286</v>
      </c>
      <c r="Q25" s="4387"/>
      <c r="R25" s="4387"/>
      <c r="S25" s="4388"/>
      <c r="T25" s="675"/>
      <c r="U25" s="3860" t="s">
        <v>1713</v>
      </c>
      <c r="V25" s="4389" t="s">
        <v>1714</v>
      </c>
      <c r="W25" s="4389"/>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83"/>
      <c r="D26" s="4384"/>
      <c r="E26" s="4384"/>
      <c r="F26" s="4385"/>
      <c r="G26" s="4354"/>
      <c r="H26" s="4354"/>
      <c r="I26" s="4354"/>
      <c r="J26" s="4355"/>
      <c r="K26" s="675"/>
      <c r="L26" s="4408"/>
      <c r="M26" s="660" t="s">
        <v>1777</v>
      </c>
      <c r="N26" s="661">
        <f>Principal!J60-Principal!I60+IF('Tablas Sheele'!F$165&gt;0,50,0)</f>
        <v>20</v>
      </c>
      <c r="O26" s="675"/>
      <c r="P26" s="675"/>
      <c r="Q26" s="675"/>
      <c r="R26" s="675"/>
      <c r="S26" s="591"/>
      <c r="T26" s="675"/>
      <c r="U26" s="3309"/>
      <c r="V26" s="3296" t="s">
        <v>1716</v>
      </c>
      <c r="W26" s="3296"/>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30"/>
      <c r="D27" s="4390"/>
      <c r="E27" s="4390"/>
      <c r="F27" s="4391"/>
      <c r="G27" s="4354"/>
      <c r="H27" s="4354"/>
      <c r="I27" s="4354"/>
      <c r="J27" s="4355"/>
      <c r="K27" s="675"/>
      <c r="L27" s="675"/>
      <c r="M27" s="675"/>
      <c r="N27" s="675"/>
      <c r="O27" s="675"/>
      <c r="P27" s="4415" t="s">
        <v>1678</v>
      </c>
      <c r="Q27" s="4416"/>
      <c r="R27" s="4416"/>
      <c r="S27" s="4417"/>
      <c r="T27" s="675"/>
      <c r="U27" s="3309"/>
      <c r="V27" s="3296" t="s">
        <v>1719</v>
      </c>
      <c r="W27" s="3296"/>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30"/>
      <c r="D28" s="4390"/>
      <c r="E28" s="4390"/>
      <c r="F28" s="4391"/>
      <c r="G28" s="4354"/>
      <c r="H28" s="4354"/>
      <c r="I28" s="4354"/>
      <c r="J28" s="4355"/>
      <c r="K28" s="675"/>
      <c r="L28" s="675"/>
      <c r="M28" s="675"/>
      <c r="N28" s="675"/>
      <c r="O28" s="675"/>
      <c r="P28" s="4418"/>
      <c r="Q28" s="4419"/>
      <c r="R28" s="4419"/>
      <c r="S28" s="4420"/>
      <c r="T28" s="675"/>
      <c r="U28" s="3309"/>
      <c r="V28" s="3296" t="s">
        <v>1723</v>
      </c>
      <c r="W28" s="3296"/>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30"/>
      <c r="D29" s="4331"/>
      <c r="E29" s="4331"/>
      <c r="F29" s="4332"/>
      <c r="G29" s="4353"/>
      <c r="H29" s="4354"/>
      <c r="I29" s="4354"/>
      <c r="J29" s="4355"/>
      <c r="K29" s="675"/>
      <c r="L29" s="675"/>
      <c r="M29" s="675"/>
      <c r="N29" s="675"/>
      <c r="O29" s="675"/>
      <c r="P29" s="4356">
        <f>IF('Tablas Sheele'!F107&gt;0, N21*4, N21*2)+IF('Tablas Sheele'!F149&gt;0,250,0)</f>
        <v>50</v>
      </c>
      <c r="Q29" s="4357"/>
      <c r="R29" s="4362"/>
      <c r="S29" s="4363"/>
      <c r="T29" s="675"/>
      <c r="U29" s="3309"/>
      <c r="V29" s="3296" t="s">
        <v>1726</v>
      </c>
      <c r="W29" s="3296"/>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30"/>
      <c r="D30" s="4331"/>
      <c r="E30" s="4331"/>
      <c r="F30" s="4332"/>
      <c r="G30" s="4353"/>
      <c r="H30" s="4354"/>
      <c r="I30" s="4354"/>
      <c r="J30" s="4355"/>
      <c r="K30" s="675"/>
      <c r="L30" s="4368" t="s">
        <v>1696</v>
      </c>
      <c r="M30" s="4369"/>
      <c r="N30" s="4370"/>
      <c r="O30" s="675"/>
      <c r="P30" s="4358"/>
      <c r="Q30" s="4359"/>
      <c r="R30" s="4364"/>
      <c r="S30" s="4365"/>
      <c r="T30" s="675"/>
      <c r="U30" s="3309"/>
      <c r="V30" s="3296" t="s">
        <v>1729</v>
      </c>
      <c r="W30" s="3296"/>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30"/>
      <c r="D31" s="4331"/>
      <c r="E31" s="4331"/>
      <c r="F31" s="4332"/>
      <c r="G31" s="1564"/>
      <c r="H31" s="1564"/>
      <c r="I31" s="1564"/>
      <c r="J31" s="1565"/>
      <c r="K31" s="675"/>
      <c r="L31" s="4349">
        <f>G9</f>
        <v>8</v>
      </c>
      <c r="M31" s="4351" t="s">
        <v>1893</v>
      </c>
      <c r="N31" s="4352"/>
      <c r="O31" s="675"/>
      <c r="P31" s="4358"/>
      <c r="Q31" s="4359"/>
      <c r="R31" s="4364"/>
      <c r="S31" s="4365"/>
      <c r="T31" s="675"/>
      <c r="U31" s="3310"/>
      <c r="V31" s="4289" t="s">
        <v>7754</v>
      </c>
      <c r="W31" s="4290"/>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380" t="s">
        <v>3287</v>
      </c>
      <c r="D32" s="4381"/>
      <c r="E32" s="4381"/>
      <c r="F32" s="4381"/>
      <c r="G32" s="4381"/>
      <c r="H32" s="4381"/>
      <c r="I32" s="4381"/>
      <c r="J32" s="662">
        <f>COUNTBLANK(E33:E36)+COUNTBLANK(G33:G36)+COUNTBLANK(I33:I36)+COUNTBLANK(C33:C36)-16+'Tablas Sheele'!F109</f>
        <v>0</v>
      </c>
      <c r="K32" s="675"/>
      <c r="L32" s="4349"/>
      <c r="M32" s="4351" t="str">
        <f>IF(L31&lt;1,"",VLOOKUP(L31,Tablas!$I$37:$J$57,2,FALSE))</f>
        <v>28 m / asalto</v>
      </c>
      <c r="N32" s="4352"/>
      <c r="O32" s="675"/>
      <c r="P32" s="4360"/>
      <c r="Q32" s="4361"/>
      <c r="R32" s="4366"/>
      <c r="S32" s="4367"/>
      <c r="T32" s="675"/>
      <c r="U32" s="3309" t="s">
        <v>1732</v>
      </c>
      <c r="V32" s="3296" t="s">
        <v>1733</v>
      </c>
      <c r="W32" s="3296"/>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326"/>
      <c r="D33" s="4327"/>
      <c r="E33" s="4328"/>
      <c r="F33" s="4327"/>
      <c r="G33" s="4328"/>
      <c r="H33" s="4327"/>
      <c r="I33" s="4328"/>
      <c r="J33" s="4329"/>
      <c r="K33" s="675"/>
      <c r="L33" s="4371">
        <f>IF('Tablas Sheele'!F117&gt;0,14,VLOOKUP(D40,'Tablas Sheele'!C204:M243,10,FALSE))</f>
        <v>10</v>
      </c>
      <c r="M33" s="4373" t="s">
        <v>1945</v>
      </c>
      <c r="N33" s="4374"/>
      <c r="O33" s="675"/>
      <c r="P33" s="675"/>
      <c r="Q33" s="675"/>
      <c r="R33" s="675"/>
      <c r="S33" s="591"/>
      <c r="T33" s="675"/>
      <c r="U33" s="3309"/>
      <c r="V33" s="3296" t="s">
        <v>1735</v>
      </c>
      <c r="W33" s="3296"/>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30"/>
      <c r="D34" s="4332"/>
      <c r="E34" s="4347"/>
      <c r="F34" s="4332"/>
      <c r="G34" s="4347"/>
      <c r="H34" s="4332"/>
      <c r="I34" s="4347"/>
      <c r="J34" s="4348"/>
      <c r="K34" s="675"/>
      <c r="L34" s="4372"/>
      <c r="M34" s="4375" t="str">
        <f>IF(L33&lt;1,"",VLOOKUP(L33,Tablas!$I$37:$J$57,2,FALSE))</f>
        <v>35 m / asalto</v>
      </c>
      <c r="N34" s="4376"/>
      <c r="O34" s="675"/>
      <c r="P34" s="4377" t="s">
        <v>1677</v>
      </c>
      <c r="Q34" s="4378"/>
      <c r="R34" s="4378"/>
      <c r="S34" s="4379"/>
      <c r="T34" s="675"/>
      <c r="U34" s="3309"/>
      <c r="V34" s="3296" t="s">
        <v>1738</v>
      </c>
      <c r="W34" s="3296"/>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30"/>
      <c r="D35" s="4332"/>
      <c r="E35" s="4347"/>
      <c r="F35" s="4332"/>
      <c r="G35" s="4347"/>
      <c r="H35" s="4332"/>
      <c r="I35" s="4347"/>
      <c r="J35" s="4348"/>
      <c r="K35" s="675"/>
      <c r="L35" s="4349" t="str">
        <f>IF('Tablas Sheele'!F128&gt;0,15,IF(D5='Tablas Sheele'!C6,10,IF('Tablas Sheele'!F153&gt;0,L31,"-")))</f>
        <v>-</v>
      </c>
      <c r="M35" s="4351" t="str">
        <f>IF(D5='Tablas Sheele'!C6,"Acuático",IF('Tablas Sheele'!F153&gt;0,"Subterráneo","Otros"))</f>
        <v>Otros</v>
      </c>
      <c r="N35" s="4352"/>
      <c r="O35" s="675"/>
      <c r="P35" s="4333">
        <f>VLOOKUP(G10,Tablas!C37:G65,2)</f>
        <v>0</v>
      </c>
      <c r="Q35" s="4335" t="str">
        <f>IF(D5='Tablas Sheele'!C11,"5 PV / asalto",IF('Tablas Sheele'!F132&gt;0,"10 PV / asalto",VLOOKUP(P35,Tablas!D38:G65,2)))</f>
        <v>Ninguna</v>
      </c>
      <c r="R35" s="4336"/>
      <c r="S35" s="4337"/>
      <c r="T35" s="675"/>
      <c r="U35" s="3309"/>
      <c r="V35" s="3296" t="s">
        <v>1740</v>
      </c>
      <c r="W35" s="3296"/>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338"/>
      <c r="D36" s="4339"/>
      <c r="E36" s="4340"/>
      <c r="F36" s="4339"/>
      <c r="G36" s="4340"/>
      <c r="H36" s="4339"/>
      <c r="I36" s="4340"/>
      <c r="J36" s="4341"/>
      <c r="K36" s="675"/>
      <c r="L36" s="4350"/>
      <c r="M36" s="4342" t="str">
        <f>IF(L35="-","-",VLOOKUP(L35,Tablas!$I$37:$J$57,2,FALSE))</f>
        <v>-</v>
      </c>
      <c r="N36" s="4343"/>
      <c r="O36" s="675"/>
      <c r="P36" s="4334"/>
      <c r="Q36" s="4344" t="str">
        <f>VLOOKUP(P35,Tablas!D38:G65,4)</f>
        <v>Ninguna</v>
      </c>
      <c r="R36" s="4345"/>
      <c r="S36" s="4346"/>
      <c r="T36" s="675"/>
      <c r="U36" s="3309"/>
      <c r="V36" s="3296" t="s">
        <v>1085</v>
      </c>
      <c r="W36" s="3296"/>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309"/>
      <c r="V37" s="3296" t="s">
        <v>1086</v>
      </c>
      <c r="W37" s="3296"/>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312" t="s">
        <v>3289</v>
      </c>
      <c r="D38" s="4313"/>
      <c r="E38" s="4313"/>
      <c r="F38" s="4313"/>
      <c r="G38" s="4313"/>
      <c r="H38" s="4313"/>
      <c r="I38" s="4313"/>
      <c r="J38" s="4313"/>
      <c r="K38" s="4313"/>
      <c r="L38" s="4313"/>
      <c r="M38" s="4313"/>
      <c r="N38" s="4313"/>
      <c r="O38" s="4313"/>
      <c r="P38" s="4313"/>
      <c r="Q38" s="4313"/>
      <c r="R38" s="4313"/>
      <c r="S38" s="4314"/>
      <c r="T38" s="675"/>
      <c r="U38" s="3309"/>
      <c r="V38" s="4289" t="s">
        <v>1087</v>
      </c>
      <c r="W38" s="4290"/>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307" t="s">
        <v>3290</v>
      </c>
      <c r="D39" s="4318"/>
      <c r="E39" s="666" t="s">
        <v>3101</v>
      </c>
      <c r="F39" s="1566" t="s">
        <v>3291</v>
      </c>
      <c r="G39" s="666" t="s">
        <v>1882</v>
      </c>
      <c r="H39" s="4319" t="s">
        <v>1861</v>
      </c>
      <c r="I39" s="4320"/>
      <c r="J39" s="4320"/>
      <c r="K39" s="4320"/>
      <c r="L39" s="4320"/>
      <c r="M39" s="4320"/>
      <c r="N39" s="4320"/>
      <c r="O39" s="4320"/>
      <c r="P39" s="4320"/>
      <c r="Q39" s="4320"/>
      <c r="R39" s="4320"/>
      <c r="S39" s="4321"/>
      <c r="T39" s="675"/>
      <c r="U39" s="3860" t="s">
        <v>1741</v>
      </c>
      <c r="V39" s="3296" t="s">
        <v>1742</v>
      </c>
      <c r="W39" s="3296"/>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322" t="str">
        <f>IF(D40=" ","",VLOOKUP(D40,'Tablas Sheele'!$C$204:$J$243,3,FALSE))</f>
        <v>Puede volar con Tipo de Movimiento 10</v>
      </c>
      <c r="I40" s="4323"/>
      <c r="J40" s="4323"/>
      <c r="K40" s="4323"/>
      <c r="L40" s="4323"/>
      <c r="M40" s="4323"/>
      <c r="N40" s="4323"/>
      <c r="O40" s="4323"/>
      <c r="P40" s="4323"/>
      <c r="Q40" s="4323"/>
      <c r="R40" s="4323"/>
      <c r="S40" s="4324"/>
      <c r="T40" s="675"/>
      <c r="U40" s="3309"/>
      <c r="V40" s="3296" t="s">
        <v>1743</v>
      </c>
      <c r="W40" s="3296"/>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295" t="str">
        <f>IF(D41=" ","",VLOOKUP(D41,'Tablas Sheele'!$C$204:$J$243,3,FALSE))</f>
        <v>Usa su Proyección Mágica como Esquiva.</v>
      </c>
      <c r="I41" s="4296"/>
      <c r="J41" s="4296"/>
      <c r="K41" s="4296"/>
      <c r="L41" s="4296"/>
      <c r="M41" s="4296"/>
      <c r="N41" s="4296"/>
      <c r="O41" s="4296"/>
      <c r="P41" s="4296"/>
      <c r="Q41" s="4296"/>
      <c r="R41" s="4296"/>
      <c r="S41" s="4297"/>
      <c r="T41" s="675"/>
      <c r="U41" s="3310"/>
      <c r="V41" s="4289" t="s">
        <v>1744</v>
      </c>
      <c r="W41" s="4290"/>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295" t="str">
        <f>IF(D42=" ","",VLOOKUP(D42,'Tablas Sheele'!$C$204:$J$243,3,FALSE))</f>
        <v/>
      </c>
      <c r="I42" s="4296"/>
      <c r="J42" s="4296"/>
      <c r="K42" s="4296"/>
      <c r="L42" s="4296"/>
      <c r="M42" s="4296"/>
      <c r="N42" s="4296"/>
      <c r="O42" s="4296"/>
      <c r="P42" s="4296"/>
      <c r="Q42" s="4296"/>
      <c r="R42" s="4296"/>
      <c r="S42" s="4297"/>
      <c r="T42" s="675"/>
      <c r="U42" s="3309" t="s">
        <v>1745</v>
      </c>
      <c r="V42" s="3296" t="s">
        <v>1746</v>
      </c>
      <c r="W42" s="3296"/>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315" t="str">
        <f>IF(D43=" ","",VLOOKUP(D43,'Tablas Sheele'!$C$204:$J$243,3,FALSE))</f>
        <v/>
      </c>
      <c r="I43" s="4316"/>
      <c r="J43" s="4316"/>
      <c r="K43" s="4316"/>
      <c r="L43" s="4316"/>
      <c r="M43" s="4316"/>
      <c r="N43" s="4316"/>
      <c r="O43" s="4316"/>
      <c r="P43" s="4316"/>
      <c r="Q43" s="4316"/>
      <c r="R43" s="4316"/>
      <c r="S43" s="4317"/>
      <c r="T43" s="675"/>
      <c r="U43" s="3309"/>
      <c r="V43" s="3296" t="str">
        <f>IF($D$5='Tablas Sheele'!$C$8,"Ciencia (geología)","Ciencia")</f>
        <v>Ciencia</v>
      </c>
      <c r="W43" s="3296"/>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304" t="str">
        <f>IF(COUNTA($C$43:C43)&lt;'Tablas Sheele'!$H$199,VLOOKUP('Tablas Sheele'!A1,'Tablas Sheele'!$B$111:$R$198,2,FALSE),"")</f>
        <v/>
      </c>
      <c r="D44" s="4305"/>
      <c r="E44" s="1571" t="str">
        <f>IF($C44="","",VLOOKUP('Tablas Sheele'!$A1,'Tablas Sheele'!$B$111:$R198,8,FALSE))</f>
        <v/>
      </c>
      <c r="F44" s="1571" t="str">
        <f>IF($C44="","",VLOOKUP('Tablas Sheele'!$A1,'Tablas Sheele'!$B$111:$R198,9,FALSE))</f>
        <v/>
      </c>
      <c r="G44" s="668" t="str">
        <f>IF($C44="","",VLOOKUP('Tablas Sheele'!$A1,'Tablas Sheele'!$B$111:$R198,10,FALSE))</f>
        <v/>
      </c>
      <c r="H44" s="4325" t="str">
        <f>IF($C44="","",VLOOKUP('Tablas Sheele'!$A1,'Tablas Sheele'!$B$111:$R198,11,FALSE))</f>
        <v/>
      </c>
      <c r="I44" s="4300"/>
      <c r="J44" s="4300"/>
      <c r="K44" s="4300"/>
      <c r="L44" s="4300"/>
      <c r="M44" s="4300"/>
      <c r="N44" s="4300"/>
      <c r="O44" s="4300"/>
      <c r="P44" s="4300"/>
      <c r="Q44" s="4300"/>
      <c r="R44" s="4300"/>
      <c r="S44" s="4301"/>
      <c r="T44" s="675"/>
      <c r="U44" s="3309"/>
      <c r="V44" s="3296" t="s">
        <v>2993</v>
      </c>
      <c r="W44" s="3296"/>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304" t="str">
        <f>IF(COUNTA($C$43:C44)&lt;'Tablas Sheele'!$H$199,VLOOKUP('Tablas Sheele'!A2,'Tablas Sheele'!$B$111:$R$198,2,FALSE),"")</f>
        <v/>
      </c>
      <c r="D45" s="4305"/>
      <c r="E45" s="1354" t="str">
        <f>IF($C45="","",VLOOKUP('Tablas Sheele'!$A2,'Tablas Sheele'!$B$111:$R199,8,FALSE))</f>
        <v/>
      </c>
      <c r="F45" s="1354" t="str">
        <f>IF($C45="","",VLOOKUP('Tablas Sheele'!$A2,'Tablas Sheele'!$B$111:$R199,9,FALSE))</f>
        <v/>
      </c>
      <c r="G45" s="670" t="str">
        <f>IF($C45="","",VLOOKUP('Tablas Sheele'!$A2,'Tablas Sheele'!$B$111:$R199,10,FALSE))</f>
        <v/>
      </c>
      <c r="H45" s="4306" t="str">
        <f>IF($C45="","",VLOOKUP('Tablas Sheele'!$A2,'Tablas Sheele'!$B$111:$R199,11,FALSE))</f>
        <v/>
      </c>
      <c r="I45" s="4287"/>
      <c r="J45" s="4287"/>
      <c r="K45" s="4287"/>
      <c r="L45" s="4287"/>
      <c r="M45" s="4287"/>
      <c r="N45" s="4287"/>
      <c r="O45" s="4287"/>
      <c r="P45" s="4287"/>
      <c r="Q45" s="4287"/>
      <c r="R45" s="4287"/>
      <c r="S45" s="4288"/>
      <c r="T45" s="675"/>
      <c r="U45" s="3309"/>
      <c r="V45" s="3296" t="s">
        <v>1748</v>
      </c>
      <c r="W45" s="3296"/>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304" t="str">
        <f>IF(COUNTA($C$43:C45)&lt;'Tablas Sheele'!$H$199,VLOOKUP('Tablas Sheele'!A3,'Tablas Sheele'!$B$111:$R$198,2,FALSE),"")</f>
        <v/>
      </c>
      <c r="D46" s="4305"/>
      <c r="E46" s="1354" t="str">
        <f>IF($C46="","",VLOOKUP('Tablas Sheele'!$A3,'Tablas Sheele'!$B$111:$R200,8,FALSE))</f>
        <v/>
      </c>
      <c r="F46" s="1354" t="str">
        <f>IF($C46="","",VLOOKUP('Tablas Sheele'!$A3,'Tablas Sheele'!$B$111:$R200,9,FALSE))</f>
        <v/>
      </c>
      <c r="G46" s="670" t="str">
        <f>IF($C46="","",VLOOKUP('Tablas Sheele'!$A3,'Tablas Sheele'!$B$111:$R200,10,FALSE))</f>
        <v/>
      </c>
      <c r="H46" s="4306" t="str">
        <f>IF($C46="","",VLOOKUP('Tablas Sheele'!$A3,'Tablas Sheele'!$B$111:$R200,11,FALSE))</f>
        <v/>
      </c>
      <c r="I46" s="4287"/>
      <c r="J46" s="4287"/>
      <c r="K46" s="4287"/>
      <c r="L46" s="4287"/>
      <c r="M46" s="4287"/>
      <c r="N46" s="4287"/>
      <c r="O46" s="4287"/>
      <c r="P46" s="4287"/>
      <c r="Q46" s="4287"/>
      <c r="R46" s="4287"/>
      <c r="S46" s="4288"/>
      <c r="T46" s="675"/>
      <c r="U46" s="3309"/>
      <c r="V46" s="3296" t="s">
        <v>1750</v>
      </c>
      <c r="W46" s="3296"/>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304" t="str">
        <f>IF(COUNTA($C$43:C46)&lt;'Tablas Sheele'!$H$199,VLOOKUP('Tablas Sheele'!A4,'Tablas Sheele'!$B$111:$R$198,2,FALSE),"")</f>
        <v/>
      </c>
      <c r="D47" s="4305"/>
      <c r="E47" s="1354" t="str">
        <f>IF($C47="","",VLOOKUP('Tablas Sheele'!$A4,'Tablas Sheele'!$B$111:$R201,8,FALSE))</f>
        <v/>
      </c>
      <c r="F47" s="1354" t="str">
        <f>IF($C47="","",VLOOKUP('Tablas Sheele'!$A4,'Tablas Sheele'!$B$111:$R201,9,FALSE))</f>
        <v/>
      </c>
      <c r="G47" s="670" t="str">
        <f>IF($C47="","",VLOOKUP('Tablas Sheele'!$A4,'Tablas Sheele'!$B$111:$R201,10,FALSE))</f>
        <v/>
      </c>
      <c r="H47" s="4306" t="str">
        <f>IF($C47="","",VLOOKUP('Tablas Sheele'!$A4,'Tablas Sheele'!$B$111:$R201,11,FALSE))</f>
        <v/>
      </c>
      <c r="I47" s="4287"/>
      <c r="J47" s="4287"/>
      <c r="K47" s="4287"/>
      <c r="L47" s="4287"/>
      <c r="M47" s="4287"/>
      <c r="N47" s="4287"/>
      <c r="O47" s="4287"/>
      <c r="P47" s="4287"/>
      <c r="Q47" s="4287"/>
      <c r="R47" s="4287"/>
      <c r="S47" s="4288"/>
      <c r="T47" s="675"/>
      <c r="U47" s="3309"/>
      <c r="V47" s="3296" t="s">
        <v>1088</v>
      </c>
      <c r="W47" s="3296"/>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304" t="str">
        <f>IF(COUNTA($C$43:C47)&lt;'Tablas Sheele'!$H$199,VLOOKUP('Tablas Sheele'!A5,'Tablas Sheele'!$B$111:$R$198,2,FALSE),"")</f>
        <v/>
      </c>
      <c r="D48" s="4305"/>
      <c r="E48" s="1354" t="str">
        <f>IF($C48="","",VLOOKUP('Tablas Sheele'!$A5,'Tablas Sheele'!$B$111:$R202,8,FALSE))</f>
        <v/>
      </c>
      <c r="F48" s="1354" t="str">
        <f>IF($C48="","",VLOOKUP('Tablas Sheele'!$A5,'Tablas Sheele'!$B$111:$R202,9,FALSE))</f>
        <v/>
      </c>
      <c r="G48" s="670" t="str">
        <f>IF($C48="","",VLOOKUP('Tablas Sheele'!$A5,'Tablas Sheele'!$B$111:$R202,10,FALSE))</f>
        <v/>
      </c>
      <c r="H48" s="4306" t="str">
        <f>IF($C48="","",VLOOKUP('Tablas Sheele'!$A5,'Tablas Sheele'!$B$111:$R202,11,FALSE))</f>
        <v/>
      </c>
      <c r="I48" s="4287"/>
      <c r="J48" s="4287"/>
      <c r="K48" s="4287"/>
      <c r="L48" s="4287"/>
      <c r="M48" s="4287"/>
      <c r="N48" s="4287"/>
      <c r="O48" s="4287"/>
      <c r="P48" s="4287"/>
      <c r="Q48" s="4287"/>
      <c r="R48" s="4287"/>
      <c r="S48" s="4288"/>
      <c r="T48" s="675"/>
      <c r="U48" s="3309"/>
      <c r="V48" s="3296" t="s">
        <v>1753</v>
      </c>
      <c r="W48" s="3296"/>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304" t="str">
        <f>IF(COUNTA($C$43:C48)&lt;'Tablas Sheele'!$H$199,VLOOKUP('Tablas Sheele'!A6,'Tablas Sheele'!$B$111:$R$198,2,FALSE),"")</f>
        <v/>
      </c>
      <c r="D49" s="4305"/>
      <c r="E49" s="1354" t="str">
        <f>IF($C49="","",VLOOKUP('Tablas Sheele'!$A6,'Tablas Sheele'!$B$111:$R203,8,FALSE))</f>
        <v/>
      </c>
      <c r="F49" s="1354" t="str">
        <f>IF($C49="","",VLOOKUP('Tablas Sheele'!$A6,'Tablas Sheele'!$B$111:$R203,9,FALSE))</f>
        <v/>
      </c>
      <c r="G49" s="670" t="str">
        <f>IF($C49="","",VLOOKUP('Tablas Sheele'!$A6,'Tablas Sheele'!$B$111:$R203,10,FALSE))</f>
        <v/>
      </c>
      <c r="H49" s="4306" t="str">
        <f>IF($C49="","",VLOOKUP('Tablas Sheele'!$A6,'Tablas Sheele'!$B$111:$R203,11,FALSE))</f>
        <v/>
      </c>
      <c r="I49" s="4287"/>
      <c r="J49" s="4287"/>
      <c r="K49" s="4287"/>
      <c r="L49" s="4287"/>
      <c r="M49" s="4287"/>
      <c r="N49" s="4287"/>
      <c r="O49" s="4287"/>
      <c r="P49" s="4287"/>
      <c r="Q49" s="4287"/>
      <c r="R49" s="4287"/>
      <c r="S49" s="4288"/>
      <c r="T49" s="675"/>
      <c r="U49" s="3309"/>
      <c r="V49" s="3296" t="s">
        <v>1754</v>
      </c>
      <c r="W49" s="3296"/>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304" t="str">
        <f>IF(COUNTA($C$43:C49)&lt;'Tablas Sheele'!$H$199,VLOOKUP('Tablas Sheele'!A7,'Tablas Sheele'!$B$111:$R$198,2,FALSE),"")</f>
        <v/>
      </c>
      <c r="D50" s="4305"/>
      <c r="E50" s="1354" t="str">
        <f>IF($C50="","",VLOOKUP('Tablas Sheele'!$A7,'Tablas Sheele'!$B$111:$R204,8,FALSE))</f>
        <v/>
      </c>
      <c r="F50" s="1354" t="str">
        <f>IF($C50="","",VLOOKUP('Tablas Sheele'!$A7,'Tablas Sheele'!$B$111:$R204,9,FALSE))</f>
        <v/>
      </c>
      <c r="G50" s="670" t="str">
        <f>IF($C50="","",VLOOKUP('Tablas Sheele'!$A7,'Tablas Sheele'!$B$111:$R204,10,FALSE))</f>
        <v/>
      </c>
      <c r="H50" s="4306" t="str">
        <f>IF($C50="","",VLOOKUP('Tablas Sheele'!$A7,'Tablas Sheele'!$B$111:$R204,11,FALSE))</f>
        <v/>
      </c>
      <c r="I50" s="4287"/>
      <c r="J50" s="4287"/>
      <c r="K50" s="4287"/>
      <c r="L50" s="4287"/>
      <c r="M50" s="4287"/>
      <c r="N50" s="4287"/>
      <c r="O50" s="4287"/>
      <c r="P50" s="4287"/>
      <c r="Q50" s="4287"/>
      <c r="R50" s="4287"/>
      <c r="S50" s="4288"/>
      <c r="T50" s="675"/>
      <c r="U50" s="3309"/>
      <c r="V50" s="3296" t="s">
        <v>1755</v>
      </c>
      <c r="W50" s="3296"/>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304" t="str">
        <f>IF(COUNTA($C$43:C50)&lt;'Tablas Sheele'!$H$199,VLOOKUP('Tablas Sheele'!A8,'Tablas Sheele'!$B$111:$R$198,2,FALSE),"")</f>
        <v/>
      </c>
      <c r="D51" s="4305"/>
      <c r="E51" s="1354" t="str">
        <f>IF($C51="","",VLOOKUP('Tablas Sheele'!$A8,'Tablas Sheele'!$B$111:$R205,8,FALSE))</f>
        <v/>
      </c>
      <c r="F51" s="1354" t="str">
        <f>IF($C51="","",VLOOKUP('Tablas Sheele'!$A8,'Tablas Sheele'!$B$111:$R205,9,FALSE))</f>
        <v/>
      </c>
      <c r="G51" s="670" t="str">
        <f>IF($C51="","",VLOOKUP('Tablas Sheele'!$A8,'Tablas Sheele'!$B$111:$R205,10,FALSE))</f>
        <v/>
      </c>
      <c r="H51" s="4306" t="str">
        <f>IF($C51="","",VLOOKUP('Tablas Sheele'!$A8,'Tablas Sheele'!$B$111:$R205,11,FALSE))</f>
        <v/>
      </c>
      <c r="I51" s="4287"/>
      <c r="J51" s="4287"/>
      <c r="K51" s="4287"/>
      <c r="L51" s="4287"/>
      <c r="M51" s="4287"/>
      <c r="N51" s="4287"/>
      <c r="O51" s="4287"/>
      <c r="P51" s="4287"/>
      <c r="Q51" s="4287"/>
      <c r="R51" s="4287"/>
      <c r="S51" s="4288"/>
      <c r="T51" s="675"/>
      <c r="U51" s="3309"/>
      <c r="V51" s="3296" t="s">
        <v>1756</v>
      </c>
      <c r="W51" s="3296"/>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307" t="s">
        <v>3062</v>
      </c>
      <c r="D52" s="4308"/>
      <c r="E52" s="4309" t="s">
        <v>1861</v>
      </c>
      <c r="F52" s="4310"/>
      <c r="G52" s="4310"/>
      <c r="H52" s="4310"/>
      <c r="I52" s="4310"/>
      <c r="J52" s="4310"/>
      <c r="K52" s="4310"/>
      <c r="L52" s="4310"/>
      <c r="M52" s="4310"/>
      <c r="N52" s="4310"/>
      <c r="O52" s="4310"/>
      <c r="P52" s="4310"/>
      <c r="Q52" s="4310"/>
      <c r="R52" s="4310"/>
      <c r="S52" s="4311"/>
      <c r="T52" s="675"/>
      <c r="U52" s="3309"/>
      <c r="V52" s="3296" t="s">
        <v>1757</v>
      </c>
      <c r="W52" s="3296"/>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298" t="str">
        <f>IF(COUNTA($C$52:C52)&lt;'Tablas Sheele'!$H$110+1,VLOOKUP('Tablas Sheele'!A1,'Tablas Sheele'!$B$91:$C$109,2,FALSE),"")</f>
        <v/>
      </c>
      <c r="D53" s="4299"/>
      <c r="E53" s="4300" t="str">
        <f>IF($C53="","",VLOOKUP(C53,'Tablas Sheele'!C92:Q109,10,FALSE))</f>
        <v/>
      </c>
      <c r="F53" s="4300"/>
      <c r="G53" s="4300"/>
      <c r="H53" s="4300"/>
      <c r="I53" s="4300"/>
      <c r="J53" s="4300"/>
      <c r="K53" s="4300"/>
      <c r="L53" s="4300"/>
      <c r="M53" s="4300"/>
      <c r="N53" s="4300"/>
      <c r="O53" s="4300"/>
      <c r="P53" s="4300"/>
      <c r="Q53" s="4300"/>
      <c r="R53" s="4300"/>
      <c r="S53" s="4301"/>
      <c r="T53" s="675"/>
      <c r="U53" s="3309"/>
      <c r="V53" s="4289" t="s">
        <v>1758</v>
      </c>
      <c r="W53" s="4290"/>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285" t="str">
        <f>IF(COUNTA($C$52:C53)&lt;'Tablas Sheele'!$H$110+1,VLOOKUP('Tablas Sheele'!A2,'Tablas Sheele'!$B$91:$C$109,2,FALSE),"")</f>
        <v/>
      </c>
      <c r="D54" s="4286"/>
      <c r="E54" s="4287" t="str">
        <f>IF($C54="","",VLOOKUP(C54,'Tablas Sheele'!C93:Q110,10,FALSE))</f>
        <v/>
      </c>
      <c r="F54" s="4287"/>
      <c r="G54" s="4287"/>
      <c r="H54" s="4287"/>
      <c r="I54" s="4287"/>
      <c r="J54" s="4287"/>
      <c r="K54" s="4287"/>
      <c r="L54" s="4287"/>
      <c r="M54" s="4287"/>
      <c r="N54" s="4287"/>
      <c r="O54" s="4287"/>
      <c r="P54" s="4287"/>
      <c r="Q54" s="4287"/>
      <c r="R54" s="4287"/>
      <c r="S54" s="4288"/>
      <c r="T54" s="675"/>
      <c r="U54" s="3860" t="s">
        <v>1759</v>
      </c>
      <c r="V54" s="3296" t="s">
        <v>1760</v>
      </c>
      <c r="W54" s="3296"/>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285" t="str">
        <f>IF(COUNTA($C$52:C54)&lt;'Tablas Sheele'!$H$110+1,VLOOKUP('Tablas Sheele'!A3,'Tablas Sheele'!$B$91:$C$109,2,FALSE),"")</f>
        <v/>
      </c>
      <c r="D55" s="4286"/>
      <c r="E55" s="4287" t="str">
        <f>IF($C55="","",VLOOKUP(C55,'Tablas Sheele'!C94:Q111,10,FALSE))</f>
        <v/>
      </c>
      <c r="F55" s="4287"/>
      <c r="G55" s="4287"/>
      <c r="H55" s="4287"/>
      <c r="I55" s="4287"/>
      <c r="J55" s="4287"/>
      <c r="K55" s="4287"/>
      <c r="L55" s="4287"/>
      <c r="M55" s="4287"/>
      <c r="N55" s="4287"/>
      <c r="O55" s="4287"/>
      <c r="P55" s="4287"/>
      <c r="Q55" s="4287"/>
      <c r="R55" s="4287"/>
      <c r="S55" s="4288"/>
      <c r="T55" s="675"/>
      <c r="U55" s="3309"/>
      <c r="V55" s="3296" t="s">
        <v>1761</v>
      </c>
      <c r="W55" s="3296"/>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285" t="str">
        <f>IF(COUNTA($C$52:C55)&lt;'Tablas Sheele'!$H$110+1,VLOOKUP('Tablas Sheele'!A4,'Tablas Sheele'!$B$91:$C$109,2,FALSE),"")</f>
        <v/>
      </c>
      <c r="D56" s="4286"/>
      <c r="E56" s="4287" t="str">
        <f>IF($C56="","",VLOOKUP(C56,'Tablas Sheele'!C95:Q112,10,FALSE))</f>
        <v/>
      </c>
      <c r="F56" s="4287"/>
      <c r="G56" s="4287"/>
      <c r="H56" s="4287"/>
      <c r="I56" s="4287"/>
      <c r="J56" s="4287"/>
      <c r="K56" s="4287"/>
      <c r="L56" s="4287"/>
      <c r="M56" s="4287"/>
      <c r="N56" s="4287"/>
      <c r="O56" s="4287"/>
      <c r="P56" s="4287"/>
      <c r="Q56" s="4287"/>
      <c r="R56" s="4287"/>
      <c r="S56" s="4288"/>
      <c r="T56" s="675"/>
      <c r="U56" s="3310"/>
      <c r="V56" s="4289" t="s">
        <v>1764</v>
      </c>
      <c r="W56" s="4290"/>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285" t="str">
        <f>IF(COUNTA($C$52:C56)&lt;'Tablas Sheele'!$H$110+1,VLOOKUP('Tablas Sheele'!A5,'Tablas Sheele'!$B$91:$C$109,2,FALSE),"")</f>
        <v/>
      </c>
      <c r="D57" s="4286"/>
      <c r="E57" s="4287" t="str">
        <f>IF($C57="","",VLOOKUP(C57,'Tablas Sheele'!C96:Q113,10,FALSE))</f>
        <v/>
      </c>
      <c r="F57" s="4287"/>
      <c r="G57" s="4287"/>
      <c r="H57" s="4287"/>
      <c r="I57" s="4287"/>
      <c r="J57" s="4287"/>
      <c r="K57" s="4287"/>
      <c r="L57" s="4287"/>
      <c r="M57" s="4287"/>
      <c r="N57" s="4287"/>
      <c r="O57" s="4287"/>
      <c r="P57" s="4287"/>
      <c r="Q57" s="4287"/>
      <c r="R57" s="4287"/>
      <c r="S57" s="4288"/>
      <c r="T57" s="675"/>
      <c r="U57" s="3309" t="s">
        <v>1767</v>
      </c>
      <c r="V57" s="3296" t="s">
        <v>1768</v>
      </c>
      <c r="W57" s="3296"/>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285" t="str">
        <f>IF(COUNTA($C$52:C57)&lt;'Tablas Sheele'!$H$110+1,VLOOKUP('Tablas Sheele'!A6,'Tablas Sheele'!$B$91:$C$109,2,FALSE),"")</f>
        <v/>
      </c>
      <c r="D58" s="4286"/>
      <c r="E58" s="4287" t="str">
        <f>IF($C58="","",VLOOKUP(C58,'Tablas Sheele'!C97:Q114,10,FALSE))</f>
        <v/>
      </c>
      <c r="F58" s="4287"/>
      <c r="G58" s="4287"/>
      <c r="H58" s="4287"/>
      <c r="I58" s="4287"/>
      <c r="J58" s="4287"/>
      <c r="K58" s="4287"/>
      <c r="L58" s="4287"/>
      <c r="M58" s="4287"/>
      <c r="N58" s="4287"/>
      <c r="O58" s="4287"/>
      <c r="P58" s="4287"/>
      <c r="Q58" s="4287"/>
      <c r="R58" s="4287"/>
      <c r="S58" s="4288"/>
      <c r="T58" s="675"/>
      <c r="U58" s="3309"/>
      <c r="V58" s="3296" t="s">
        <v>1770</v>
      </c>
      <c r="W58" s="3296"/>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285" t="str">
        <f>IF(COUNTA($C$52:C58)&lt;'Tablas Sheele'!$H$110+1,VLOOKUP('Tablas Sheele'!A7,'Tablas Sheele'!$B$91:$C$109,2,FALSE),"")</f>
        <v/>
      </c>
      <c r="D59" s="4286"/>
      <c r="E59" s="4287" t="str">
        <f>IF($C59="","",VLOOKUP(C59,'Tablas Sheele'!C98:Q115,10,FALSE))</f>
        <v/>
      </c>
      <c r="F59" s="4287"/>
      <c r="G59" s="4287"/>
      <c r="H59" s="4287"/>
      <c r="I59" s="4287"/>
      <c r="J59" s="4287"/>
      <c r="K59" s="4287"/>
      <c r="L59" s="4287"/>
      <c r="M59" s="4287"/>
      <c r="N59" s="4287"/>
      <c r="O59" s="4287"/>
      <c r="P59" s="4287"/>
      <c r="Q59" s="4287"/>
      <c r="R59" s="4287"/>
      <c r="S59" s="4288"/>
      <c r="T59" s="675"/>
      <c r="U59" s="3309"/>
      <c r="V59" s="3296" t="s">
        <v>1772</v>
      </c>
      <c r="W59" s="3296"/>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285" t="str">
        <f>IF(COUNTA($C$52:C59)&lt;'Tablas Sheele'!$H$110+1,VLOOKUP('Tablas Sheele'!A8,'Tablas Sheele'!$B$91:$C$109,2,FALSE),"")</f>
        <v/>
      </c>
      <c r="D60" s="4286"/>
      <c r="E60" s="4287" t="str">
        <f>IF($C60="","",VLOOKUP(C60,'Tablas Sheele'!C99:Q116,10,FALSE))</f>
        <v/>
      </c>
      <c r="F60" s="4287"/>
      <c r="G60" s="4287"/>
      <c r="H60" s="4287"/>
      <c r="I60" s="4287"/>
      <c r="J60" s="4287"/>
      <c r="K60" s="4287"/>
      <c r="L60" s="4287"/>
      <c r="M60" s="4287"/>
      <c r="N60" s="4287"/>
      <c r="O60" s="4287"/>
      <c r="P60" s="4287"/>
      <c r="Q60" s="4287"/>
      <c r="R60" s="4287"/>
      <c r="S60" s="4288"/>
      <c r="T60" s="675"/>
      <c r="U60" s="3309"/>
      <c r="V60" s="3296" t="s">
        <v>1774</v>
      </c>
      <c r="W60" s="3296"/>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285" t="str">
        <f>IF(COUNTA($C$52:C60)&lt;'Tablas Sheele'!$H$110+1,VLOOKUP('Tablas Sheele'!A9,'Tablas Sheele'!$B$91:$C$109,2,FALSE),"")</f>
        <v/>
      </c>
      <c r="D61" s="4286"/>
      <c r="E61" s="4287" t="str">
        <f>IF($C61="","",VLOOKUP(C61,'Tablas Sheele'!C100:Q117,10,FALSE))</f>
        <v/>
      </c>
      <c r="F61" s="4287"/>
      <c r="G61" s="4287"/>
      <c r="H61" s="4287"/>
      <c r="I61" s="4287"/>
      <c r="J61" s="4287"/>
      <c r="K61" s="4287"/>
      <c r="L61" s="4287"/>
      <c r="M61" s="4287"/>
      <c r="N61" s="4287"/>
      <c r="O61" s="4287"/>
      <c r="P61" s="4287"/>
      <c r="Q61" s="4287"/>
      <c r="R61" s="4287"/>
      <c r="S61" s="4288"/>
      <c r="T61" s="675"/>
      <c r="U61" s="3309"/>
      <c r="V61" s="3296" t="s">
        <v>1776</v>
      </c>
      <c r="W61" s="3296"/>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291" t="str">
        <f>IF(COUNTA($C$52:C61)&lt;'Tablas Sheele'!$H$110+1,VLOOKUP('Tablas Sheele'!A10,'Tablas Sheele'!$B$91:$C$109,2,FALSE),"")</f>
        <v/>
      </c>
      <c r="D62" s="4292"/>
      <c r="E62" s="4302" t="str">
        <f>IF($C62="","",VLOOKUP(C62,'Tablas Sheele'!C101:Q118,10,FALSE))</f>
        <v/>
      </c>
      <c r="F62" s="4302"/>
      <c r="G62" s="4302"/>
      <c r="H62" s="4302"/>
      <c r="I62" s="4302"/>
      <c r="J62" s="4302"/>
      <c r="K62" s="4302"/>
      <c r="L62" s="4302"/>
      <c r="M62" s="4302"/>
      <c r="N62" s="4302"/>
      <c r="O62" s="4302"/>
      <c r="P62" s="4302"/>
      <c r="Q62" s="4302"/>
      <c r="R62" s="4302"/>
      <c r="S62" s="4303"/>
      <c r="T62" s="675"/>
      <c r="U62" s="3309"/>
      <c r="V62" s="3296" t="s">
        <v>1778</v>
      </c>
      <c r="W62" s="3296"/>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309"/>
      <c r="V63" s="4289" t="s">
        <v>1779</v>
      </c>
      <c r="W63" s="4290"/>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860" t="s">
        <v>1780</v>
      </c>
      <c r="V64" s="3296" t="s">
        <v>1781</v>
      </c>
      <c r="W64" s="3296"/>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309"/>
      <c r="V65" s="3296" t="s">
        <v>1782</v>
      </c>
      <c r="W65" s="3296"/>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309"/>
      <c r="V66" s="3296" t="s">
        <v>1783</v>
      </c>
      <c r="W66" s="3296"/>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309"/>
      <c r="V67" s="3296" t="s">
        <v>1082</v>
      </c>
      <c r="W67" s="3296"/>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309"/>
      <c r="V68" s="3296" t="s">
        <v>1083</v>
      </c>
      <c r="W68" s="3296"/>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309"/>
      <c r="V69" s="3296" t="s">
        <v>1084</v>
      </c>
      <c r="W69" s="3296"/>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309"/>
      <c r="V70" s="3296" t="s">
        <v>1784</v>
      </c>
      <c r="W70" s="3296"/>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309"/>
      <c r="V71" s="3296" t="s">
        <v>1787</v>
      </c>
      <c r="W71" s="3296"/>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309"/>
      <c r="V72" s="3296" t="s">
        <v>7755</v>
      </c>
      <c r="W72" s="3296"/>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309"/>
      <c r="V73" s="3296" t="s">
        <v>7756</v>
      </c>
      <c r="W73" s="3296"/>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309"/>
      <c r="V74" s="3296" t="s">
        <v>7757</v>
      </c>
      <c r="W74" s="3296"/>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10"/>
      <c r="V75" s="4293" t="s">
        <v>7758</v>
      </c>
      <c r="W75" s="4294"/>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309" t="s">
        <v>1788</v>
      </c>
      <c r="V76" s="3296" t="str">
        <f>IF(PDs!P180="","-",PDs!P180)</f>
        <v>-</v>
      </c>
      <c r="W76" s="3296"/>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309"/>
      <c r="V77" s="3296" t="str">
        <f>IF(PDs!P181="","-",PDs!P181)</f>
        <v>-</v>
      </c>
      <c r="W77" s="3296"/>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309"/>
      <c r="V78" s="3296" t="str">
        <f>IF(PDs!P182="","-",PDs!P182)</f>
        <v>-</v>
      </c>
      <c r="W78" s="3296"/>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309"/>
      <c r="V79" s="3296" t="str">
        <f>IF(PDs!P183="","-",PDs!P183)</f>
        <v>-</v>
      </c>
      <c r="W79" s="3296"/>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335"/>
      <c r="V80" s="3336" t="str">
        <f>IF(PDs!P184="","-",PDs!P184)</f>
        <v>-</v>
      </c>
      <c r="W80" s="3336"/>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213"/>
      <c r="D3" s="3213"/>
      <c r="E3" s="3213"/>
      <c r="F3" s="3213"/>
      <c r="G3" s="3213"/>
      <c r="H3" s="3213"/>
      <c r="I3" s="9"/>
      <c r="J3" s="9"/>
      <c r="K3" s="9"/>
      <c r="L3" s="9"/>
      <c r="M3" s="9"/>
      <c r="N3" s="9"/>
      <c r="O3" s="9"/>
      <c r="P3" s="9"/>
      <c r="Q3" s="10"/>
      <c r="R3" s="68"/>
      <c r="S3" s="56"/>
      <c r="T3" s="56"/>
      <c r="U3" s="1703"/>
      <c r="V3" s="4555"/>
      <c r="W3" s="4556"/>
      <c r="X3" s="4556"/>
      <c r="Y3" s="4556"/>
      <c r="Z3" s="4556"/>
      <c r="AA3" s="4556"/>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213"/>
      <c r="D4" s="3213"/>
      <c r="E4" s="3213"/>
      <c r="F4" s="3213"/>
      <c r="G4" s="3213"/>
      <c r="H4" s="3213"/>
      <c r="I4" s="12"/>
      <c r="J4" s="3167" t="s">
        <v>1625</v>
      </c>
      <c r="K4" s="3167"/>
      <c r="L4" s="3168" t="str">
        <f>IF(OR(General!$G$22="",General!$G$22=0),"",General!$G$22)</f>
        <v/>
      </c>
      <c r="M4" s="3168"/>
      <c r="N4" s="3168"/>
      <c r="O4" s="3168"/>
      <c r="P4" s="3168"/>
      <c r="Q4" s="13"/>
      <c r="R4" s="68"/>
      <c r="S4" s="56"/>
      <c r="T4" s="56"/>
      <c r="U4" s="1703"/>
      <c r="V4" s="4557"/>
      <c r="W4" s="3213"/>
      <c r="X4" s="3213"/>
      <c r="Y4" s="3213"/>
      <c r="Z4" s="3213"/>
      <c r="AA4" s="3213"/>
      <c r="AB4" s="12"/>
      <c r="AC4" s="3167" t="s">
        <v>1625</v>
      </c>
      <c r="AD4" s="3167"/>
      <c r="AE4" s="3168" t="str">
        <f>IF(OR(General!$G$22="",General!$G$22=0),"",General!$G$22)</f>
        <v/>
      </c>
      <c r="AF4" s="3168"/>
      <c r="AG4" s="3168"/>
      <c r="AH4" s="3168"/>
      <c r="AI4" s="3168"/>
      <c r="AJ4" s="2070"/>
      <c r="AK4" s="1947"/>
      <c r="AL4" s="2004"/>
      <c r="AM4" s="1706"/>
      <c r="AN4" s="1901"/>
      <c r="AO4" s="1901"/>
      <c r="AP4" s="2321"/>
      <c r="AQ4" s="2321"/>
      <c r="AR4" s="1787"/>
    </row>
    <row r="5" spans="1:44" ht="12" customHeight="1" thickBot="1" x14ac:dyDescent="0.25">
      <c r="A5" s="173"/>
      <c r="B5" s="1703"/>
      <c r="C5" s="3213"/>
      <c r="D5" s="3213"/>
      <c r="E5" s="3213"/>
      <c r="F5" s="3213"/>
      <c r="G5" s="3213"/>
      <c r="H5" s="3213"/>
      <c r="I5" s="12"/>
      <c r="J5" s="3210" t="s">
        <v>1626</v>
      </c>
      <c r="K5" s="3210"/>
      <c r="L5" s="3211" t="str">
        <f>Principal!$L$5</f>
        <v/>
      </c>
      <c r="M5" s="3211"/>
      <c r="N5" s="3211"/>
      <c r="O5" s="14" t="s">
        <v>1627</v>
      </c>
      <c r="P5" s="15" t="str">
        <f>Principal!$P$5</f>
        <v>0</v>
      </c>
      <c r="Q5" s="16"/>
      <c r="R5" s="68"/>
      <c r="S5" s="56"/>
      <c r="T5" s="56"/>
      <c r="U5" s="1703"/>
      <c r="V5" s="4557"/>
      <c r="W5" s="3213"/>
      <c r="X5" s="3213"/>
      <c r="Y5" s="3213"/>
      <c r="Z5" s="3213"/>
      <c r="AA5" s="3213"/>
      <c r="AB5" s="12"/>
      <c r="AC5" s="3210" t="s">
        <v>1626</v>
      </c>
      <c r="AD5" s="3210"/>
      <c r="AE5" s="3211" t="str">
        <f>Principal!$L$5</f>
        <v/>
      </c>
      <c r="AF5" s="3211"/>
      <c r="AG5" s="3211"/>
      <c r="AH5" s="14" t="s">
        <v>1627</v>
      </c>
      <c r="AI5" s="15" t="str">
        <f>Principal!$P$5</f>
        <v>0</v>
      </c>
      <c r="AJ5" s="12"/>
      <c r="AK5" s="1948"/>
      <c r="AL5" s="2004"/>
      <c r="AM5" s="1706"/>
      <c r="AN5" s="2305"/>
      <c r="AO5" s="2305"/>
      <c r="AP5" s="2328"/>
      <c r="AQ5" s="2328"/>
      <c r="AR5" s="1787"/>
    </row>
    <row r="6" spans="1:44" ht="12" customHeight="1" thickBot="1" x14ac:dyDescent="0.25">
      <c r="A6" s="173"/>
      <c r="B6" s="1703"/>
      <c r="C6" s="3213"/>
      <c r="D6" s="3213"/>
      <c r="E6" s="3213"/>
      <c r="F6" s="3213"/>
      <c r="G6" s="3213"/>
      <c r="H6" s="3213"/>
      <c r="I6" s="12"/>
      <c r="J6" s="3212" t="s">
        <v>2114</v>
      </c>
      <c r="K6" s="3212"/>
      <c r="L6" s="3212"/>
      <c r="M6" s="3212"/>
      <c r="N6" s="3212"/>
      <c r="O6" s="3212"/>
      <c r="P6" s="3212"/>
      <c r="Q6" s="16"/>
      <c r="R6" s="68"/>
      <c r="S6" s="56"/>
      <c r="T6" s="56"/>
      <c r="U6" s="1703"/>
      <c r="V6" s="4557"/>
      <c r="W6" s="3213"/>
      <c r="X6" s="3213"/>
      <c r="Y6" s="3213"/>
      <c r="Z6" s="3213"/>
      <c r="AA6" s="3213"/>
      <c r="AB6" s="12"/>
      <c r="AC6" s="3212" t="s">
        <v>2115</v>
      </c>
      <c r="AD6" s="3212"/>
      <c r="AE6" s="3212"/>
      <c r="AF6" s="3212"/>
      <c r="AG6" s="3212"/>
      <c r="AH6" s="3212"/>
      <c r="AI6" s="3212"/>
      <c r="AJ6" s="12"/>
      <c r="AK6" s="1948"/>
      <c r="AL6" s="2004"/>
      <c r="AM6" s="1706"/>
      <c r="AN6" s="1902"/>
      <c r="AO6" s="1902"/>
      <c r="AP6" s="2329"/>
      <c r="AQ6" s="2329"/>
      <c r="AR6" s="1787"/>
    </row>
    <row r="7" spans="1:44" ht="12" customHeight="1" thickBot="1" x14ac:dyDescent="0.25">
      <c r="A7" s="173"/>
      <c r="B7" s="1703"/>
      <c r="C7" s="3213"/>
      <c r="D7" s="3213"/>
      <c r="E7" s="3213"/>
      <c r="F7" s="3213"/>
      <c r="G7" s="3213"/>
      <c r="H7" s="3213"/>
      <c r="I7" s="12"/>
      <c r="J7" s="3212"/>
      <c r="K7" s="3212"/>
      <c r="L7" s="3212"/>
      <c r="M7" s="3212"/>
      <c r="N7" s="3212"/>
      <c r="O7" s="3212"/>
      <c r="P7" s="3212"/>
      <c r="Q7" s="16"/>
      <c r="R7" s="68"/>
      <c r="S7" s="56"/>
      <c r="T7" s="56"/>
      <c r="U7" s="1703"/>
      <c r="V7" s="4557"/>
      <c r="W7" s="3213"/>
      <c r="X7" s="3213"/>
      <c r="Y7" s="3213"/>
      <c r="Z7" s="3213"/>
      <c r="AA7" s="3213"/>
      <c r="AB7" s="12"/>
      <c r="AC7" s="3212"/>
      <c r="AD7" s="3212"/>
      <c r="AE7" s="3212"/>
      <c r="AF7" s="3212"/>
      <c r="AG7" s="3212"/>
      <c r="AH7" s="3212"/>
      <c r="AI7" s="3212"/>
      <c r="AJ7" s="12"/>
      <c r="AK7" s="1948"/>
      <c r="AL7" s="2004"/>
      <c r="AM7" s="1706"/>
      <c r="AN7" s="2305"/>
      <c r="AO7" s="2305"/>
      <c r="AP7" s="2328"/>
      <c r="AQ7" s="2328"/>
      <c r="AR7" s="1787"/>
    </row>
    <row r="8" spans="1:44" ht="12" customHeight="1" thickBot="1" x14ac:dyDescent="0.25">
      <c r="A8" s="173"/>
      <c r="B8" s="1703"/>
      <c r="C8" s="3213"/>
      <c r="D8" s="3213"/>
      <c r="E8" s="3213"/>
      <c r="F8" s="3213"/>
      <c r="G8" s="3213"/>
      <c r="H8" s="3213"/>
      <c r="I8" s="17"/>
      <c r="J8" s="17"/>
      <c r="K8" s="17"/>
      <c r="L8" s="17"/>
      <c r="M8" s="17"/>
      <c r="N8" s="17"/>
      <c r="O8" s="17"/>
      <c r="P8" s="17"/>
      <c r="Q8" s="18"/>
      <c r="R8" s="68"/>
      <c r="S8" s="56"/>
      <c r="T8" s="56"/>
      <c r="U8" s="1703"/>
      <c r="V8" s="4558"/>
      <c r="W8" s="4559"/>
      <c r="X8" s="4559"/>
      <c r="Y8" s="4559"/>
      <c r="Z8" s="4559"/>
      <c r="AA8" s="4559"/>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334" t="s">
        <v>2116</v>
      </c>
      <c r="D10" s="3334"/>
      <c r="E10" s="3334"/>
      <c r="F10" s="3334"/>
      <c r="G10" s="30"/>
      <c r="H10" s="3172" t="s">
        <v>2117</v>
      </c>
      <c r="I10" s="3172"/>
      <c r="J10" s="3172"/>
      <c r="K10" s="3172"/>
      <c r="L10" s="315" t="s">
        <v>2118</v>
      </c>
      <c r="M10" s="2768"/>
      <c r="N10" s="67"/>
      <c r="O10" s="3172" t="s">
        <v>2119</v>
      </c>
      <c r="P10" s="3172"/>
      <c r="Q10" s="3172"/>
      <c r="R10" s="68"/>
      <c r="S10" s="56"/>
      <c r="T10" s="56"/>
      <c r="U10" s="1703"/>
      <c r="V10" s="3471" t="s">
        <v>2120</v>
      </c>
      <c r="W10" s="3472"/>
      <c r="X10" s="3472"/>
      <c r="Y10" s="3472"/>
      <c r="Z10" s="3472"/>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77" t="s">
        <v>9992</v>
      </c>
      <c r="AE10" s="3980"/>
      <c r="AF10" s="3980"/>
      <c r="AG10" s="3980"/>
      <c r="AH10" s="3978"/>
      <c r="AI10" s="4564" t="s">
        <v>1540</v>
      </c>
      <c r="AJ10" s="4565"/>
      <c r="AK10" s="4566"/>
      <c r="AL10" s="2004"/>
      <c r="AM10" s="1706"/>
      <c r="AN10" s="2332"/>
      <c r="AO10" s="4573" t="s">
        <v>8803</v>
      </c>
      <c r="AP10" s="4574"/>
      <c r="AQ10" s="2723"/>
      <c r="AR10" s="2323" t="s">
        <v>1687</v>
      </c>
    </row>
    <row r="11" spans="1:44" ht="12" customHeight="1" x14ac:dyDescent="0.2">
      <c r="A11" s="173"/>
      <c r="B11" s="1703"/>
      <c r="C11" s="4551" t="s">
        <v>2122</v>
      </c>
      <c r="D11" s="4551"/>
      <c r="E11" s="3191" t="s">
        <v>2123</v>
      </c>
      <c r="F11" s="3191"/>
      <c r="G11" s="67"/>
      <c r="H11" s="4548">
        <f>IF(VOL=0,0,VLOOKUP(VOL,Tabla_PotPsi,2))+IF(M10=0,0,VLOOKUP(M10,Tabla_PotPsitporCV,2))+J13+IF(Bono_ATA&lt;0,Bono_ATA,0)</f>
        <v>0</v>
      </c>
      <c r="I11" s="4548"/>
      <c r="J11" s="317" t="str">
        <f>IF(J13=0,"","Sumar")</f>
        <v/>
      </c>
      <c r="K11" s="317" t="str">
        <f>IF(J13=0,"",TRUNC(J13/5,0))</f>
        <v/>
      </c>
      <c r="L11" s="4561" t="str">
        <f>IF(J13=0,"","a la Fatiga")</f>
        <v/>
      </c>
      <c r="M11" s="4561"/>
      <c r="N11" s="67"/>
      <c r="O11" s="318" t="s">
        <v>1702</v>
      </c>
      <c r="P11" s="2772" t="s">
        <v>1880</v>
      </c>
      <c r="Q11" s="21" t="s">
        <v>2012</v>
      </c>
      <c r="R11" s="68"/>
      <c r="S11" s="56"/>
      <c r="T11" s="56"/>
      <c r="U11" s="1873">
        <f>IF(V11=0,0,1)</f>
        <v>0</v>
      </c>
      <c r="V11" s="4491"/>
      <c r="W11" s="4492"/>
      <c r="X11" s="4492"/>
      <c r="Y11" s="4492"/>
      <c r="Z11" s="4492"/>
      <c r="AA11" s="4509"/>
      <c r="AB11" s="4500" t="str">
        <f>IF(AA11=0,"",IF(AA11*10&lt;100,AA11*10,100))</f>
        <v/>
      </c>
      <c r="AC11" s="96"/>
      <c r="AD11" s="4491"/>
      <c r="AE11" s="4492"/>
      <c r="AF11" s="4492"/>
      <c r="AG11" s="4492"/>
      <c r="AH11" s="4492"/>
      <c r="AI11" s="4567" t="str">
        <f>IF(AD11="","-",IF(AL11="-","Ventaja no escogida",IF(INDEX(Tabla_Dificultades,MATCH(AL11,INDEX(Tabla_Dificultades,,2),0),1)&lt;INDEX(Tabla_Dificultades,MATCH(AL12,INDEX(Tabla_Dificultades,,2),0),1),"Poder no eligible",AL12)))</f>
        <v>-</v>
      </c>
      <c r="AJ11" s="4568"/>
      <c r="AK11" s="4569"/>
      <c r="AL11" s="2724" t="str">
        <f>IF(Tablas!$G$324&gt;0,"DIF",IF(Tablas!G325&gt;0,"MDIF",IF(Tablas!$G$326&gt;0,"ABS","-")))</f>
        <v>-</v>
      </c>
      <c r="AM11" s="1706"/>
      <c r="AO11" s="4575"/>
      <c r="AP11" s="4576"/>
      <c r="AQ11" s="2331"/>
      <c r="AR11" s="2324" t="s">
        <v>1682</v>
      </c>
    </row>
    <row r="12" spans="1:44" ht="12" customHeight="1" thickBot="1" x14ac:dyDescent="0.25">
      <c r="A12" s="173"/>
      <c r="B12" s="1703"/>
      <c r="C12" s="4545">
        <f>CV_final</f>
        <v>0</v>
      </c>
      <c r="D12" s="4545"/>
      <c r="E12" s="4546">
        <f>F18+F15+F16+F17+F19</f>
        <v>0</v>
      </c>
      <c r="F12" s="4546"/>
      <c r="G12" s="67"/>
      <c r="H12" s="4548"/>
      <c r="I12" s="4548"/>
      <c r="J12" s="4549" t="str">
        <f>IF(SUM(Tablas!$G$451:$G$463)+SUM(Tablas!$H$1337:$H$1349),"+1 grado: Des. Psíquico.","")</f>
        <v/>
      </c>
      <c r="K12" s="4549"/>
      <c r="L12" s="4549"/>
      <c r="M12" s="4549"/>
      <c r="N12" s="67"/>
      <c r="O12" s="4550">
        <f>Turno_Nat_final</f>
        <v>40</v>
      </c>
      <c r="P12" s="4547">
        <f>IF(PDs!E110="Tabla de Proyección Psíquica",Proyecciónpsíquica_final-PDs!V109+PDs!V22,Proyecciónpsíquica_final)</f>
        <v>0</v>
      </c>
      <c r="Q12" s="4553">
        <f>IF(PDs!E110="Tabla de Proyección Psíquica",Proyecciónpsíquica_final-PDs!V109+MAX(PDs!V23,PDs!V24),Proyecciónpsíquica_final)</f>
        <v>0</v>
      </c>
      <c r="R12" s="68"/>
      <c r="S12" s="56"/>
      <c r="T12" s="56"/>
      <c r="U12" s="1873"/>
      <c r="V12" s="4510" t="str">
        <f>IF(V11=0,"",VLOOKUP(V11,Tabla_PoderesPsi,2,FALSE))</f>
        <v/>
      </c>
      <c r="W12" s="3271"/>
      <c r="X12" s="3271"/>
      <c r="Y12" s="2765" t="s">
        <v>1627</v>
      </c>
      <c r="Z12" s="2770" t="str">
        <f>IF(V11=0,"",VLOOKUP(V11,Tabla_PoderesPsi,3,FALSE))</f>
        <v/>
      </c>
      <c r="AA12" s="4509"/>
      <c r="AB12" s="4500"/>
      <c r="AC12" s="96"/>
      <c r="AD12" s="4490" t="str">
        <f>IF(AD11=0,"",VLOOKUP(AD11,Tabla_PoderesPsi,2,FALSE))</f>
        <v/>
      </c>
      <c r="AE12" s="3275"/>
      <c r="AF12" s="3275"/>
      <c r="AG12" s="2767" t="s">
        <v>1627</v>
      </c>
      <c r="AH12" s="1291" t="str">
        <f>IF(AD11=0,"",VLOOKUP(AD11,Tabla_PoderesPsi,3,FALSE))</f>
        <v/>
      </c>
      <c r="AI12" s="4570"/>
      <c r="AJ12" s="4571"/>
      <c r="AK12" s="4572"/>
      <c r="AL12" s="2724" t="str">
        <f>IF(AD11="","",INDEX('Tablas psiquica'!$U$7:$U$145,MATCH(AD11,Poderes_psi,0)))</f>
        <v/>
      </c>
      <c r="AM12" s="1706"/>
      <c r="AN12" s="2333"/>
      <c r="AO12" s="4577" t="s">
        <v>1682</v>
      </c>
      <c r="AP12" s="4578"/>
      <c r="AQ12" s="2723"/>
      <c r="AR12" s="2324" t="s">
        <v>8804</v>
      </c>
    </row>
    <row r="13" spans="1:44" ht="12" customHeight="1" thickBot="1" x14ac:dyDescent="0.25">
      <c r="A13" s="173"/>
      <c r="B13" s="1703"/>
      <c r="C13" s="4545"/>
      <c r="D13" s="4545"/>
      <c r="E13" s="4546"/>
      <c r="F13" s="4546"/>
      <c r="G13" s="67"/>
      <c r="H13" s="4552" t="s">
        <v>2124</v>
      </c>
      <c r="I13" s="4552"/>
      <c r="J13" s="90"/>
      <c r="K13" s="4554" t="s">
        <v>2125</v>
      </c>
      <c r="L13" s="4554"/>
      <c r="M13" s="319"/>
      <c r="N13" s="67"/>
      <c r="O13" s="4550"/>
      <c r="P13" s="4547"/>
      <c r="Q13" s="4553"/>
      <c r="R13" s="68"/>
      <c r="S13" s="56"/>
      <c r="T13" s="56"/>
      <c r="U13" s="1873">
        <f>IF(V13=0,0,1)</f>
        <v>0</v>
      </c>
      <c r="V13" s="4504"/>
      <c r="W13" s="4505"/>
      <c r="X13" s="4505"/>
      <c r="Y13" s="4505"/>
      <c r="Z13" s="4505"/>
      <c r="AA13" s="4506"/>
      <c r="AB13" s="4497"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560" t="s">
        <v>2126</v>
      </c>
      <c r="D14" s="4560"/>
      <c r="E14" s="4560"/>
      <c r="F14" s="320" t="s">
        <v>2121</v>
      </c>
      <c r="G14" s="67"/>
      <c r="H14" s="96"/>
      <c r="I14" s="96"/>
      <c r="J14" s="96"/>
      <c r="K14" s="96"/>
      <c r="L14" s="96"/>
      <c r="M14" s="96"/>
      <c r="N14" s="67"/>
      <c r="O14" s="67"/>
      <c r="P14" s="67"/>
      <c r="Q14" s="67"/>
      <c r="R14" s="68"/>
      <c r="S14" s="56"/>
      <c r="T14" s="56"/>
      <c r="U14" s="1873"/>
      <c r="V14" s="4501" t="str">
        <f>IF(V13=0,"",VLOOKUP(V13,Tabla_PoderesPsi,2,FALSE))</f>
        <v/>
      </c>
      <c r="W14" s="4502"/>
      <c r="X14" s="4502"/>
      <c r="Y14" s="2769" t="s">
        <v>1627</v>
      </c>
      <c r="Z14" s="2771" t="str">
        <f>IF(V13=0,"",VLOOKUP(V13,Tabla_PoderesPsi,3,FALSE))</f>
        <v/>
      </c>
      <c r="AA14" s="4506"/>
      <c r="AB14" s="4497"/>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403" t="s">
        <v>2114</v>
      </c>
      <c r="D15" s="3403"/>
      <c r="E15" s="3403"/>
      <c r="F15" s="205">
        <f>IF(C25=0,0,1)+IF(C27=0,0,1)+IF(C29=0,0,1)+IF(C31=0,0,1)+IF(C33=0,0,1)+IF(C35=0,0,1)</f>
        <v>0</v>
      </c>
      <c r="G15" s="67"/>
      <c r="H15" s="3172" t="s">
        <v>2127</v>
      </c>
      <c r="I15" s="3172"/>
      <c r="J15" s="3172"/>
      <c r="K15" s="3172"/>
      <c r="L15" s="3172"/>
      <c r="M15" s="3172"/>
      <c r="N15" s="67"/>
      <c r="O15" s="3172" t="s">
        <v>2128</v>
      </c>
      <c r="P15" s="3172"/>
      <c r="Q15" s="3172"/>
      <c r="R15" s="68"/>
      <c r="S15" s="56"/>
      <c r="T15" s="56"/>
      <c r="U15" s="1873">
        <f>IF(V15=0,0,1)</f>
        <v>0</v>
      </c>
      <c r="V15" s="4491"/>
      <c r="W15" s="4492"/>
      <c r="X15" s="4492"/>
      <c r="Y15" s="4492"/>
      <c r="Z15" s="4492"/>
      <c r="AA15" s="4509"/>
      <c r="AB15" s="4500" t="str">
        <f>IF(AA15=0,"",IF(AA15*10&lt;100,AA15*10,100))</f>
        <v/>
      </c>
      <c r="AC15" s="96"/>
      <c r="AD15" s="3977" t="s">
        <v>8780</v>
      </c>
      <c r="AE15" s="3980"/>
      <c r="AF15" s="3980"/>
      <c r="AG15" s="3980"/>
      <c r="AH15" s="3978"/>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35" t="s">
        <v>2115</v>
      </c>
      <c r="D16" s="4535"/>
      <c r="E16" s="4535"/>
      <c r="F16" s="321">
        <f>SUM(U11:U63)</f>
        <v>0</v>
      </c>
      <c r="G16" s="322"/>
      <c r="H16" s="4539" t="s">
        <v>8785</v>
      </c>
      <c r="I16" s="4540">
        <f>F20-SUM(AI11:AI64)</f>
        <v>0</v>
      </c>
      <c r="J16" s="4542"/>
      <c r="K16" s="4542"/>
      <c r="L16" s="4542"/>
      <c r="M16" s="4542"/>
      <c r="N16" s="67"/>
      <c r="O16" s="3190" t="s">
        <v>2043</v>
      </c>
      <c r="P16" s="3190"/>
      <c r="Q16" s="316" t="s">
        <v>1676</v>
      </c>
      <c r="R16" s="68"/>
      <c r="S16" s="56"/>
      <c r="T16" s="56"/>
      <c r="U16" s="1873"/>
      <c r="V16" s="4510" t="str">
        <f>IF(V15=0,"",VLOOKUP(V15,Tabla_PoderesPsi,2,FALSE))</f>
        <v/>
      </c>
      <c r="W16" s="3271"/>
      <c r="X16" s="3271"/>
      <c r="Y16" s="3021" t="s">
        <v>1627</v>
      </c>
      <c r="Z16" s="2866" t="str">
        <f>IF(V15=0,"",VLOOKUP(V15,Tabla_PoderesPsi,3,FALSE))</f>
        <v/>
      </c>
      <c r="AA16" s="4509"/>
      <c r="AB16" s="4500"/>
      <c r="AC16" s="2322"/>
      <c r="AD16" s="4491"/>
      <c r="AE16" s="4492"/>
      <c r="AF16" s="4492"/>
      <c r="AG16" s="4492"/>
      <c r="AH16" s="4492"/>
      <c r="AI16" s="4498"/>
      <c r="AJ16" s="4544"/>
      <c r="AK16" s="4500" t="str">
        <f>IF(AD16&lt;&gt;"",INDEX(Tablas!$T$26:$T$38,MAX(1+MATCH(VLOOKUP(Psíquicos!$AD16,'Tablas psiquica'!$D$7:$U$145,18,FALSE),'Tablas psiquica'!$I$6:$R$6,0),MAX(SUMPRODUCT(--(Tablas!$S$26:$S$38&lt;=(AL16-20*AI16)))+IF(Tablas!$G$446&gt;0,1,0)+IF(COUNTIF($C$39:$E$50,"Introversión")&gt;0,1,0),SUMPRODUCT(--(Tablas!$S$26:$S$38&lt;=(AL16)))))),"")</f>
        <v/>
      </c>
      <c r="AL16" s="4562">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36" t="s">
        <v>2129</v>
      </c>
      <c r="D17" s="4536"/>
      <c r="E17" s="4536"/>
      <c r="F17" s="205">
        <f>SUM(AA11:AA64)</f>
        <v>0</v>
      </c>
      <c r="G17" s="67"/>
      <c r="H17" s="4539"/>
      <c r="I17" s="4541"/>
      <c r="J17" s="4542"/>
      <c r="K17" s="4542"/>
      <c r="L17" s="4542"/>
      <c r="M17" s="4542"/>
      <c r="N17" s="67"/>
      <c r="O17" s="4160" t="s">
        <v>2051</v>
      </c>
      <c r="P17" s="4160"/>
      <c r="Q17" s="323" t="str">
        <f>IF(OR(Tablas!G546&gt;0,Tablas!H1371&gt;0),"+0",IF(AND(Tablas!G444=0,Tablas!H1335=0),"+10","+20"))</f>
        <v>+10</v>
      </c>
      <c r="R17" s="68"/>
      <c r="S17" s="56"/>
      <c r="T17" s="56"/>
      <c r="U17" s="1873">
        <f>IF(V17=0,0,1)</f>
        <v>0</v>
      </c>
      <c r="V17" s="4504"/>
      <c r="W17" s="4505"/>
      <c r="X17" s="4505"/>
      <c r="Y17" s="4505"/>
      <c r="Z17" s="4505"/>
      <c r="AA17" s="4506"/>
      <c r="AB17" s="4497" t="str">
        <f>IF(AA17=0,"",IF(AA17*10&lt;100,AA17*10,100))</f>
        <v/>
      </c>
      <c r="AC17" s="2384"/>
      <c r="AD17" s="4510" t="str">
        <f>IF(AD16=0,"",VLOOKUP(AD16,Tabla_PoderesPsi,2,FALSE))</f>
        <v/>
      </c>
      <c r="AE17" s="3271"/>
      <c r="AF17" s="3271"/>
      <c r="AG17" s="2765" t="s">
        <v>1627</v>
      </c>
      <c r="AH17" s="2770" t="str">
        <f>IF(AD16=0,"",VLOOKUP(AD16,Tabla_PoderesPsi,3,FALSE))</f>
        <v/>
      </c>
      <c r="AI17" s="4498"/>
      <c r="AJ17" s="4515"/>
      <c r="AK17" s="4500"/>
      <c r="AL17" s="4562"/>
      <c r="AM17" s="1706"/>
      <c r="AN17" s="1902"/>
      <c r="AO17" s="2305"/>
      <c r="AP17" s="2328"/>
      <c r="AQ17" s="2328"/>
    </row>
    <row r="18" spans="1:43" ht="12" customHeight="1" x14ac:dyDescent="0.2">
      <c r="A18" s="173"/>
      <c r="B18" s="1703"/>
      <c r="C18" s="4533" t="s">
        <v>2130</v>
      </c>
      <c r="D18" s="4533"/>
      <c r="E18" s="4533"/>
      <c r="F18" s="321">
        <f>M10</f>
        <v>0</v>
      </c>
      <c r="G18" s="67"/>
      <c r="H18" s="324" t="s">
        <v>2131</v>
      </c>
      <c r="I18" s="2778"/>
      <c r="J18" s="56"/>
      <c r="K18" s="325" t="str">
        <f>IF(AND(Tablas!G445=0,Tablas!H1336=0),"+10 / CV","+20 / CV")</f>
        <v>+10 / CV</v>
      </c>
      <c r="L18" s="4534" t="str">
        <f>IF(AND(Tablas!G445=0,Tablas!H1368=0),"(Max +50)","(Max +100)")</f>
        <v>(Max +50)</v>
      </c>
      <c r="M18" s="4534"/>
      <c r="N18" s="67"/>
      <c r="O18" s="4125" t="s">
        <v>2054</v>
      </c>
      <c r="P18" s="4125"/>
      <c r="Q18" s="323" t="str">
        <f>IF(OR(Tablas!G546&gt;0,Tablas!H1371&gt;0),"+0",IF(AND(Tablas!G444=0,Tablas!H1335=0),"+20","+40"))</f>
        <v>+20</v>
      </c>
      <c r="R18" s="68"/>
      <c r="S18" s="56"/>
      <c r="T18" s="56"/>
      <c r="U18" s="1873"/>
      <c r="V18" s="4501" t="str">
        <f>IF(V17=0,"",VLOOKUP(V17,Tabla_PoderesPsi,2,FALSE))</f>
        <v/>
      </c>
      <c r="W18" s="4502"/>
      <c r="X18" s="4502"/>
      <c r="Y18" s="3023" t="s">
        <v>1627</v>
      </c>
      <c r="Z18" s="2771" t="str">
        <f>IF(V17=0,"",VLOOKUP(V17,Tabla_PoderesPsi,3,FALSE))</f>
        <v/>
      </c>
      <c r="AA18" s="4506"/>
      <c r="AB18" s="4497"/>
      <c r="AC18" s="2384"/>
      <c r="AD18" s="4504"/>
      <c r="AE18" s="4505"/>
      <c r="AF18" s="4505"/>
      <c r="AG18" s="4505"/>
      <c r="AH18" s="4505"/>
      <c r="AI18" s="4503"/>
      <c r="AJ18" s="4516"/>
      <c r="AK18" s="4497" t="str">
        <f>IF(AD18&lt;&gt;"",INDEX(Tablas!$T$26:$T$38,MAX(1+MATCH(VLOOKUP(Psíquicos!$AD18,'Tablas psiquica'!$D$7:$U$145,18,FALSE),'Tablas psiquica'!$I$6:$R$6,0),MAX(SUMPRODUCT(--(Tablas!$S$26:$S$38&lt;=(AL18-20*AI18)))+IF(Tablas!$G$446&gt;0,1,0)+IF(COUNTIF($C$39:$E$50,"Introversión")&gt;0,1,0),SUMPRODUCT(--(Tablas!$S$26:$S$38&lt;=(AL18)))))),"")</f>
        <v/>
      </c>
      <c r="AL18" s="4562">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428" t="s">
        <v>2132</v>
      </c>
      <c r="D19" s="3428"/>
      <c r="E19" s="3428"/>
      <c r="F19" s="2677">
        <f>2*M13</f>
        <v>0</v>
      </c>
      <c r="G19" s="67"/>
      <c r="H19" s="326" t="s">
        <v>2133</v>
      </c>
      <c r="I19" s="327"/>
      <c r="J19" s="67"/>
      <c r="K19" s="328" t="s">
        <v>2134</v>
      </c>
      <c r="L19" s="4531" t="s">
        <v>2135</v>
      </c>
      <c r="M19" s="4531"/>
      <c r="N19" s="67"/>
      <c r="O19" s="4125" t="s">
        <v>2057</v>
      </c>
      <c r="P19" s="4125"/>
      <c r="Q19" s="323" t="str">
        <f>IF(OR(Tablas!G546&gt;0,Tablas!H1371&gt;0),"+0",IF(AND(Tablas!G444=0,Tablas!H1335=0),"+30","+60"))</f>
        <v>+30</v>
      </c>
      <c r="R19" s="68"/>
      <c r="S19" s="56"/>
      <c r="T19" s="56"/>
      <c r="U19" s="1873">
        <f>IF(V19=0,0,1)</f>
        <v>0</v>
      </c>
      <c r="V19" s="4491"/>
      <c r="W19" s="4492"/>
      <c r="X19" s="4492"/>
      <c r="Y19" s="4492"/>
      <c r="Z19" s="4492"/>
      <c r="AA19" s="4509"/>
      <c r="AB19" s="4500" t="str">
        <f>IF(AA19=0,"",IF(AA19*10&lt;100,AA19*10,100))</f>
        <v/>
      </c>
      <c r="AC19" s="2384"/>
      <c r="AD19" s="4501" t="str">
        <f>IF(AD18=0,"",VLOOKUP(AD18,Tabla_PoderesPsi,2,FALSE))</f>
        <v/>
      </c>
      <c r="AE19" s="4502"/>
      <c r="AF19" s="4502"/>
      <c r="AG19" s="2769" t="s">
        <v>1627</v>
      </c>
      <c r="AH19" s="2771" t="str">
        <f>IF(AD18=0,"",VLOOKUP(AD18,Tabla_PoderesPsi,3,FALSE))</f>
        <v/>
      </c>
      <c r="AI19" s="4503"/>
      <c r="AJ19" s="4516"/>
      <c r="AK19" s="4497"/>
      <c r="AL19" s="4562"/>
      <c r="AM19" s="1706"/>
      <c r="AN19" s="1902"/>
      <c r="AO19" s="2305"/>
      <c r="AP19" s="2328"/>
      <c r="AQ19" s="2328"/>
    </row>
    <row r="20" spans="1:43" ht="12" customHeight="1" x14ac:dyDescent="0.2">
      <c r="A20" s="173"/>
      <c r="B20" s="1703"/>
      <c r="C20" s="4537" t="s">
        <v>2127</v>
      </c>
      <c r="D20" s="4537"/>
      <c r="E20" s="4537"/>
      <c r="F20" s="4538">
        <f>C12-E12</f>
        <v>0</v>
      </c>
      <c r="G20" s="67"/>
      <c r="H20" s="324" t="s">
        <v>2136</v>
      </c>
      <c r="I20" s="217"/>
      <c r="J20" s="56"/>
      <c r="K20" s="325" t="s">
        <v>2134</v>
      </c>
      <c r="L20" s="4534" t="s">
        <v>2135</v>
      </c>
      <c r="M20" s="4534"/>
      <c r="N20" s="67"/>
      <c r="O20" s="4125" t="s">
        <v>2059</v>
      </c>
      <c r="P20" s="4125"/>
      <c r="Q20" s="323" t="str">
        <f>IF(OR(Tablas!G546&gt;0,Tablas!H1371&gt;0),"+0",IF(AND(Tablas!G444=0,Tablas!H1335=0),"+40","+80"))</f>
        <v>+40</v>
      </c>
      <c r="R20" s="68"/>
      <c r="S20" s="56"/>
      <c r="T20" s="56"/>
      <c r="U20" s="1873"/>
      <c r="V20" s="4510" t="str">
        <f>IF(V19=0,"",VLOOKUP(V19,Tabla_PoderesPsi,2,FALSE))</f>
        <v/>
      </c>
      <c r="W20" s="3271"/>
      <c r="X20" s="3271"/>
      <c r="Y20" s="3021" t="s">
        <v>1627</v>
      </c>
      <c r="Z20" s="2866" t="str">
        <f>IF(V19=0,"",VLOOKUP(V19,Tabla_PoderesPsi,3,FALSE))</f>
        <v/>
      </c>
      <c r="AA20" s="4509"/>
      <c r="AB20" s="4500"/>
      <c r="AC20" s="2384"/>
      <c r="AD20" s="4522"/>
      <c r="AE20" s="4523"/>
      <c r="AF20" s="4523"/>
      <c r="AG20" s="4523"/>
      <c r="AH20" s="4524"/>
      <c r="AI20" s="4498"/>
      <c r="AJ20" s="4515"/>
      <c r="AK20" s="4500" t="str">
        <f>IF(AD20&lt;&gt;"",INDEX(Tablas!$T$26:$T$38,MAX(1+MATCH(VLOOKUP(Psíquicos!$AD20,'Tablas psiquica'!$D$7:$U$145,18,FALSE),'Tablas psiquica'!$I$6:$R$6,0),MAX(SUMPRODUCT(--(Tablas!$S$26:$S$38&lt;=(AL20-20*AI20)))+IF(Tablas!$G$446&gt;0,1,0)+IF(COUNTIF($C$39:$E$50,"Introversión")&gt;0,1,0),SUMPRODUCT(--(Tablas!$S$26:$S$38&lt;=(AL20)))))),"")</f>
        <v/>
      </c>
      <c r="AL20" s="4562">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37"/>
      <c r="D21" s="4537"/>
      <c r="E21" s="4537"/>
      <c r="F21" s="4538"/>
      <c r="G21" s="67"/>
      <c r="H21" s="326" t="s">
        <v>2137</v>
      </c>
      <c r="I21" s="327"/>
      <c r="J21" s="67"/>
      <c r="K21" s="328" t="s">
        <v>2138</v>
      </c>
      <c r="L21" s="4531" t="s">
        <v>2139</v>
      </c>
      <c r="M21" s="4531"/>
      <c r="N21" s="67"/>
      <c r="O21" s="4532" t="s">
        <v>2062</v>
      </c>
      <c r="P21" s="4532"/>
      <c r="Q21" s="2678" t="str">
        <f>IF(OR(Tablas!G546&gt;0,Tablas!H1371&gt;0),"+0",IF(AND(Tablas!G444=0,Tablas!H1335=0),"+50","+100"))</f>
        <v>+50</v>
      </c>
      <c r="R21" s="68"/>
      <c r="S21" s="56"/>
      <c r="T21" s="56"/>
      <c r="U21" s="1873">
        <f>IF(V21=0,0,1)</f>
        <v>0</v>
      </c>
      <c r="V21" s="4504"/>
      <c r="W21" s="4505"/>
      <c r="X21" s="4505"/>
      <c r="Y21" s="4505"/>
      <c r="Z21" s="4505"/>
      <c r="AA21" s="4506"/>
      <c r="AB21" s="4497" t="str">
        <f>IF(AA21=0,"",IF(AA21*10&lt;100,AA21*10,100))</f>
        <v/>
      </c>
      <c r="AC21" s="2384"/>
      <c r="AD21" s="4510" t="str">
        <f>IF(AD20=0,"",VLOOKUP(AD20,Tabla_PoderesPsi,2,FALSE))</f>
        <v/>
      </c>
      <c r="AE21" s="3272"/>
      <c r="AF21" s="3272"/>
      <c r="AG21" s="2765" t="s">
        <v>1627</v>
      </c>
      <c r="AH21" s="2770" t="str">
        <f>IF(AD20=0,"",VLOOKUP(AD20,Tabla_PoderesPsi,3,FALSE))</f>
        <v/>
      </c>
      <c r="AI21" s="4498"/>
      <c r="AJ21" s="4515"/>
      <c r="AK21" s="4500"/>
      <c r="AL21" s="4562"/>
      <c r="AM21" s="1706"/>
      <c r="AN21" s="1902"/>
      <c r="AO21" s="2305"/>
      <c r="AP21" s="2328"/>
      <c r="AQ21" s="2328"/>
    </row>
    <row r="22" spans="1:43" ht="12" customHeight="1" thickBot="1" x14ac:dyDescent="0.25">
      <c r="A22" s="173"/>
      <c r="B22" s="1703"/>
      <c r="C22" s="4527" t="str">
        <f>IF(F20&lt;0,"Exceso de CVs",IF(AL15&gt;M13,"Exceso de innatos activos",""))</f>
        <v/>
      </c>
      <c r="D22" s="4527"/>
      <c r="E22" s="4527"/>
      <c r="F22" s="4527"/>
      <c r="G22" s="329"/>
      <c r="H22" s="330" t="s">
        <v>2140</v>
      </c>
      <c r="I22" s="331"/>
      <c r="J22" s="124"/>
      <c r="K22" s="332" t="s">
        <v>2138</v>
      </c>
      <c r="L22" s="3871" t="s">
        <v>2141</v>
      </c>
      <c r="M22" s="3871"/>
      <c r="N22" s="67"/>
      <c r="O22" s="4528" t="str">
        <f>IF(OR(Tablas!G546&gt;0,Tablas!H1371&gt;0),"Sin concentración",IF(AND(Tablas!G444=0,Tablas!H1335=0),"","Concentración extrema"))</f>
        <v/>
      </c>
      <c r="P22" s="4528"/>
      <c r="Q22" s="4528"/>
      <c r="R22" s="68"/>
      <c r="S22" s="56"/>
      <c r="T22" s="56"/>
      <c r="U22" s="1873"/>
      <c r="V22" s="4501" t="str">
        <f>IF(V21=0,"",VLOOKUP(V21,Tabla_PoderesPsi,2,FALSE))</f>
        <v/>
      </c>
      <c r="W22" s="4502"/>
      <c r="X22" s="4502"/>
      <c r="Y22" s="3023" t="s">
        <v>1627</v>
      </c>
      <c r="Z22" s="2771" t="str">
        <f>IF(V21=0,"",VLOOKUP(V21,Tabla_PoderesPsi,3,FALSE))</f>
        <v/>
      </c>
      <c r="AA22" s="4506"/>
      <c r="AB22" s="4497"/>
      <c r="AC22" s="2384"/>
      <c r="AD22" s="4504"/>
      <c r="AE22" s="4505"/>
      <c r="AF22" s="4505"/>
      <c r="AG22" s="4505"/>
      <c r="AH22" s="4505"/>
      <c r="AI22" s="4543"/>
      <c r="AJ22" s="4516"/>
      <c r="AK22" s="4497" t="str">
        <f>IF(AD22&lt;&gt;"",INDEX(Tablas!$T$26:$T$38,MAX(1+MATCH(VLOOKUP(Psíquicos!$AD22,'Tablas psiquica'!$D$7:$U$145,18,FALSE),'Tablas psiquica'!$I$6:$R$6,0),MAX(SUMPRODUCT(--(Tablas!$S$26:$S$38&lt;=(AL22-20*AI22)))+IF(Tablas!$G$446&gt;0,1,0)+IF(COUNTIF($C$39:$E$50,"Introversión")&gt;0,1,0),SUMPRODUCT(--(Tablas!$S$26:$S$38&lt;=(AL22)))))),"")</f>
        <v/>
      </c>
      <c r="AL22" s="4562">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491"/>
      <c r="W23" s="4492"/>
      <c r="X23" s="4492"/>
      <c r="Y23" s="4492"/>
      <c r="Z23" s="4492"/>
      <c r="AA23" s="4509"/>
      <c r="AB23" s="4500" t="str">
        <f>IF(AA23=0,"",IF(AA23*10&lt;100,AA23*10,100))</f>
        <v/>
      </c>
      <c r="AC23" s="2384"/>
      <c r="AD23" s="4501" t="str">
        <f>IF(AD22=0,"",VLOOKUP(AD22,Tabla_PoderesPsi,2,FALSE))</f>
        <v/>
      </c>
      <c r="AE23" s="4519"/>
      <c r="AF23" s="4519"/>
      <c r="AG23" s="2769" t="s">
        <v>1627</v>
      </c>
      <c r="AH23" s="2771" t="str">
        <f>IF(AD22=0,"",VLOOKUP(AD22,Tabla_PoderesPsi,3,FALSE))</f>
        <v/>
      </c>
      <c r="AI23" s="4543"/>
      <c r="AJ23" s="4516"/>
      <c r="AK23" s="4497"/>
      <c r="AL23" s="4562"/>
      <c r="AM23" s="1706"/>
      <c r="AN23" s="2305"/>
      <c r="AO23" s="2305"/>
      <c r="AP23" s="2328"/>
      <c r="AQ23" s="2328"/>
    </row>
    <row r="24" spans="1:43" ht="12" customHeight="1" thickBot="1" x14ac:dyDescent="0.25">
      <c r="A24" s="173"/>
      <c r="B24" s="1703"/>
      <c r="C24" s="3172" t="s">
        <v>2142</v>
      </c>
      <c r="D24" s="3172"/>
      <c r="E24" s="3172"/>
      <c r="F24" s="3990" t="s">
        <v>2143</v>
      </c>
      <c r="G24" s="3990"/>
      <c r="H24" s="3990"/>
      <c r="I24" s="3990"/>
      <c r="J24" s="3990"/>
      <c r="K24" s="3990"/>
      <c r="L24" s="3990"/>
      <c r="M24" s="3990"/>
      <c r="N24" s="3990"/>
      <c r="O24" s="3990"/>
      <c r="P24" s="3990"/>
      <c r="Q24" s="3990"/>
      <c r="R24" s="68"/>
      <c r="S24" s="56"/>
      <c r="T24" s="56"/>
      <c r="U24" s="1873"/>
      <c r="V24" s="4510" t="str">
        <f>IF(V23=0,"",VLOOKUP(V23,Tabla_PoderesPsi,2,FALSE))</f>
        <v/>
      </c>
      <c r="W24" s="3271"/>
      <c r="X24" s="3271"/>
      <c r="Y24" s="3021" t="s">
        <v>1627</v>
      </c>
      <c r="Z24" s="2866" t="str">
        <f>IF(V23=0,"",VLOOKUP(V23,Tabla_PoderesPsi,3,FALSE))</f>
        <v/>
      </c>
      <c r="AA24" s="4509"/>
      <c r="AB24" s="4500"/>
      <c r="AC24" s="2384"/>
      <c r="AD24" s="4522"/>
      <c r="AE24" s="4523"/>
      <c r="AF24" s="4523"/>
      <c r="AG24" s="4523"/>
      <c r="AH24" s="4524"/>
      <c r="AI24" s="4530"/>
      <c r="AJ24" s="4515"/>
      <c r="AK24" s="4500" t="str">
        <f>IF(AD24&lt;&gt;"",INDEX(Tablas!$T$26:$T$38,MAX(1+MATCH(VLOOKUP(Psíquicos!$AD24,'Tablas psiquica'!$D$7:$U$145,18,FALSE),'Tablas psiquica'!$I$6:$R$6,0),MAX(SUMPRODUCT(--(Tablas!$S$26:$S$38&lt;=(AL24-20*AI24)))+IF(Tablas!$G$446&gt;0,1,0)+IF(COUNTIF($C$39:$E$50,"Introversión")&gt;0,1,0),SUMPRODUCT(--(Tablas!$S$26:$S$38&lt;=(AL24)))))),"")</f>
        <v/>
      </c>
      <c r="AL24" s="4562">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29"/>
      <c r="D25" s="4529"/>
      <c r="E25" s="4529"/>
      <c r="F25" s="4521" t="str">
        <f>IF(C25=0,"",VLOOKUP(C25,Tabla_DisciplinasPsi,2,FALSE))</f>
        <v/>
      </c>
      <c r="G25" s="4521"/>
      <c r="H25" s="4521"/>
      <c r="I25" s="4521"/>
      <c r="J25" s="4521"/>
      <c r="K25" s="4521"/>
      <c r="L25" s="4521"/>
      <c r="M25" s="4521"/>
      <c r="N25" s="4521"/>
      <c r="O25" s="4521"/>
      <c r="P25" s="4521"/>
      <c r="Q25" s="4521"/>
      <c r="R25" s="68"/>
      <c r="S25" s="56"/>
      <c r="T25" s="56"/>
      <c r="U25" s="1873">
        <f>IF(V25=0,0,1)</f>
        <v>0</v>
      </c>
      <c r="V25" s="4504"/>
      <c r="W25" s="4505"/>
      <c r="X25" s="4505"/>
      <c r="Y25" s="4505"/>
      <c r="Z25" s="4505"/>
      <c r="AA25" s="4506"/>
      <c r="AB25" s="4497" t="str">
        <f>IF(AA25=0,"",IF(AA25*10&lt;100,AA25*10,100))</f>
        <v/>
      </c>
      <c r="AC25" s="2384"/>
      <c r="AD25" s="4510" t="str">
        <f>IF(AD24=0,"",VLOOKUP(AD24,Tabla_PoderesPsi,2,FALSE))</f>
        <v/>
      </c>
      <c r="AE25" s="3272"/>
      <c r="AF25" s="3272"/>
      <c r="AG25" s="2765" t="s">
        <v>1627</v>
      </c>
      <c r="AH25" s="2770" t="str">
        <f>IF(AD24=0,"",VLOOKUP(AD24,Tabla_PoderesPsi,3,FALSE))</f>
        <v/>
      </c>
      <c r="AI25" s="4530"/>
      <c r="AJ25" s="4515"/>
      <c r="AK25" s="4500"/>
      <c r="AL25" s="4562"/>
      <c r="AM25" s="1706"/>
      <c r="AN25" s="2334"/>
      <c r="AO25" s="1901"/>
      <c r="AP25" s="1901"/>
      <c r="AQ25" s="2725"/>
    </row>
    <row r="26" spans="1:43" ht="12" customHeight="1" x14ac:dyDescent="0.2">
      <c r="A26" s="173"/>
      <c r="B26" s="1703"/>
      <c r="C26" s="4529"/>
      <c r="D26" s="4529"/>
      <c r="E26" s="4529"/>
      <c r="F26" s="4521"/>
      <c r="G26" s="4521"/>
      <c r="H26" s="4521"/>
      <c r="I26" s="4521"/>
      <c r="J26" s="4521"/>
      <c r="K26" s="4521"/>
      <c r="L26" s="4521"/>
      <c r="M26" s="4521"/>
      <c r="N26" s="4521"/>
      <c r="O26" s="4521"/>
      <c r="P26" s="4521"/>
      <c r="Q26" s="4521"/>
      <c r="R26" s="68"/>
      <c r="S26" s="56"/>
      <c r="T26" s="56"/>
      <c r="U26" s="1873"/>
      <c r="V26" s="4501" t="str">
        <f>IF(V25=0,"",VLOOKUP(V25,Tabla_PoderesPsi,2,FALSE))</f>
        <v/>
      </c>
      <c r="W26" s="4502"/>
      <c r="X26" s="4502"/>
      <c r="Y26" s="3023" t="s">
        <v>1627</v>
      </c>
      <c r="Z26" s="2771" t="str">
        <f>IF(V25=0,"",VLOOKUP(V25,Tabla_PoderesPsi,3,FALSE))</f>
        <v/>
      </c>
      <c r="AA26" s="4506"/>
      <c r="AB26" s="4497"/>
      <c r="AC26" s="2780"/>
      <c r="AD26" s="4504"/>
      <c r="AE26" s="4505"/>
      <c r="AF26" s="4505"/>
      <c r="AG26" s="4505"/>
      <c r="AH26" s="4505"/>
      <c r="AI26" s="4503"/>
      <c r="AJ26" s="4516"/>
      <c r="AK26" s="4497" t="str">
        <f>IF(AD26&lt;&gt;"",INDEX(Tablas!$T$26:$T$38,MAX(1+MATCH(VLOOKUP(Psíquicos!$AD26,'Tablas psiquica'!$D$7:$U$145,18,FALSE),'Tablas psiquica'!$I$6:$R$6,0),MAX(SUMPRODUCT(--(Tablas!$S$26:$S$38&lt;=(AL26-20*AI26)))+IF(Tablas!$G$446&gt;0,1,0)+IF(COUNTIF($C$39:$E$50,"Introversión")&gt;0,1,0),SUMPRODUCT(--(Tablas!$S$26:$S$38&lt;=(AL26)))))),"")</f>
        <v/>
      </c>
      <c r="AL26" s="4562">
        <f t="shared" ref="AL26" si="4">$H$11+IF(ISNA(VLOOKUP(AD26,$V$11:$AB$64,7,FALSE)),0,IF(VLOOKUP(AD26,$V$11:$AB$64,7,FALSE)="",0,VLOOKUP(AD26,$V$11:$AB$64,7,FALSE)))+AI26*20+AJ26</f>
        <v>0</v>
      </c>
      <c r="AM26" s="1706"/>
      <c r="AO26" s="1900"/>
      <c r="AP26" s="1900"/>
      <c r="AQ26" s="1900"/>
    </row>
    <row r="27" spans="1:43" ht="12" customHeight="1" x14ac:dyDescent="0.2">
      <c r="A27" s="173"/>
      <c r="B27" s="1703"/>
      <c r="C27" s="4520"/>
      <c r="D27" s="4520"/>
      <c r="E27" s="4520"/>
      <c r="F27" s="4521" t="str">
        <f>IF(C27=0,"",VLOOKUP(C27,Tabla_DisciplinasPsi,2,FALSE))</f>
        <v/>
      </c>
      <c r="G27" s="4521"/>
      <c r="H27" s="4521"/>
      <c r="I27" s="4521"/>
      <c r="J27" s="4521"/>
      <c r="K27" s="4521"/>
      <c r="L27" s="4521"/>
      <c r="M27" s="4521"/>
      <c r="N27" s="4521"/>
      <c r="O27" s="4521"/>
      <c r="P27" s="4521"/>
      <c r="Q27" s="4521"/>
      <c r="R27" s="68"/>
      <c r="S27" s="56"/>
      <c r="T27" s="56"/>
      <c r="U27" s="1873">
        <f>IF(V27=0,0,1)</f>
        <v>0</v>
      </c>
      <c r="V27" s="4491"/>
      <c r="W27" s="4492"/>
      <c r="X27" s="4492"/>
      <c r="Y27" s="4492"/>
      <c r="Z27" s="4492"/>
      <c r="AA27" s="4509"/>
      <c r="AB27" s="4500" t="str">
        <f>IF(AA27=0,"",IF(AA27*10&lt;100,AA27*10,100))</f>
        <v/>
      </c>
      <c r="AC27" s="2780"/>
      <c r="AD27" s="4501" t="str">
        <f>IF(AD26=0,"",VLOOKUP(AD26,Tabla_PoderesPsi,2,FALSE))</f>
        <v/>
      </c>
      <c r="AE27" s="4519"/>
      <c r="AF27" s="4519"/>
      <c r="AG27" s="2769" t="s">
        <v>1627</v>
      </c>
      <c r="AH27" s="2771" t="str">
        <f>IF(AD26=0,"",VLOOKUP(AD26,Tabla_PoderesPsi,3,FALSE))</f>
        <v/>
      </c>
      <c r="AI27" s="4503"/>
      <c r="AJ27" s="4516"/>
      <c r="AK27" s="4497"/>
      <c r="AL27" s="4562"/>
      <c r="AM27" s="1706"/>
      <c r="AQ27" s="1901"/>
    </row>
    <row r="28" spans="1:43" ht="12" customHeight="1" x14ac:dyDescent="0.2">
      <c r="A28" s="173"/>
      <c r="B28" s="1703"/>
      <c r="C28" s="4520"/>
      <c r="D28" s="4520"/>
      <c r="E28" s="4520"/>
      <c r="F28" s="4521"/>
      <c r="G28" s="4521"/>
      <c r="H28" s="4521"/>
      <c r="I28" s="4521"/>
      <c r="J28" s="4521"/>
      <c r="K28" s="4521"/>
      <c r="L28" s="4521"/>
      <c r="M28" s="4521"/>
      <c r="N28" s="4521"/>
      <c r="O28" s="4521"/>
      <c r="P28" s="4521"/>
      <c r="Q28" s="4521"/>
      <c r="R28" s="68"/>
      <c r="S28" s="56"/>
      <c r="T28" s="56"/>
      <c r="U28" s="1873"/>
      <c r="V28" s="4510" t="str">
        <f>IF(V27=0,"",VLOOKUP(V27,Tabla_PoderesPsi,2,FALSE))</f>
        <v/>
      </c>
      <c r="W28" s="3271"/>
      <c r="X28" s="3271"/>
      <c r="Y28" s="3021" t="s">
        <v>1627</v>
      </c>
      <c r="Z28" s="2866" t="str">
        <f>IF(V27=0,"",VLOOKUP(V27,Tabla_PoderesPsi,3,FALSE))</f>
        <v/>
      </c>
      <c r="AA28" s="4509"/>
      <c r="AB28" s="4500"/>
      <c r="AC28" s="188"/>
      <c r="AD28" s="4522"/>
      <c r="AE28" s="4523"/>
      <c r="AF28" s="4523"/>
      <c r="AG28" s="4523"/>
      <c r="AH28" s="4524"/>
      <c r="AI28" s="4498"/>
      <c r="AJ28" s="4515"/>
      <c r="AK28" s="4500" t="str">
        <f>IF(AD28&lt;&gt;"",INDEX(Tablas!$T$26:$T$38,MAX(1+MATCH(VLOOKUP(Psíquicos!$AD28,'Tablas psiquica'!$D$7:$U$145,18,FALSE),'Tablas psiquica'!$I$6:$R$6,0),MAX(SUMPRODUCT(--(Tablas!$S$26:$S$38&lt;=(AL28-20*AI28)))+IF(Tablas!$G$446&gt;0,1,0)+IF(COUNTIF($C$39:$E$50,"Introversión")&gt;0,1,0),SUMPRODUCT(--(Tablas!$S$26:$S$38&lt;=(AL28)))))),"")</f>
        <v/>
      </c>
      <c r="AL28" s="4562">
        <f t="shared" ref="AL28" si="5">$H$11+IF(ISNA(VLOOKUP(AD28,$V$11:$AB$64,7,FALSE)),0,IF(VLOOKUP(AD28,$V$11:$AB$64,7,FALSE)="",0,VLOOKUP(AD28,$V$11:$AB$64,7,FALSE)))+AI28*20+AJ28</f>
        <v>0</v>
      </c>
      <c r="AM28" s="1706"/>
      <c r="AQ28" s="1787"/>
    </row>
    <row r="29" spans="1:43" ht="12" customHeight="1" x14ac:dyDescent="0.2">
      <c r="A29" s="173"/>
      <c r="B29" s="1703"/>
      <c r="C29" s="4520"/>
      <c r="D29" s="4520"/>
      <c r="E29" s="4520"/>
      <c r="F29" s="4521" t="str">
        <f>IF(C29=0,"",VLOOKUP(C29,Tabla_DisciplinasPsi,2,FALSE))</f>
        <v/>
      </c>
      <c r="G29" s="4521"/>
      <c r="H29" s="4521"/>
      <c r="I29" s="4521"/>
      <c r="J29" s="4521"/>
      <c r="K29" s="4521"/>
      <c r="L29" s="4521"/>
      <c r="M29" s="4521"/>
      <c r="N29" s="4521"/>
      <c r="O29" s="4521"/>
      <c r="P29" s="4521"/>
      <c r="Q29" s="4521"/>
      <c r="R29" s="68"/>
      <c r="S29" s="56"/>
      <c r="T29" s="56"/>
      <c r="U29" s="1873">
        <f>IF(V29=0,0,1)</f>
        <v>0</v>
      </c>
      <c r="V29" s="4504"/>
      <c r="W29" s="4505"/>
      <c r="X29" s="4505"/>
      <c r="Y29" s="4505"/>
      <c r="Z29" s="4505"/>
      <c r="AA29" s="4506"/>
      <c r="AB29" s="4497" t="str">
        <f>IF(AA29=0,"",IF(AA29*10&lt;100,AA29*10,100))</f>
        <v/>
      </c>
      <c r="AC29" s="2779"/>
      <c r="AD29" s="4510" t="str">
        <f>IF(AD28=0,"",VLOOKUP(AD28,Tabla_PoderesPsi,2,FALSE))</f>
        <v/>
      </c>
      <c r="AE29" s="3272"/>
      <c r="AF29" s="3272"/>
      <c r="AG29" s="2765" t="s">
        <v>1627</v>
      </c>
      <c r="AH29" s="2770" t="str">
        <f>IF(AD28=0,"",VLOOKUP(AD28,Tabla_PoderesPsi,3,FALSE))</f>
        <v/>
      </c>
      <c r="AI29" s="4498"/>
      <c r="AJ29" s="4515"/>
      <c r="AK29" s="4500"/>
      <c r="AL29" s="4562"/>
      <c r="AM29" s="1706"/>
      <c r="AQ29" s="1787"/>
    </row>
    <row r="30" spans="1:43" ht="12" customHeight="1" x14ac:dyDescent="0.2">
      <c r="A30" s="173"/>
      <c r="B30" s="1703"/>
      <c r="C30" s="4520"/>
      <c r="D30" s="4520"/>
      <c r="E30" s="4520"/>
      <c r="F30" s="4521"/>
      <c r="G30" s="4521"/>
      <c r="H30" s="4521"/>
      <c r="I30" s="4521"/>
      <c r="J30" s="4521"/>
      <c r="K30" s="4521"/>
      <c r="L30" s="4521"/>
      <c r="M30" s="4521"/>
      <c r="N30" s="4521"/>
      <c r="O30" s="4521"/>
      <c r="P30" s="4521"/>
      <c r="Q30" s="4521"/>
      <c r="R30" s="68"/>
      <c r="S30" s="56"/>
      <c r="T30" s="56"/>
      <c r="U30" s="1873"/>
      <c r="V30" s="4501" t="str">
        <f>IF(V29=0,"",VLOOKUP(V29,Tabla_PoderesPsi,2,FALSE))</f>
        <v/>
      </c>
      <c r="W30" s="4502"/>
      <c r="X30" s="4502"/>
      <c r="Y30" s="3023" t="s">
        <v>1627</v>
      </c>
      <c r="Z30" s="2771" t="str">
        <f>IF(V29=0,"",VLOOKUP(V29,Tabla_PoderesPsi,3,FALSE))</f>
        <v/>
      </c>
      <c r="AA30" s="4506"/>
      <c r="AB30" s="4497"/>
      <c r="AC30" s="2780"/>
      <c r="AD30" s="4504"/>
      <c r="AE30" s="4505"/>
      <c r="AF30" s="4505"/>
      <c r="AG30" s="4505"/>
      <c r="AH30" s="4505"/>
      <c r="AI30" s="4503"/>
      <c r="AJ30" s="4516"/>
      <c r="AK30" s="4497" t="str">
        <f>IF(AD30&lt;&gt;"",INDEX(Tablas!$T$26:$T$38,MAX(1+MATCH(VLOOKUP(Psíquicos!$AD30,'Tablas psiquica'!$D$7:$U$145,18,FALSE),'Tablas psiquica'!$I$6:$R$6,0),MAX(SUMPRODUCT(--(Tablas!$S$26:$S$38&lt;=(AL30-20*AI30)))+IF(Tablas!$G$446&gt;0,1,0)+IF(COUNTIF($C$39:$E$50,"Introversión")&gt;0,1,0),SUMPRODUCT(--(Tablas!$S$26:$S$38&lt;=(AL30)))))),"")</f>
        <v/>
      </c>
      <c r="AL30" s="4562">
        <f t="shared" ref="AL30" si="6">$H$11+IF(ISNA(VLOOKUP(AD30,$V$11:$AB$64,7,FALSE)),0,IF(VLOOKUP(AD30,$V$11:$AB$64,7,FALSE)="",0,VLOOKUP(AD30,$V$11:$AB$64,7,FALSE)))+AI30*20+AJ30</f>
        <v>0</v>
      </c>
      <c r="AM30" s="1706"/>
      <c r="AQ30" s="1787"/>
    </row>
    <row r="31" spans="1:43" ht="12" customHeight="1" x14ac:dyDescent="0.2">
      <c r="A31" s="173"/>
      <c r="B31" s="1703"/>
      <c r="C31" s="4520"/>
      <c r="D31" s="4520"/>
      <c r="E31" s="4520"/>
      <c r="F31" s="4521" t="str">
        <f>IF(C31=0,"",VLOOKUP(C31,Tabla_DisciplinasPsi,2,FALSE))</f>
        <v/>
      </c>
      <c r="G31" s="4521"/>
      <c r="H31" s="4521"/>
      <c r="I31" s="4521"/>
      <c r="J31" s="4521"/>
      <c r="K31" s="4521"/>
      <c r="L31" s="4521"/>
      <c r="M31" s="4521"/>
      <c r="N31" s="4521"/>
      <c r="O31" s="4521"/>
      <c r="P31" s="4521"/>
      <c r="Q31" s="4521"/>
      <c r="R31" s="68"/>
      <c r="S31" s="56"/>
      <c r="T31" s="56"/>
      <c r="U31" s="1873">
        <f>IF(V31=0,0,1)</f>
        <v>0</v>
      </c>
      <c r="V31" s="4491"/>
      <c r="W31" s="4492"/>
      <c r="X31" s="4492"/>
      <c r="Y31" s="4492"/>
      <c r="Z31" s="4492"/>
      <c r="AA31" s="4509"/>
      <c r="AB31" s="4500" t="str">
        <f>IF(AA31=0,"",IF(AA31*10&lt;100,AA31*10,100))</f>
        <v/>
      </c>
      <c r="AC31" s="2780"/>
      <c r="AD31" s="4501" t="str">
        <f>IF(AD30=0,"",VLOOKUP(AD30,Tabla_PoderesPsi,2,FALSE))</f>
        <v/>
      </c>
      <c r="AE31" s="4519"/>
      <c r="AF31" s="4519"/>
      <c r="AG31" s="2769" t="s">
        <v>1627</v>
      </c>
      <c r="AH31" s="2771" t="str">
        <f>IF(AD30=0,"",VLOOKUP(AD30,Tabla_PoderesPsi,3,FALSE))</f>
        <v/>
      </c>
      <c r="AI31" s="4503"/>
      <c r="AJ31" s="4516"/>
      <c r="AK31" s="4497"/>
      <c r="AL31" s="4562"/>
      <c r="AM31" s="1706"/>
      <c r="AQ31" s="1787"/>
    </row>
    <row r="32" spans="1:43" ht="12" customHeight="1" x14ac:dyDescent="0.2">
      <c r="A32" s="173"/>
      <c r="B32" s="1703"/>
      <c r="C32" s="4520"/>
      <c r="D32" s="4520"/>
      <c r="E32" s="4520"/>
      <c r="F32" s="4521"/>
      <c r="G32" s="4521"/>
      <c r="H32" s="4521"/>
      <c r="I32" s="4521"/>
      <c r="J32" s="4521"/>
      <c r="K32" s="4521"/>
      <c r="L32" s="4521"/>
      <c r="M32" s="4521"/>
      <c r="N32" s="4521"/>
      <c r="O32" s="4521"/>
      <c r="P32" s="4521"/>
      <c r="Q32" s="4521"/>
      <c r="R32" s="68"/>
      <c r="S32" s="56"/>
      <c r="T32" s="56"/>
      <c r="U32" s="1873"/>
      <c r="V32" s="4510" t="str">
        <f>IF(V31=0,"",VLOOKUP(V31,Tabla_PoderesPsi,2,FALSE))</f>
        <v/>
      </c>
      <c r="W32" s="3271"/>
      <c r="X32" s="3271"/>
      <c r="Y32" s="3021" t="s">
        <v>1627</v>
      </c>
      <c r="Z32" s="2866" t="str">
        <f>IF(V31=0,"",VLOOKUP(V31,Tabla_PoderesPsi,3,FALSE))</f>
        <v/>
      </c>
      <c r="AA32" s="4509"/>
      <c r="AB32" s="4500"/>
      <c r="AC32" s="214"/>
      <c r="AD32" s="4522"/>
      <c r="AE32" s="4523"/>
      <c r="AF32" s="4523"/>
      <c r="AG32" s="4523"/>
      <c r="AH32" s="4524"/>
      <c r="AI32" s="4498"/>
      <c r="AJ32" s="4515"/>
      <c r="AK32" s="4500" t="str">
        <f>IF(AD32&lt;&gt;"",INDEX(Tablas!$T$26:$T$38,MAX(1+MATCH(VLOOKUP(Psíquicos!$AD32,'Tablas psiquica'!$D$7:$U$145,18,FALSE),'Tablas psiquica'!$I$6:$R$6,0),MAX(SUMPRODUCT(--(Tablas!$S$26:$S$38&lt;=(AL32-20*AI32)))+IF(Tablas!$G$446&gt;0,1,0)+IF(COUNTIF($C$39:$E$50,"Introversión")&gt;0,1,0),SUMPRODUCT(--(Tablas!$S$26:$S$38&lt;=(AL32)))))),"")</f>
        <v/>
      </c>
      <c r="AL32" s="4562">
        <f t="shared" ref="AL32" si="7">$H$11+IF(ISNA(VLOOKUP(AD32,$V$11:$AB$64,7,FALSE)),0,IF(VLOOKUP(AD32,$V$11:$AB$64,7,FALSE)="",0,VLOOKUP(AD32,$V$11:$AB$64,7,FALSE)))+AI32*20+AJ32</f>
        <v>0</v>
      </c>
      <c r="AM32" s="1706"/>
      <c r="AQ32" s="1787"/>
    </row>
    <row r="33" spans="1:43" ht="12" customHeight="1" x14ac:dyDescent="0.2">
      <c r="A33" s="173"/>
      <c r="B33" s="1703"/>
      <c r="C33" s="4520"/>
      <c r="D33" s="4520"/>
      <c r="E33" s="4520"/>
      <c r="F33" s="4521" t="str">
        <f>IF(C33=0,"",VLOOKUP(C33,Tabla_DisciplinasPsi,2,FALSE))</f>
        <v/>
      </c>
      <c r="G33" s="4521"/>
      <c r="H33" s="4521"/>
      <c r="I33" s="4521"/>
      <c r="J33" s="4521"/>
      <c r="K33" s="4521"/>
      <c r="L33" s="4521"/>
      <c r="M33" s="4521"/>
      <c r="N33" s="4521"/>
      <c r="O33" s="4521"/>
      <c r="P33" s="4521"/>
      <c r="Q33" s="4521"/>
      <c r="R33" s="68"/>
      <c r="S33" s="56"/>
      <c r="T33" s="56"/>
      <c r="U33" s="1873">
        <f>IF(V33=0,0,1)</f>
        <v>0</v>
      </c>
      <c r="V33" s="4504"/>
      <c r="W33" s="4505"/>
      <c r="X33" s="4505"/>
      <c r="Y33" s="4505"/>
      <c r="Z33" s="4505"/>
      <c r="AA33" s="4506"/>
      <c r="AB33" s="4497" t="str">
        <f>IF(AA33=0,"",IF(AA33*10&lt;100,AA33*10,100))</f>
        <v/>
      </c>
      <c r="AC33" s="214"/>
      <c r="AD33" s="4510" t="str">
        <f>IF(AD32=0,"",VLOOKUP(AD32,Tabla_PoderesPsi,2,FALSE))</f>
        <v/>
      </c>
      <c r="AE33" s="3272"/>
      <c r="AF33" s="3272"/>
      <c r="AG33" s="2765" t="s">
        <v>1627</v>
      </c>
      <c r="AH33" s="2770" t="str">
        <f>IF(AD32=0,"",VLOOKUP(AD32,Tabla_PoderesPsi,3,FALSE))</f>
        <v/>
      </c>
      <c r="AI33" s="4498"/>
      <c r="AJ33" s="4515"/>
      <c r="AK33" s="4500"/>
      <c r="AL33" s="4562"/>
      <c r="AM33" s="1706"/>
      <c r="AQ33" s="1787"/>
    </row>
    <row r="34" spans="1:43" ht="12" customHeight="1" x14ac:dyDescent="0.2">
      <c r="A34" s="173"/>
      <c r="B34" s="1703"/>
      <c r="C34" s="4520"/>
      <c r="D34" s="4520"/>
      <c r="E34" s="4520"/>
      <c r="F34" s="4521"/>
      <c r="G34" s="4521"/>
      <c r="H34" s="4521"/>
      <c r="I34" s="4521"/>
      <c r="J34" s="4521"/>
      <c r="K34" s="4521"/>
      <c r="L34" s="4521"/>
      <c r="M34" s="4521"/>
      <c r="N34" s="4521"/>
      <c r="O34" s="4521"/>
      <c r="P34" s="4521"/>
      <c r="Q34" s="4521"/>
      <c r="R34" s="68"/>
      <c r="S34" s="56"/>
      <c r="T34" s="56"/>
      <c r="U34" s="1873"/>
      <c r="V34" s="4501" t="str">
        <f>IF(V33=0,"",VLOOKUP(V33,Tabla_PoderesPsi,2,FALSE))</f>
        <v/>
      </c>
      <c r="W34" s="4502"/>
      <c r="X34" s="4502"/>
      <c r="Y34" s="3023" t="s">
        <v>1627</v>
      </c>
      <c r="Z34" s="2771" t="str">
        <f>IF(V33=0,"",VLOOKUP(V33,Tabla_PoderesPsi,3,FALSE))</f>
        <v/>
      </c>
      <c r="AA34" s="4506"/>
      <c r="AB34" s="4497"/>
      <c r="AC34" s="2384"/>
      <c r="AD34" s="4504"/>
      <c r="AE34" s="4505"/>
      <c r="AF34" s="4505"/>
      <c r="AG34" s="4505"/>
      <c r="AH34" s="4505"/>
      <c r="AI34" s="4503"/>
      <c r="AJ34" s="4516"/>
      <c r="AK34" s="4497" t="str">
        <f>IF(AD34&lt;&gt;"",INDEX(Tablas!$T$26:$T$38,MAX(1+MATCH(VLOOKUP(Psíquicos!$AD34,'Tablas psiquica'!$D$7:$U$145,18,FALSE),'Tablas psiquica'!$I$6:$R$6,0),MAX(SUMPRODUCT(--(Tablas!$S$26:$S$38&lt;=(AL34-20*AI34)))+IF(Tablas!$G$446&gt;0,1,0)+IF(COUNTIF($C$39:$E$50,"Introversión")&gt;0,1,0),SUMPRODUCT(--(Tablas!$S$26:$S$38&lt;=(AL34)))))),"")</f>
        <v/>
      </c>
      <c r="AL34" s="4562">
        <f t="shared" ref="AL34" si="8">$H$11+IF(ISNA(VLOOKUP(AD34,$V$11:$AB$64,7,FALSE)),0,IF(VLOOKUP(AD34,$V$11:$AB$64,7,FALSE)="",0,VLOOKUP(AD34,$V$11:$AB$64,7,FALSE)))+AI34*20+AJ34</f>
        <v>0</v>
      </c>
      <c r="AM34" s="1706"/>
      <c r="AQ34" s="1787"/>
    </row>
    <row r="35" spans="1:43" ht="12" customHeight="1" thickBot="1" x14ac:dyDescent="0.25">
      <c r="A35" s="173"/>
      <c r="B35" s="1703"/>
      <c r="C35" s="4525"/>
      <c r="D35" s="4525"/>
      <c r="E35" s="4525"/>
      <c r="F35" s="4526" t="str">
        <f>IF(C35=0,"",VLOOKUP(C35,Tabla_DisciplinasPsi,2,FALSE))</f>
        <v/>
      </c>
      <c r="G35" s="4526"/>
      <c r="H35" s="4526"/>
      <c r="I35" s="4526"/>
      <c r="J35" s="4526"/>
      <c r="K35" s="4526"/>
      <c r="L35" s="4526"/>
      <c r="M35" s="4526"/>
      <c r="N35" s="4526"/>
      <c r="O35" s="4526"/>
      <c r="P35" s="4526"/>
      <c r="Q35" s="4526"/>
      <c r="R35" s="68"/>
      <c r="S35" s="56"/>
      <c r="T35" s="56"/>
      <c r="U35" s="1873">
        <f>IF(V35=0,0,1)</f>
        <v>0</v>
      </c>
      <c r="V35" s="4491"/>
      <c r="W35" s="4492"/>
      <c r="X35" s="4492"/>
      <c r="Y35" s="4492"/>
      <c r="Z35" s="4492"/>
      <c r="AA35" s="4509"/>
      <c r="AB35" s="4500" t="str">
        <f>IF(AA35=0,"",IF(AA35*10&lt;100,AA35*10,100))</f>
        <v/>
      </c>
      <c r="AC35" s="2780"/>
      <c r="AD35" s="4501" t="str">
        <f>IF(AD34=0,"",VLOOKUP(AD34,Tabla_PoderesPsi,2,FALSE))</f>
        <v/>
      </c>
      <c r="AE35" s="4519"/>
      <c r="AF35" s="4519"/>
      <c r="AG35" s="2769" t="s">
        <v>1627</v>
      </c>
      <c r="AH35" s="2771" t="str">
        <f>IF(AD34=0,"",VLOOKUP(AD34,Tabla_PoderesPsi,3,FALSE))</f>
        <v/>
      </c>
      <c r="AI35" s="4503"/>
      <c r="AJ35" s="4516"/>
      <c r="AK35" s="4497"/>
      <c r="AL35" s="4562"/>
      <c r="AM35" s="1706"/>
      <c r="AQ35" s="1787"/>
    </row>
    <row r="36" spans="1:43" ht="12" customHeight="1" thickBot="1" x14ac:dyDescent="0.25">
      <c r="A36" s="173"/>
      <c r="B36" s="1703"/>
      <c r="C36" s="4525"/>
      <c r="D36" s="4525"/>
      <c r="E36" s="4525"/>
      <c r="F36" s="4526"/>
      <c r="G36" s="4526"/>
      <c r="H36" s="4526"/>
      <c r="I36" s="4526"/>
      <c r="J36" s="4526"/>
      <c r="K36" s="4526"/>
      <c r="L36" s="4526"/>
      <c r="M36" s="4526"/>
      <c r="N36" s="4526"/>
      <c r="O36" s="4526"/>
      <c r="P36" s="4526"/>
      <c r="Q36" s="4526"/>
      <c r="R36" s="68"/>
      <c r="S36" s="56"/>
      <c r="T36" s="56"/>
      <c r="U36" s="1873"/>
      <c r="V36" s="4510" t="str">
        <f>IF(V35=0,"",VLOOKUP(V35,Tabla_PoderesPsi,2,FALSE))</f>
        <v/>
      </c>
      <c r="W36" s="3271"/>
      <c r="X36" s="3271"/>
      <c r="Y36" s="3021" t="s">
        <v>1627</v>
      </c>
      <c r="Z36" s="2866" t="str">
        <f>IF(V35=0,"",VLOOKUP(V35,Tabla_PoderesPsi,3,FALSE))</f>
        <v/>
      </c>
      <c r="AA36" s="4509"/>
      <c r="AB36" s="4500"/>
      <c r="AC36" s="2780"/>
      <c r="AD36" s="4522"/>
      <c r="AE36" s="4523"/>
      <c r="AF36" s="4523"/>
      <c r="AG36" s="4523"/>
      <c r="AH36" s="4524"/>
      <c r="AI36" s="4498"/>
      <c r="AJ36" s="4515"/>
      <c r="AK36" s="4500" t="str">
        <f>IF(AD36&lt;&gt;"",INDEX(Tablas!$T$26:$T$38,MAX(1+MATCH(VLOOKUP(Psíquicos!$AD36,'Tablas psiquica'!$D$7:$U$145,18,FALSE),'Tablas psiquica'!$I$6:$R$6,0),MAX(SUMPRODUCT(--(Tablas!$S$26:$S$38&lt;=(AL36-20*AI36)))+IF(Tablas!$G$446&gt;0,1,0)+IF(COUNTIF($C$39:$E$50,"Introversión")&gt;0,1,0),SUMPRODUCT(--(Tablas!$S$26:$S$38&lt;=(AL36)))))),"")</f>
        <v/>
      </c>
      <c r="AL36" s="4562">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504"/>
      <c r="W37" s="4505"/>
      <c r="X37" s="4505"/>
      <c r="Y37" s="4505"/>
      <c r="Z37" s="4505"/>
      <c r="AA37" s="4506"/>
      <c r="AB37" s="4497" t="str">
        <f>IF(AA37=0,"",IF(AA37*10&lt;100,AA37*10,100))</f>
        <v/>
      </c>
      <c r="AC37" s="188"/>
      <c r="AD37" s="4510" t="str">
        <f>IF(AD36=0,"",VLOOKUP(AD36,Tabla_PoderesPsi,2,FALSE))</f>
        <v/>
      </c>
      <c r="AE37" s="3272"/>
      <c r="AF37" s="3272"/>
      <c r="AG37" s="2765" t="s">
        <v>1627</v>
      </c>
      <c r="AH37" s="2770" t="str">
        <f>IF(AD36=0,"",VLOOKUP(AD36,Tabla_PoderesPsi,3,FALSE))</f>
        <v/>
      </c>
      <c r="AI37" s="4498"/>
      <c r="AJ37" s="4515"/>
      <c r="AK37" s="4500"/>
      <c r="AL37" s="4562"/>
      <c r="AM37" s="1706"/>
      <c r="AQ37" s="1787"/>
    </row>
    <row r="38" spans="1:43" ht="12" customHeight="1" thickBot="1" x14ac:dyDescent="0.25">
      <c r="A38" s="173"/>
      <c r="B38" s="1703"/>
      <c r="C38" s="3172" t="s">
        <v>1835</v>
      </c>
      <c r="D38" s="3172"/>
      <c r="E38" s="3172"/>
      <c r="F38" s="3990" t="s">
        <v>2143</v>
      </c>
      <c r="G38" s="3990"/>
      <c r="H38" s="3990"/>
      <c r="I38" s="3990"/>
      <c r="J38" s="3990"/>
      <c r="K38" s="3990"/>
      <c r="L38" s="3990"/>
      <c r="M38" s="3990"/>
      <c r="N38" s="3990"/>
      <c r="O38" s="3990"/>
      <c r="P38" s="3990"/>
      <c r="Q38" s="3990"/>
      <c r="R38" s="68"/>
      <c r="S38" s="56"/>
      <c r="T38" s="56"/>
      <c r="U38" s="1873"/>
      <c r="V38" s="4501" t="str">
        <f>IF(V37=0,"",VLOOKUP(V37,Tabla_PoderesPsi,2,FALSE))</f>
        <v/>
      </c>
      <c r="W38" s="4502"/>
      <c r="X38" s="4502"/>
      <c r="Y38" s="3023" t="s">
        <v>1627</v>
      </c>
      <c r="Z38" s="2771" t="str">
        <f>IF(V37=0,"",VLOOKUP(V37,Tabla_PoderesPsi,3,FALSE))</f>
        <v/>
      </c>
      <c r="AA38" s="4506"/>
      <c r="AB38" s="4497"/>
      <c r="AC38" s="2779"/>
      <c r="AD38" s="4504"/>
      <c r="AE38" s="4505"/>
      <c r="AF38" s="4505"/>
      <c r="AG38" s="4505"/>
      <c r="AH38" s="4505"/>
      <c r="AI38" s="4503"/>
      <c r="AJ38" s="4516"/>
      <c r="AK38" s="4497" t="str">
        <f>IF(AD38&lt;&gt;"",INDEX(Tablas!$T$26:$T$38,MAX(1+MATCH(VLOOKUP(Psíquicos!$AD38,'Tablas psiquica'!$D$7:$U$145,18,FALSE),'Tablas psiquica'!$I$6:$R$6,0),MAX(SUMPRODUCT(--(Tablas!$S$26:$S$38&lt;=(AL38-20*AI38)))+IF(Tablas!$G$446&gt;0,1,0)+IF(COUNTIF($C$39:$E$50,"Introversión")&gt;0,1,0),SUMPRODUCT(--(Tablas!$S$26:$S$38&lt;=(AL38)))))),"")</f>
        <v/>
      </c>
      <c r="AL38" s="4562">
        <f t="shared" ref="AL38" si="10">$H$11+IF(ISNA(VLOOKUP(AD38,$V$11:$AB$64,7,FALSE)),0,IF(VLOOKUP(AD38,$V$11:$AB$64,7,FALSE)="",0,VLOOKUP(AD38,$V$11:$AB$64,7,FALSE)))+AI38*20+AJ38</f>
        <v>0</v>
      </c>
      <c r="AM38" s="1706"/>
      <c r="AQ38" s="1787"/>
    </row>
    <row r="39" spans="1:43" ht="12" customHeight="1" thickBot="1" x14ac:dyDescent="0.25">
      <c r="A39" s="173"/>
      <c r="B39" s="1703"/>
      <c r="C39" s="4517" t="str">
        <f>IF(PDs!E111=0,"",PDs!E111)</f>
        <v/>
      </c>
      <c r="D39" s="4517"/>
      <c r="E39" s="4517"/>
      <c r="F39" s="4518" t="str">
        <f>IF(C39="","",VLOOKUP(C39,Tablas!$D$1092:$R$1107,15,FALSE))</f>
        <v/>
      </c>
      <c r="G39" s="4518"/>
      <c r="H39" s="4518"/>
      <c r="I39" s="4518"/>
      <c r="J39" s="4518"/>
      <c r="K39" s="4518"/>
      <c r="L39" s="4518"/>
      <c r="M39" s="4518"/>
      <c r="N39" s="4518"/>
      <c r="O39" s="4518"/>
      <c r="P39" s="4518"/>
      <c r="Q39" s="4518"/>
      <c r="R39" s="68"/>
      <c r="S39" s="56"/>
      <c r="T39" s="56"/>
      <c r="U39" s="1873">
        <f>IF(V39=0,0,1)</f>
        <v>0</v>
      </c>
      <c r="V39" s="4491"/>
      <c r="W39" s="4492"/>
      <c r="X39" s="4492"/>
      <c r="Y39" s="4492"/>
      <c r="Z39" s="4492"/>
      <c r="AA39" s="4509"/>
      <c r="AB39" s="4500" t="str">
        <f>IF(AA39=0,"",IF(AA39*10&lt;100,AA39*10,100))</f>
        <v/>
      </c>
      <c r="AC39" s="2780"/>
      <c r="AD39" s="4501" t="str">
        <f>IF(AD38=0,"",VLOOKUP(AD38,Tabla_PoderesPsi,2,FALSE))</f>
        <v/>
      </c>
      <c r="AE39" s="4502"/>
      <c r="AF39" s="4502"/>
      <c r="AG39" s="2769" t="s">
        <v>1627</v>
      </c>
      <c r="AH39" s="2771" t="str">
        <f>IF(AD38=0,"",VLOOKUP(AD38,Tabla_PoderesPsi,3,FALSE))</f>
        <v/>
      </c>
      <c r="AI39" s="4503"/>
      <c r="AJ39" s="4516"/>
      <c r="AK39" s="4497"/>
      <c r="AL39" s="4562"/>
      <c r="AM39" s="1706"/>
      <c r="AQ39" s="1787"/>
    </row>
    <row r="40" spans="1:43" ht="12" customHeight="1" x14ac:dyDescent="0.2">
      <c r="A40" s="173"/>
      <c r="B40" s="1703"/>
      <c r="C40" s="4517"/>
      <c r="D40" s="4517"/>
      <c r="E40" s="4517"/>
      <c r="F40" s="3782" t="str">
        <f>IF(C39="","",VLOOKUP(C39,Tablas!$D$1092:$R$1107,7,FALSE))</f>
        <v/>
      </c>
      <c r="G40" s="3782"/>
      <c r="H40" s="3782"/>
      <c r="I40" s="3782"/>
      <c r="J40" s="3782"/>
      <c r="K40" s="3782"/>
      <c r="L40" s="3782"/>
      <c r="M40" s="3782"/>
      <c r="N40" s="3782"/>
      <c r="O40" s="3782"/>
      <c r="P40" s="3782"/>
      <c r="Q40" s="3782"/>
      <c r="R40" s="68"/>
      <c r="S40" s="56"/>
      <c r="T40" s="56"/>
      <c r="U40" s="1873"/>
      <c r="V40" s="4510" t="str">
        <f>IF(V39=0,"",VLOOKUP(V39,Tabla_PoderesPsi,2,FALSE))</f>
        <v/>
      </c>
      <c r="W40" s="3271"/>
      <c r="X40" s="3271"/>
      <c r="Y40" s="2765" t="s">
        <v>1627</v>
      </c>
      <c r="Z40" s="2770" t="str">
        <f>IF(V39=0,"",VLOOKUP(V39,Tabla_PoderesPsi,3,FALSE))</f>
        <v/>
      </c>
      <c r="AA40" s="4509"/>
      <c r="AB40" s="4500"/>
      <c r="AC40" s="2780"/>
      <c r="AD40" s="4491"/>
      <c r="AE40" s="4492"/>
      <c r="AF40" s="4492"/>
      <c r="AG40" s="4492"/>
      <c r="AH40" s="4492"/>
      <c r="AI40" s="4498"/>
      <c r="AJ40" s="4515"/>
      <c r="AK40" s="4500" t="str">
        <f>IF(AD40&lt;&gt;"",INDEX(Tablas!$T$26:$T$38,MAX(1+MATCH(VLOOKUP(Psíquicos!$AD40,'Tablas psiquica'!$D$7:$U$145,18,FALSE),'Tablas psiquica'!$I$6:$R$6,0),MAX(SUMPRODUCT(--(Tablas!$S$26:$S$38&lt;=(AL40-20*AI40)))+IF(Tablas!$G$446&gt;0,1,0)+IF(COUNTIF($C$39:$E$50,"Introversión")&gt;0,1,0),SUMPRODUCT(--(Tablas!$S$26:$S$38&lt;=(AL40)))))),"")</f>
        <v/>
      </c>
      <c r="AL40" s="4562">
        <f t="shared" ref="AL40" si="11">$H$11+IF(ISNA(VLOOKUP(AD40,$V$11:$AB$64,7,FALSE)),0,IF(VLOOKUP(AD40,$V$11:$AB$64,7,FALSE)="",0,VLOOKUP(AD40,$V$11:$AB$64,7,FALSE)))+AI40*20+AJ40</f>
        <v>0</v>
      </c>
      <c r="AM40" s="1706"/>
      <c r="AQ40" s="1787"/>
    </row>
    <row r="41" spans="1:43" ht="12" customHeight="1" x14ac:dyDescent="0.2">
      <c r="A41" s="173"/>
      <c r="B41" s="1703"/>
      <c r="C41" s="4511" t="str">
        <f>IF(PDs!E112=0,"",PDs!E112)</f>
        <v/>
      </c>
      <c r="D41" s="4511"/>
      <c r="E41" s="4511"/>
      <c r="F41" s="3782" t="str">
        <f>IF(C41="","",VLOOKUP(C41,Tablas!$D$1092:$R$1107,15,FALSE))</f>
        <v/>
      </c>
      <c r="G41" s="3782"/>
      <c r="H41" s="3782"/>
      <c r="I41" s="3782"/>
      <c r="J41" s="3782"/>
      <c r="K41" s="3782"/>
      <c r="L41" s="3782"/>
      <c r="M41" s="3782"/>
      <c r="N41" s="3782"/>
      <c r="O41" s="3782"/>
      <c r="P41" s="3782"/>
      <c r="Q41" s="3782"/>
      <c r="R41" s="68"/>
      <c r="S41" s="56"/>
      <c r="T41" s="56"/>
      <c r="U41" s="1873">
        <f>IF(V41=0,0,1)</f>
        <v>0</v>
      </c>
      <c r="V41" s="4504"/>
      <c r="W41" s="4505"/>
      <c r="X41" s="4505"/>
      <c r="Y41" s="4505"/>
      <c r="Z41" s="4505"/>
      <c r="AA41" s="4506"/>
      <c r="AB41" s="4497" t="str">
        <f>IF(AA41=0,"",IF(AA41*10&lt;100,AA41*10,100))</f>
        <v/>
      </c>
      <c r="AC41" s="214"/>
      <c r="AD41" s="4510" t="str">
        <f>IF(AD40=0,"",VLOOKUP(AD40,Tabla_PoderesPsi,2,FALSE))</f>
        <v/>
      </c>
      <c r="AE41" s="3271"/>
      <c r="AF41" s="3271"/>
      <c r="AG41" s="2765" t="s">
        <v>1627</v>
      </c>
      <c r="AH41" s="2770" t="str">
        <f>IF(AD40=0,"",VLOOKUP(AD40,Tabla_PoderesPsi,3,FALSE))</f>
        <v/>
      </c>
      <c r="AI41" s="4498"/>
      <c r="AJ41" s="4515"/>
      <c r="AK41" s="4500"/>
      <c r="AL41" s="4562"/>
      <c r="AM41" s="1706"/>
      <c r="AQ41" s="1787"/>
    </row>
    <row r="42" spans="1:43" ht="12" customHeight="1" x14ac:dyDescent="0.2">
      <c r="A42" s="173"/>
      <c r="B42" s="1703"/>
      <c r="C42" s="4511"/>
      <c r="D42" s="4511"/>
      <c r="E42" s="4511"/>
      <c r="F42" s="3782" t="str">
        <f>IF(C41="","",VLOOKUP(C41,Tablas!$D$1092:$R$1107,7,FALSE))</f>
        <v/>
      </c>
      <c r="G42" s="3782"/>
      <c r="H42" s="3782"/>
      <c r="I42" s="3782"/>
      <c r="J42" s="3782"/>
      <c r="K42" s="3782"/>
      <c r="L42" s="3782"/>
      <c r="M42" s="3782"/>
      <c r="N42" s="3782"/>
      <c r="O42" s="3782"/>
      <c r="P42" s="3782"/>
      <c r="Q42" s="3782"/>
      <c r="R42" s="68"/>
      <c r="S42" s="56"/>
      <c r="T42" s="56"/>
      <c r="U42" s="1873"/>
      <c r="V42" s="4501" t="str">
        <f>IF(V41=0,"",VLOOKUP(V41,Tabla_PoderesPsi,2,FALSE))</f>
        <v/>
      </c>
      <c r="W42" s="4502"/>
      <c r="X42" s="4502"/>
      <c r="Y42" s="2769" t="s">
        <v>1627</v>
      </c>
      <c r="Z42" s="2771" t="str">
        <f>IF(V41=0,"",VLOOKUP(V41,Tabla_PoderesPsi,3,FALSE))</f>
        <v/>
      </c>
      <c r="AA42" s="4506"/>
      <c r="AB42" s="4497"/>
      <c r="AC42" s="214"/>
      <c r="AD42" s="4504"/>
      <c r="AE42" s="4505"/>
      <c r="AF42" s="4505"/>
      <c r="AG42" s="4505"/>
      <c r="AH42" s="4505"/>
      <c r="AI42" s="4503"/>
      <c r="AJ42" s="4516"/>
      <c r="AK42" s="4497" t="str">
        <f>IF(AD42&lt;&gt;"",INDEX(Tablas!$T$26:$T$38,MAX(1+MATCH(VLOOKUP(Psíquicos!$AD42,'Tablas psiquica'!$D$7:$U$145,18,FALSE),'Tablas psiquica'!$I$6:$R$6,0),MAX(SUMPRODUCT(--(Tablas!$S$26:$S$38&lt;=(AL42-20*AI42)))+IF(Tablas!$G$446&gt;0,1,0)+IF(COUNTIF($C$39:$E$50,"Introversión")&gt;0,1,0),SUMPRODUCT(--(Tablas!$S$26:$S$38&lt;=(AL42)))))),"")</f>
        <v/>
      </c>
      <c r="AL42" s="4562">
        <f t="shared" ref="AL42" si="12">$H$11+IF(ISNA(VLOOKUP(AD42,$V$11:$AB$64,7,FALSE)),0,IF(VLOOKUP(AD42,$V$11:$AB$64,7,FALSE)="",0,VLOOKUP(AD42,$V$11:$AB$64,7,FALSE)))+AI42*20+AJ42</f>
        <v>0</v>
      </c>
      <c r="AM42" s="1706"/>
      <c r="AQ42" s="1787"/>
    </row>
    <row r="43" spans="1:43" ht="12" customHeight="1" x14ac:dyDescent="0.2">
      <c r="A43" s="173"/>
      <c r="B43" s="1703"/>
      <c r="C43" s="4511" t="str">
        <f>IF(PDs!E113=0,"",PDs!E113)</f>
        <v/>
      </c>
      <c r="D43" s="4511"/>
      <c r="E43" s="4511"/>
      <c r="F43" s="3782" t="str">
        <f>IF(C43="","",VLOOKUP(C43,Tablas!$D$1092:$R$1107,15,FALSE))</f>
        <v/>
      </c>
      <c r="G43" s="3782"/>
      <c r="H43" s="3782"/>
      <c r="I43" s="3782"/>
      <c r="J43" s="3782"/>
      <c r="K43" s="3782"/>
      <c r="L43" s="3782"/>
      <c r="M43" s="3782"/>
      <c r="N43" s="3782"/>
      <c r="O43" s="3782"/>
      <c r="P43" s="3782"/>
      <c r="Q43" s="3782"/>
      <c r="R43" s="68"/>
      <c r="S43" s="56"/>
      <c r="T43" s="56"/>
      <c r="U43" s="1873">
        <f>IF(V43=0,0,1)</f>
        <v>0</v>
      </c>
      <c r="V43" s="4491"/>
      <c r="W43" s="4492"/>
      <c r="X43" s="4492"/>
      <c r="Y43" s="4492"/>
      <c r="Z43" s="4492"/>
      <c r="AA43" s="4509"/>
      <c r="AB43" s="4500" t="str">
        <f>IF(AA43=0,"",IF(AA43*10&lt;100,AA43*10,100))</f>
        <v/>
      </c>
      <c r="AC43" s="2384"/>
      <c r="AD43" s="4501" t="str">
        <f>IF(AD42=0,"",VLOOKUP(AD42,Tabla_PoderesPsi,2,FALSE))</f>
        <v/>
      </c>
      <c r="AE43" s="4502"/>
      <c r="AF43" s="4502"/>
      <c r="AG43" s="2769" t="s">
        <v>1627</v>
      </c>
      <c r="AH43" s="2771" t="str">
        <f>IF(AD42=0,"",VLOOKUP(AD42,Tabla_PoderesPsi,3,FALSE))</f>
        <v/>
      </c>
      <c r="AI43" s="4503"/>
      <c r="AJ43" s="4516"/>
      <c r="AK43" s="4497"/>
      <c r="AL43" s="4562"/>
      <c r="AM43" s="1706"/>
      <c r="AQ43" s="1787"/>
    </row>
    <row r="44" spans="1:43" ht="12" customHeight="1" x14ac:dyDescent="0.2">
      <c r="A44" s="173"/>
      <c r="B44" s="1703"/>
      <c r="C44" s="4511"/>
      <c r="D44" s="4511"/>
      <c r="E44" s="4511"/>
      <c r="F44" s="3782" t="str">
        <f>IF(C43="","",VLOOKUP(C43,Tablas!$D$1092:$R$1107,7,FALSE))</f>
        <v/>
      </c>
      <c r="G44" s="3782"/>
      <c r="H44" s="3782"/>
      <c r="I44" s="3782"/>
      <c r="J44" s="3782"/>
      <c r="K44" s="3782"/>
      <c r="L44" s="3782"/>
      <c r="M44" s="3782"/>
      <c r="N44" s="3782"/>
      <c r="O44" s="3782"/>
      <c r="P44" s="3782"/>
      <c r="Q44" s="3782"/>
      <c r="R44" s="68"/>
      <c r="S44" s="56"/>
      <c r="T44" s="56"/>
      <c r="U44" s="1873"/>
      <c r="V44" s="4510" t="str">
        <f>IF(V43=0,"",VLOOKUP(V43,Tabla_PoderesPsi,2,FALSE))</f>
        <v/>
      </c>
      <c r="W44" s="3271"/>
      <c r="X44" s="3271"/>
      <c r="Y44" s="3021" t="s">
        <v>1627</v>
      </c>
      <c r="Z44" s="2866" t="str">
        <f>IF(V43=0,"",VLOOKUP(V43,Tabla_PoderesPsi,3,FALSE))</f>
        <v/>
      </c>
      <c r="AA44" s="4509"/>
      <c r="AB44" s="4500"/>
      <c r="AC44" s="96"/>
      <c r="AD44" s="4491"/>
      <c r="AE44" s="4492"/>
      <c r="AF44" s="4492"/>
      <c r="AG44" s="4492"/>
      <c r="AH44" s="4492"/>
      <c r="AI44" s="4498"/>
      <c r="AJ44" s="4515"/>
      <c r="AK44" s="4500" t="str">
        <f>IF(AD44&lt;&gt;"",INDEX(Tablas!$T$26:$T$38,MAX(1+MATCH(VLOOKUP(Psíquicos!$AD44,'Tablas psiquica'!$D$7:$U$145,18,FALSE),'Tablas psiquica'!$I$6:$R$6,0),MAX(SUMPRODUCT(--(Tablas!$S$26:$S$38&lt;=(AL44-20*AI44)))+IF(Tablas!$G$446&gt;0,1,0)+IF(COUNTIF($C$39:$E$50,"Introversión")&gt;0,1,0),SUMPRODUCT(--(Tablas!$S$26:$S$38&lt;=(AL44)))))),"")</f>
        <v/>
      </c>
      <c r="AL44" s="4562">
        <f t="shared" ref="AL44" si="13">$H$11+IF(ISNA(VLOOKUP(AD44,$V$11:$AB$64,7,FALSE)),0,IF(VLOOKUP(AD44,$V$11:$AB$64,7,FALSE)="",0,VLOOKUP(AD44,$V$11:$AB$64,7,FALSE)))+AI44*20+AJ44</f>
        <v>0</v>
      </c>
      <c r="AM44" s="1706"/>
      <c r="AQ44" s="1787"/>
    </row>
    <row r="45" spans="1:43" ht="12" customHeight="1" x14ac:dyDescent="0.2">
      <c r="A45" s="173"/>
      <c r="B45" s="1703"/>
      <c r="C45" s="4511" t="str">
        <f>IF(PDs!E114=0,"",PDs!E114)</f>
        <v/>
      </c>
      <c r="D45" s="4511"/>
      <c r="E45" s="4511"/>
      <c r="F45" s="3782" t="str">
        <f>IF(C45="","",VLOOKUP(C45,Tablas!$D$1092:$R$1107,15,FALSE))</f>
        <v/>
      </c>
      <c r="G45" s="3782"/>
      <c r="H45" s="3782"/>
      <c r="I45" s="3782"/>
      <c r="J45" s="3782"/>
      <c r="K45" s="3782"/>
      <c r="L45" s="3782"/>
      <c r="M45" s="3782"/>
      <c r="N45" s="3782"/>
      <c r="O45" s="3782"/>
      <c r="P45" s="3782"/>
      <c r="Q45" s="3782"/>
      <c r="R45" s="68"/>
      <c r="S45" s="56"/>
      <c r="T45" s="56"/>
      <c r="U45" s="1873">
        <f>IF(V45=0,0,1)</f>
        <v>0</v>
      </c>
      <c r="V45" s="4504"/>
      <c r="W45" s="4505"/>
      <c r="X45" s="4505"/>
      <c r="Y45" s="4505"/>
      <c r="Z45" s="4505"/>
      <c r="AA45" s="4506"/>
      <c r="AB45" s="4497" t="str">
        <f>IF(AA45=0,"",IF(AA45*10&lt;100,AA45*10,100))</f>
        <v/>
      </c>
      <c r="AC45" s="96"/>
      <c r="AD45" s="4510" t="str">
        <f>IF(AD44=0,"",VLOOKUP(AD44,Tabla_PoderesPsi,2,FALSE))</f>
        <v/>
      </c>
      <c r="AE45" s="3271"/>
      <c r="AF45" s="3271"/>
      <c r="AG45" s="2765" t="s">
        <v>1627</v>
      </c>
      <c r="AH45" s="2770" t="str">
        <f>IF(AD44=0,"",VLOOKUP(AD44,Tabla_PoderesPsi,3,FALSE))</f>
        <v/>
      </c>
      <c r="AI45" s="4498"/>
      <c r="AJ45" s="4515"/>
      <c r="AK45" s="4500"/>
      <c r="AL45" s="4562"/>
      <c r="AM45" s="1706"/>
      <c r="AQ45" s="1787"/>
    </row>
    <row r="46" spans="1:43" ht="12" customHeight="1" x14ac:dyDescent="0.2">
      <c r="A46" s="173"/>
      <c r="B46" s="1703"/>
      <c r="C46" s="4511"/>
      <c r="D46" s="4511"/>
      <c r="E46" s="4511"/>
      <c r="F46" s="3782" t="str">
        <f>IF(C45="","",VLOOKUP(C45,Tablas!$D$1092:$R$1107,7,FALSE))</f>
        <v/>
      </c>
      <c r="G46" s="3782"/>
      <c r="H46" s="3782"/>
      <c r="I46" s="3782"/>
      <c r="J46" s="3782"/>
      <c r="K46" s="3782"/>
      <c r="L46" s="3782"/>
      <c r="M46" s="3782"/>
      <c r="N46" s="3782"/>
      <c r="O46" s="3782"/>
      <c r="P46" s="3782"/>
      <c r="Q46" s="3782"/>
      <c r="R46" s="68"/>
      <c r="S46" s="56"/>
      <c r="T46" s="56"/>
      <c r="U46" s="1873"/>
      <c r="V46" s="4501" t="str">
        <f>IF(V45=0,"",VLOOKUP(V45,Tabla_PoderesPsi,2,FALSE))</f>
        <v/>
      </c>
      <c r="W46" s="4502"/>
      <c r="X46" s="4502"/>
      <c r="Y46" s="3023" t="s">
        <v>1627</v>
      </c>
      <c r="Z46" s="2771" t="str">
        <f>IF(V45=0,"",VLOOKUP(V45,Tabla_PoderesPsi,3,FALSE))</f>
        <v/>
      </c>
      <c r="AA46" s="4506"/>
      <c r="AB46" s="4497"/>
      <c r="AC46" s="96"/>
      <c r="AD46" s="4504"/>
      <c r="AE46" s="4505"/>
      <c r="AF46" s="4505"/>
      <c r="AG46" s="4505"/>
      <c r="AH46" s="4505"/>
      <c r="AI46" s="4503"/>
      <c r="AJ46" s="4516"/>
      <c r="AK46" s="4497" t="str">
        <f>IF(AD46&lt;&gt;"",INDEX(Tablas!$T$26:$T$38,MAX(1+MATCH(VLOOKUP(Psíquicos!$AD46,'Tablas psiquica'!$D$7:$U$145,18,FALSE),'Tablas psiquica'!$I$6:$R$6,0),MAX(SUMPRODUCT(--(Tablas!$S$26:$S$38&lt;=(AL46-20*AI46)))+IF(Tablas!$G$446&gt;0,1,0)+IF(COUNTIF($C$39:$E$50,"Introversión")&gt;0,1,0),SUMPRODUCT(--(Tablas!$S$26:$S$38&lt;=(AL46)))))),"")</f>
        <v/>
      </c>
      <c r="AL46" s="4562">
        <f t="shared" ref="AL46" si="14">$H$11+IF(ISNA(VLOOKUP(AD46,$V$11:$AB$64,7,FALSE)),0,IF(VLOOKUP(AD46,$V$11:$AB$64,7,FALSE)="",0,VLOOKUP(AD46,$V$11:$AB$64,7,FALSE)))+AI46*20+AJ46</f>
        <v>0</v>
      </c>
      <c r="AM46" s="1706"/>
      <c r="AQ46" s="1787"/>
    </row>
    <row r="47" spans="1:43" ht="12" customHeight="1" x14ac:dyDescent="0.2">
      <c r="A47" s="173"/>
      <c r="B47" s="1703"/>
      <c r="C47" s="4511" t="str">
        <f>IF(PDs!E115=0,"",PDs!E115)</f>
        <v/>
      </c>
      <c r="D47" s="4511"/>
      <c r="E47" s="4511"/>
      <c r="F47" s="3782" t="str">
        <f>IF(C47="","",VLOOKUP(C47,Tablas!$D$1092:$R$1107,15,FALSE))</f>
        <v/>
      </c>
      <c r="G47" s="3782"/>
      <c r="H47" s="3782"/>
      <c r="I47" s="3782"/>
      <c r="J47" s="3782"/>
      <c r="K47" s="3782"/>
      <c r="L47" s="3782"/>
      <c r="M47" s="3782"/>
      <c r="N47" s="3782"/>
      <c r="O47" s="3782"/>
      <c r="P47" s="3782"/>
      <c r="Q47" s="3782"/>
      <c r="R47" s="68"/>
      <c r="S47" s="56"/>
      <c r="T47" s="56"/>
      <c r="U47" s="1873">
        <f>IF(V47=0,0,1)</f>
        <v>0</v>
      </c>
      <c r="V47" s="4491"/>
      <c r="W47" s="4492"/>
      <c r="X47" s="4492"/>
      <c r="Y47" s="4492"/>
      <c r="Z47" s="4492"/>
      <c r="AA47" s="4509"/>
      <c r="AB47" s="4500" t="str">
        <f>IF(AA47=0,"",IF(AA47*10&lt;100,AA47*10,100))</f>
        <v/>
      </c>
      <c r="AC47" s="96"/>
      <c r="AD47" s="4501" t="str">
        <f>IF(AD46=0,"",VLOOKUP(AD46,Tabla_PoderesPsi,2,FALSE))</f>
        <v/>
      </c>
      <c r="AE47" s="4502"/>
      <c r="AF47" s="4502"/>
      <c r="AG47" s="2769" t="s">
        <v>1627</v>
      </c>
      <c r="AH47" s="2771" t="str">
        <f>IF(AD46=0,"",VLOOKUP(AD46,Tabla_PoderesPsi,3,FALSE))</f>
        <v/>
      </c>
      <c r="AI47" s="4503"/>
      <c r="AJ47" s="4516"/>
      <c r="AK47" s="4497"/>
      <c r="AL47" s="4562"/>
      <c r="AM47" s="1706"/>
      <c r="AQ47" s="1787"/>
    </row>
    <row r="48" spans="1:43" ht="12" customHeight="1" x14ac:dyDescent="0.2">
      <c r="A48" s="173"/>
      <c r="B48" s="1703"/>
      <c r="C48" s="4511"/>
      <c r="D48" s="4511"/>
      <c r="E48" s="4511"/>
      <c r="F48" s="3782" t="str">
        <f>IF(C47="","",VLOOKUP(C47,Tablas!$D$1092:$R$1107,7,FALSE))</f>
        <v/>
      </c>
      <c r="G48" s="3782"/>
      <c r="H48" s="3782"/>
      <c r="I48" s="3782"/>
      <c r="J48" s="3782"/>
      <c r="K48" s="3782"/>
      <c r="L48" s="3782"/>
      <c r="M48" s="3782"/>
      <c r="N48" s="3782"/>
      <c r="O48" s="3782"/>
      <c r="P48" s="3782"/>
      <c r="Q48" s="3782"/>
      <c r="R48" s="68"/>
      <c r="S48" s="56"/>
      <c r="T48" s="56"/>
      <c r="U48" s="1873"/>
      <c r="V48" s="4510" t="str">
        <f>IF(V47=0,"",VLOOKUP(V47,Tabla_PoderesPsi,2,FALSE))</f>
        <v/>
      </c>
      <c r="W48" s="3271"/>
      <c r="X48" s="3271"/>
      <c r="Y48" s="3021" t="s">
        <v>1627</v>
      </c>
      <c r="Z48" s="2866" t="str">
        <f>IF(V47=0,"",VLOOKUP(V47,Tabla_PoderesPsi,3,FALSE))</f>
        <v/>
      </c>
      <c r="AA48" s="4509"/>
      <c r="AB48" s="4500"/>
      <c r="AC48" s="96"/>
      <c r="AD48" s="4491"/>
      <c r="AE48" s="4492"/>
      <c r="AF48" s="4492"/>
      <c r="AG48" s="4492"/>
      <c r="AH48" s="4492"/>
      <c r="AI48" s="4498"/>
      <c r="AJ48" s="4515"/>
      <c r="AK48" s="4500" t="str">
        <f>IF(AD48&lt;&gt;"",INDEX(Tablas!$T$26:$T$38,MAX(1+MATCH(VLOOKUP(Psíquicos!$AD48,'Tablas psiquica'!$D$7:$U$145,18,FALSE),'Tablas psiquica'!$I$6:$R$6,0),MAX(SUMPRODUCT(--(Tablas!$S$26:$S$38&lt;=(AL48-20*AI48)))+IF(Tablas!$G$446&gt;0,1,0)+IF(COUNTIF($C$39:$E$50,"Introversión")&gt;0,1,0),SUMPRODUCT(--(Tablas!$S$26:$S$38&lt;=(AL48)))))),"")</f>
        <v/>
      </c>
      <c r="AL48" s="4562">
        <f t="shared" ref="AL48" si="15">$H$11+IF(ISNA(VLOOKUP(AD48,$V$11:$AB$64,7,FALSE)),0,IF(VLOOKUP(AD48,$V$11:$AB$64,7,FALSE)="",0,VLOOKUP(AD48,$V$11:$AB$64,7,FALSE)))+AI48*20+AJ48</f>
        <v>0</v>
      </c>
      <c r="AM48" s="1706"/>
      <c r="AQ48" s="1787"/>
    </row>
    <row r="49" spans="1:43" ht="12" customHeight="1" thickBot="1" x14ac:dyDescent="0.25">
      <c r="A49" s="173"/>
      <c r="B49" s="1703"/>
      <c r="C49" s="4513" t="str">
        <f>IF(PDs!E116=0,"",PDs!E116)</f>
        <v/>
      </c>
      <c r="D49" s="4513"/>
      <c r="E49" s="4513"/>
      <c r="F49" s="3782" t="str">
        <f>IF(C49="","",VLOOKUP(C49,Tablas!$D$1092:$R$1107,15,FALSE))</f>
        <v/>
      </c>
      <c r="G49" s="3782"/>
      <c r="H49" s="3782"/>
      <c r="I49" s="3782"/>
      <c r="J49" s="3782"/>
      <c r="K49" s="3782"/>
      <c r="L49" s="3782"/>
      <c r="M49" s="3782"/>
      <c r="N49" s="3782"/>
      <c r="O49" s="3782"/>
      <c r="P49" s="3782"/>
      <c r="Q49" s="3782"/>
      <c r="R49" s="68"/>
      <c r="S49" s="56"/>
      <c r="T49" s="56"/>
      <c r="U49" s="1873">
        <f>IF(V49=0,0,1)</f>
        <v>0</v>
      </c>
      <c r="V49" s="4504"/>
      <c r="W49" s="4505"/>
      <c r="X49" s="4505"/>
      <c r="Y49" s="4505"/>
      <c r="Z49" s="4505"/>
      <c r="AA49" s="4506"/>
      <c r="AB49" s="4497" t="str">
        <f>IF(AA49=0,"",IF(AA49*10&lt;100,AA49*10,100))</f>
        <v/>
      </c>
      <c r="AC49" s="96"/>
      <c r="AD49" s="4510" t="str">
        <f>IF(AD48=0,"",VLOOKUP(AD48,Tabla_PoderesPsi,2,FALSE))</f>
        <v/>
      </c>
      <c r="AE49" s="3271"/>
      <c r="AF49" s="3271"/>
      <c r="AG49" s="2765" t="s">
        <v>1627</v>
      </c>
      <c r="AH49" s="2770" t="str">
        <f>IF(AD48=0,"",VLOOKUP(AD48,Tabla_PoderesPsi,3,FALSE))</f>
        <v/>
      </c>
      <c r="AI49" s="4498"/>
      <c r="AJ49" s="4515"/>
      <c r="AK49" s="4500"/>
      <c r="AL49" s="4562"/>
      <c r="AM49" s="1706"/>
      <c r="AQ49" s="1787"/>
    </row>
    <row r="50" spans="1:43" ht="12" customHeight="1" thickBot="1" x14ac:dyDescent="0.25">
      <c r="A50" s="173"/>
      <c r="B50" s="1703"/>
      <c r="C50" s="4513"/>
      <c r="D50" s="4513"/>
      <c r="E50" s="4513"/>
      <c r="F50" s="4512" t="str">
        <f>IF(C49="","",VLOOKUP(C49,Tablas!$D$1092:$R$1107,7,FALSE))</f>
        <v/>
      </c>
      <c r="G50" s="4512"/>
      <c r="H50" s="4512"/>
      <c r="I50" s="4512"/>
      <c r="J50" s="4512"/>
      <c r="K50" s="4512"/>
      <c r="L50" s="4512"/>
      <c r="M50" s="4512"/>
      <c r="N50" s="4512"/>
      <c r="O50" s="4512"/>
      <c r="P50" s="4512"/>
      <c r="Q50" s="4512"/>
      <c r="R50" s="68"/>
      <c r="S50" s="56"/>
      <c r="T50" s="56"/>
      <c r="U50" s="1873"/>
      <c r="V50" s="4501" t="str">
        <f>IF(V49=0,"",VLOOKUP(V49,Tabla_PoderesPsi,2,FALSE))</f>
        <v/>
      </c>
      <c r="W50" s="4502"/>
      <c r="X50" s="4502"/>
      <c r="Y50" s="3023" t="s">
        <v>1627</v>
      </c>
      <c r="Z50" s="2771" t="str">
        <f>IF(V49=0,"",VLOOKUP(V49,Tabla_PoderesPsi,3,FALSE))</f>
        <v/>
      </c>
      <c r="AA50" s="4506"/>
      <c r="AB50" s="4497"/>
      <c r="AC50" s="96"/>
      <c r="AD50" s="4504"/>
      <c r="AE50" s="4505"/>
      <c r="AF50" s="4505"/>
      <c r="AG50" s="4505"/>
      <c r="AH50" s="4505"/>
      <c r="AI50" s="4503"/>
      <c r="AJ50" s="4516"/>
      <c r="AK50" s="4497" t="str">
        <f>IF(AD50&lt;&gt;"",INDEX(Tablas!$T$26:$T$38,MAX(1+MATCH(VLOOKUP(Psíquicos!$AD50,'Tablas psiquica'!$D$7:$U$145,18,FALSE),'Tablas psiquica'!$I$6:$R$6,0),MAX(SUMPRODUCT(--(Tablas!$S$26:$S$38&lt;=(AL50-20*AI50)))+IF(Tablas!$G$446&gt;0,1,0)+IF(COUNTIF($C$39:$E$50,"Introversión")&gt;0,1,0),SUMPRODUCT(--(Tablas!$S$26:$S$38&lt;=(AL50)))))),"")</f>
        <v/>
      </c>
      <c r="AL50" s="4562">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491"/>
      <c r="W51" s="4492"/>
      <c r="X51" s="4492"/>
      <c r="Y51" s="4492"/>
      <c r="Z51" s="4492"/>
      <c r="AA51" s="4509"/>
      <c r="AB51" s="4500" t="str">
        <f>IF(AA51=0,"",IF(AA51*10&lt;100,AA51*10,100))</f>
        <v/>
      </c>
      <c r="AC51" s="96"/>
      <c r="AD51" s="4501" t="str">
        <f>IF(AD50=0,"",VLOOKUP(AD50,Tabla_PoderesPsi,2,FALSE))</f>
        <v/>
      </c>
      <c r="AE51" s="4502"/>
      <c r="AF51" s="4502"/>
      <c r="AG51" s="2769" t="s">
        <v>1627</v>
      </c>
      <c r="AH51" s="2771" t="str">
        <f>IF(AD50=0,"",VLOOKUP(AD50,Tabla_PoderesPsi,3,FALSE))</f>
        <v/>
      </c>
      <c r="AI51" s="4503"/>
      <c r="AJ51" s="4516"/>
      <c r="AK51" s="4497"/>
      <c r="AL51" s="4562"/>
      <c r="AM51" s="1706"/>
      <c r="AQ51" s="1787"/>
    </row>
    <row r="52" spans="1:43" ht="12" customHeight="1" thickBot="1" x14ac:dyDescent="0.25">
      <c r="A52" s="173"/>
      <c r="B52" s="1873"/>
      <c r="C52" s="3172" t="s">
        <v>1786</v>
      </c>
      <c r="D52" s="3172"/>
      <c r="E52" s="3172"/>
      <c r="F52" s="3172"/>
      <c r="G52" s="3172"/>
      <c r="H52" s="3172"/>
      <c r="I52" s="67"/>
      <c r="J52" s="4164" t="s">
        <v>2041</v>
      </c>
      <c r="K52" s="4164"/>
      <c r="L52" s="4164"/>
      <c r="M52" s="4165" t="s">
        <v>2119</v>
      </c>
      <c r="N52" s="4165"/>
      <c r="O52" s="4165"/>
      <c r="P52" s="4165"/>
      <c r="Q52" s="4165"/>
      <c r="R52" s="76"/>
      <c r="S52" s="335"/>
      <c r="T52" s="335"/>
      <c r="U52" s="1873"/>
      <c r="V52" s="4510" t="str">
        <f>IF(V51=0,"",VLOOKUP(V51,Tabla_PoderesPsi,2,FALSE))</f>
        <v/>
      </c>
      <c r="W52" s="3271"/>
      <c r="X52" s="3271"/>
      <c r="Y52" s="3021" t="s">
        <v>1627</v>
      </c>
      <c r="Z52" s="2866" t="str">
        <f>IF(V51=0,"",VLOOKUP(V51,Tabla_PoderesPsi,3,FALSE))</f>
        <v/>
      </c>
      <c r="AA52" s="4509"/>
      <c r="AB52" s="4500"/>
      <c r="AC52" s="96"/>
      <c r="AD52" s="4491"/>
      <c r="AE52" s="4492"/>
      <c r="AF52" s="4492"/>
      <c r="AG52" s="4492"/>
      <c r="AH52" s="4492"/>
      <c r="AI52" s="4498"/>
      <c r="AJ52" s="4515"/>
      <c r="AK52" s="4500" t="str">
        <f>IF(AD52&lt;&gt;"",INDEX(Tablas!$T$26:$T$38,MAX(1+MATCH(VLOOKUP(Psíquicos!$AD52,'Tablas psiquica'!$D$7:$U$145,18,FALSE),'Tablas psiquica'!$I$6:$R$6,0),MAX(SUMPRODUCT(--(Tablas!$S$26:$S$38&lt;=(AL52-20*AI52)))+IF(Tablas!$G$446&gt;0,1,0)+IF(COUNTIF($C$39:$E$50,"Introversión")&gt;0,1,0),SUMPRODUCT(--(Tablas!$S$26:$S$38&lt;=(AL52)))))),"")</f>
        <v/>
      </c>
      <c r="AL52" s="4562">
        <f t="shared" ref="AL52" si="17">$H$11+IF(ISNA(VLOOKUP(AD52,$V$11:$AB$64,7,FALSE)),0,IF(VLOOKUP(AD52,$V$11:$AB$64,7,FALSE)="",0,VLOOKUP(AD52,$V$11:$AB$64,7,FALSE)))+AI52*20+AJ52</f>
        <v>0</v>
      </c>
      <c r="AM52" s="1706"/>
      <c r="AQ52" s="1787"/>
    </row>
    <row r="53" spans="1:43" ht="12" customHeight="1" thickBot="1" x14ac:dyDescent="0.25">
      <c r="A53" s="173"/>
      <c r="B53" s="1873"/>
      <c r="C53" s="4514"/>
      <c r="D53" s="4514"/>
      <c r="E53" s="4514"/>
      <c r="F53" s="4514"/>
      <c r="G53" s="4514"/>
      <c r="H53" s="4514"/>
      <c r="I53" s="67"/>
      <c r="J53" s="236">
        <v>20</v>
      </c>
      <c r="K53" s="4134" t="s">
        <v>2045</v>
      </c>
      <c r="L53" s="4134"/>
      <c r="M53" s="4163" t="s">
        <v>2046</v>
      </c>
      <c r="N53" s="4163"/>
      <c r="O53" s="4163"/>
      <c r="P53" s="4163"/>
      <c r="Q53" s="4163"/>
      <c r="R53" s="76"/>
      <c r="S53" s="335"/>
      <c r="T53" s="335"/>
      <c r="U53" s="1873">
        <f>IF(V53=0,0,1)</f>
        <v>0</v>
      </c>
      <c r="V53" s="4504"/>
      <c r="W53" s="4505"/>
      <c r="X53" s="4505"/>
      <c r="Y53" s="4505"/>
      <c r="Z53" s="4505"/>
      <c r="AA53" s="4506"/>
      <c r="AB53" s="4497" t="str">
        <f>IF(AA53=0,"",IF(AA53*10&lt;100,AA53*10,100))</f>
        <v/>
      </c>
      <c r="AC53" s="96"/>
      <c r="AD53" s="4510" t="str">
        <f>IF(AD52=0,"",VLOOKUP(AD52,Tabla_PoderesPsi,2,FALSE))</f>
        <v/>
      </c>
      <c r="AE53" s="3271"/>
      <c r="AF53" s="3271"/>
      <c r="AG53" s="2765" t="s">
        <v>1627</v>
      </c>
      <c r="AH53" s="2770" t="str">
        <f>IF(AD52=0,"",VLOOKUP(AD52,Tabla_PoderesPsi,3,FALSE))</f>
        <v/>
      </c>
      <c r="AI53" s="4498"/>
      <c r="AJ53" s="4515"/>
      <c r="AK53" s="4500"/>
      <c r="AL53" s="4562"/>
      <c r="AM53" s="1706"/>
      <c r="AQ53" s="1787"/>
    </row>
    <row r="54" spans="1:43" ht="12" customHeight="1" thickBot="1" x14ac:dyDescent="0.25">
      <c r="A54" s="173"/>
      <c r="B54" s="1873"/>
      <c r="C54" s="4514"/>
      <c r="D54" s="4514"/>
      <c r="E54" s="4514"/>
      <c r="F54" s="4514"/>
      <c r="G54" s="4514"/>
      <c r="H54" s="4514"/>
      <c r="I54" s="67"/>
      <c r="J54" s="236">
        <v>40</v>
      </c>
      <c r="K54" s="4134" t="s">
        <v>2049</v>
      </c>
      <c r="L54" s="4134"/>
      <c r="M54" s="4150" t="s">
        <v>2050</v>
      </c>
      <c r="N54" s="4150"/>
      <c r="O54" s="4150"/>
      <c r="P54" s="4150"/>
      <c r="Q54" s="4150"/>
      <c r="R54" s="76"/>
      <c r="S54" s="335"/>
      <c r="T54" s="335"/>
      <c r="U54" s="1873"/>
      <c r="V54" s="4501" t="str">
        <f>IF(V53=0,"",VLOOKUP(V53,Tabla_PoderesPsi,2,FALSE))</f>
        <v/>
      </c>
      <c r="W54" s="4502"/>
      <c r="X54" s="4502"/>
      <c r="Y54" s="3023" t="s">
        <v>1627</v>
      </c>
      <c r="Z54" s="2771" t="str">
        <f>IF(V53=0,"",VLOOKUP(V53,Tabla_PoderesPsi,3,FALSE))</f>
        <v/>
      </c>
      <c r="AA54" s="4506"/>
      <c r="AB54" s="4497"/>
      <c r="AC54" s="96"/>
      <c r="AD54" s="4504"/>
      <c r="AE54" s="4505"/>
      <c r="AF54" s="4505"/>
      <c r="AG54" s="4505"/>
      <c r="AH54" s="4505"/>
      <c r="AI54" s="4503"/>
      <c r="AJ54" s="4516"/>
      <c r="AK54" s="4497" t="str">
        <f>IF(AD54&lt;&gt;"",INDEX(Tablas!$T$26:$T$38,MAX(1+MATCH(VLOOKUP(Psíquicos!$AD54,'Tablas psiquica'!$D$7:$U$145,18,FALSE),'Tablas psiquica'!$I$6:$R$6,0),MAX(SUMPRODUCT(--(Tablas!$S$26:$S$38&lt;=(AL54-20*AI54)))+IF(Tablas!$G$446&gt;0,1,0)+IF(COUNTIF($C$39:$E$50,"Introversión")&gt;0,1,0),SUMPRODUCT(--(Tablas!$S$26:$S$38&lt;=(AL54)))))),"")</f>
        <v/>
      </c>
      <c r="AL54" s="4562">
        <f t="shared" ref="AL54" si="18">$H$11+IF(ISNA(VLOOKUP(AD54,$V$11:$AB$64,7,FALSE)),0,IF(VLOOKUP(AD54,$V$11:$AB$64,7,FALSE)="",0,VLOOKUP(AD54,$V$11:$AB$64,7,FALSE)))+AI54*20+AJ54</f>
        <v>0</v>
      </c>
      <c r="AM54" s="1706"/>
      <c r="AQ54" s="1787"/>
    </row>
    <row r="55" spans="1:43" ht="12" customHeight="1" thickBot="1" x14ac:dyDescent="0.25">
      <c r="A55" s="173"/>
      <c r="B55" s="1873"/>
      <c r="C55" s="4514"/>
      <c r="D55" s="4514"/>
      <c r="E55" s="4514"/>
      <c r="F55" s="4514"/>
      <c r="G55" s="4514"/>
      <c r="H55" s="4514"/>
      <c r="I55" s="67"/>
      <c r="J55" s="236">
        <v>80</v>
      </c>
      <c r="K55" s="4134" t="s">
        <v>2052</v>
      </c>
      <c r="L55" s="4134"/>
      <c r="M55" s="4150" t="s">
        <v>2053</v>
      </c>
      <c r="N55" s="4150"/>
      <c r="O55" s="4150"/>
      <c r="P55" s="4150"/>
      <c r="Q55" s="4150"/>
      <c r="R55" s="76"/>
      <c r="S55" s="335"/>
      <c r="T55" s="335"/>
      <c r="U55" s="1873">
        <f>IF(V55=0,0,1)</f>
        <v>0</v>
      </c>
      <c r="V55" s="4491"/>
      <c r="W55" s="4492"/>
      <c r="X55" s="4492"/>
      <c r="Y55" s="4492"/>
      <c r="Z55" s="4492"/>
      <c r="AA55" s="4509"/>
      <c r="AB55" s="4500" t="str">
        <f>IF(AA55=0,"",IF(AA55*10&lt;100,AA55*10,100))</f>
        <v/>
      </c>
      <c r="AC55" s="96"/>
      <c r="AD55" s="4501" t="str">
        <f>IF(AD54=0,"",VLOOKUP(AD54,Tabla_PoderesPsi,2,FALSE))</f>
        <v/>
      </c>
      <c r="AE55" s="4502"/>
      <c r="AF55" s="4502"/>
      <c r="AG55" s="2769" t="s">
        <v>1627</v>
      </c>
      <c r="AH55" s="2771" t="str">
        <f>IF(AD54=0,"",VLOOKUP(AD54,Tabla_PoderesPsi,3,FALSE))</f>
        <v/>
      </c>
      <c r="AI55" s="4503"/>
      <c r="AJ55" s="4516"/>
      <c r="AK55" s="4497"/>
      <c r="AL55" s="4562"/>
      <c r="AM55" s="1706"/>
      <c r="AQ55" s="1787"/>
    </row>
    <row r="56" spans="1:43" ht="12" customHeight="1" thickBot="1" x14ac:dyDescent="0.25">
      <c r="A56" s="173"/>
      <c r="B56" s="1873"/>
      <c r="C56" s="4514"/>
      <c r="D56" s="4514"/>
      <c r="E56" s="4514"/>
      <c r="F56" s="4514"/>
      <c r="G56" s="4514"/>
      <c r="H56" s="4514"/>
      <c r="I56" s="67"/>
      <c r="J56" s="236">
        <v>120</v>
      </c>
      <c r="K56" s="4134" t="s">
        <v>2056</v>
      </c>
      <c r="L56" s="4134"/>
      <c r="M56" s="4150" t="s">
        <v>2144</v>
      </c>
      <c r="N56" s="4150"/>
      <c r="O56" s="4150"/>
      <c r="P56" s="4150"/>
      <c r="Q56" s="4150"/>
      <c r="R56" s="76"/>
      <c r="S56" s="335"/>
      <c r="T56" s="335"/>
      <c r="U56" s="1873"/>
      <c r="V56" s="4510" t="str">
        <f>IF(V55=0,"",VLOOKUP(V55,Tabla_PoderesPsi,2,FALSE))</f>
        <v/>
      </c>
      <c r="W56" s="3271"/>
      <c r="X56" s="3271"/>
      <c r="Y56" s="3021" t="s">
        <v>1627</v>
      </c>
      <c r="Z56" s="2866" t="str">
        <f>IF(V55=0,"",VLOOKUP(V55,Tabla_PoderesPsi,3,FALSE))</f>
        <v/>
      </c>
      <c r="AA56" s="4509"/>
      <c r="AB56" s="4500"/>
      <c r="AC56" s="96"/>
      <c r="AD56" s="4491"/>
      <c r="AE56" s="4492"/>
      <c r="AF56" s="4492"/>
      <c r="AG56" s="4492"/>
      <c r="AH56" s="4492"/>
      <c r="AI56" s="4498"/>
      <c r="AJ56" s="4515"/>
      <c r="AK56" s="4500" t="str">
        <f>IF(AD56&lt;&gt;"",INDEX(Tablas!$T$26:$T$38,MAX(1+MATCH(VLOOKUP(Psíquicos!$AD56,'Tablas psiquica'!$D$7:$U$145,18,FALSE),'Tablas psiquica'!$I$6:$R$6,0),MAX(SUMPRODUCT(--(Tablas!$S$26:$S$38&lt;=(AL56-20*AI56)))+IF(Tablas!$G$446&gt;0,1,0)+IF(COUNTIF($C$39:$E$50,"Introversión")&gt;0,1,0),SUMPRODUCT(--(Tablas!$S$26:$S$38&lt;=(AL56)))))),"")</f>
        <v/>
      </c>
      <c r="AL56" s="4562">
        <f t="shared" ref="AL56" si="19">$H$11+IF(ISNA(VLOOKUP(AD56,$V$11:$AB$64,7,FALSE)),0,IF(VLOOKUP(AD56,$V$11:$AB$64,7,FALSE)="",0,VLOOKUP(AD56,$V$11:$AB$64,7,FALSE)))+AI56*20+AJ56</f>
        <v>0</v>
      </c>
      <c r="AM56" s="1706"/>
      <c r="AQ56" s="1787"/>
    </row>
    <row r="57" spans="1:43" ht="12" customHeight="1" thickBot="1" x14ac:dyDescent="0.25">
      <c r="A57" s="173"/>
      <c r="B57" s="1873"/>
      <c r="C57" s="4514"/>
      <c r="D57" s="4514"/>
      <c r="E57" s="4514"/>
      <c r="F57" s="4514"/>
      <c r="G57" s="4514"/>
      <c r="H57" s="4514"/>
      <c r="I57" s="67"/>
      <c r="J57" s="236">
        <v>140</v>
      </c>
      <c r="K57" s="4134" t="s">
        <v>2058</v>
      </c>
      <c r="L57" s="4134"/>
      <c r="M57" s="4150" t="s">
        <v>2145</v>
      </c>
      <c r="N57" s="4150"/>
      <c r="O57" s="4150"/>
      <c r="P57" s="4150"/>
      <c r="Q57" s="4150"/>
      <c r="R57" s="76"/>
      <c r="S57" s="335"/>
      <c r="T57" s="335"/>
      <c r="U57" s="1873">
        <f>IF(V57=0,0,1)</f>
        <v>0</v>
      </c>
      <c r="V57" s="4504"/>
      <c r="W57" s="4505"/>
      <c r="X57" s="4505"/>
      <c r="Y57" s="4505"/>
      <c r="Z57" s="4505"/>
      <c r="AA57" s="4506"/>
      <c r="AB57" s="4497" t="str">
        <f>IF(AA57=0,"",IF(AA57*10&lt;100,AA57*10,100))</f>
        <v/>
      </c>
      <c r="AC57" s="67"/>
      <c r="AD57" s="4510" t="str">
        <f>IF(AD56=0,"",VLOOKUP(AD56,Tabla_PoderesPsi,2,FALSE))</f>
        <v/>
      </c>
      <c r="AE57" s="3271"/>
      <c r="AF57" s="3271"/>
      <c r="AG57" s="2765" t="s">
        <v>1627</v>
      </c>
      <c r="AH57" s="2770" t="str">
        <f>IF(AD56=0,"",VLOOKUP(AD56,Tabla_PoderesPsi,3,FALSE))</f>
        <v/>
      </c>
      <c r="AI57" s="4498"/>
      <c r="AJ57" s="4515"/>
      <c r="AK57" s="4500"/>
      <c r="AL57" s="4562"/>
      <c r="AM57" s="1706"/>
      <c r="AQ57" s="1787"/>
    </row>
    <row r="58" spans="1:43" ht="12" customHeight="1" thickBot="1" x14ac:dyDescent="0.25">
      <c r="A58" s="173"/>
      <c r="B58" s="1873"/>
      <c r="C58" s="4514"/>
      <c r="D58" s="4514"/>
      <c r="E58" s="4514"/>
      <c r="F58" s="4514"/>
      <c r="G58" s="4514"/>
      <c r="H58" s="4514"/>
      <c r="I58" s="67"/>
      <c r="J58" s="236">
        <v>180</v>
      </c>
      <c r="K58" s="4134" t="s">
        <v>2061</v>
      </c>
      <c r="L58" s="4134"/>
      <c r="M58" s="4150" t="s">
        <v>2146</v>
      </c>
      <c r="N58" s="4150"/>
      <c r="O58" s="4150"/>
      <c r="P58" s="4150"/>
      <c r="Q58" s="4150"/>
      <c r="R58" s="76"/>
      <c r="S58" s="335"/>
      <c r="T58" s="335"/>
      <c r="U58" s="1873"/>
      <c r="V58" s="4501" t="str">
        <f>IF(V57=0,"",VLOOKUP(V57,Tabla_PoderesPsi,2,FALSE))</f>
        <v/>
      </c>
      <c r="W58" s="4502"/>
      <c r="X58" s="4502"/>
      <c r="Y58" s="3023" t="s">
        <v>1627</v>
      </c>
      <c r="Z58" s="2771" t="str">
        <f>IF(V57=0,"",VLOOKUP(V57,Tabla_PoderesPsi,3,FALSE))</f>
        <v/>
      </c>
      <c r="AA58" s="4506"/>
      <c r="AB58" s="4497"/>
      <c r="AC58" s="195"/>
      <c r="AD58" s="4504"/>
      <c r="AE58" s="4505"/>
      <c r="AF58" s="4505"/>
      <c r="AG58" s="4505"/>
      <c r="AH58" s="4505"/>
      <c r="AI58" s="4503"/>
      <c r="AJ58" s="4516"/>
      <c r="AK58" s="4497" t="str">
        <f>IF(AD58&lt;&gt;"",INDEX(Tablas!$T$26:$T$38,MAX(1+MATCH(VLOOKUP(Psíquicos!$AD58,'Tablas psiquica'!$D$7:$U$145,18,FALSE),'Tablas psiquica'!$I$6:$R$6,0),MAX(SUMPRODUCT(--(Tablas!$S$26:$S$38&lt;=(AL58-20*AI58)))+IF(Tablas!$G$446&gt;0,1,0)+IF(COUNTIF($C$39:$E$50,"Introversión")&gt;0,1,0),SUMPRODUCT(--(Tablas!$S$26:$S$38&lt;=(AL58)))))),"")</f>
        <v/>
      </c>
      <c r="AL58" s="4562">
        <f t="shared" ref="AL58" si="20">$H$11+IF(ISNA(VLOOKUP(AD58,$V$11:$AB$64,7,FALSE)),0,IF(VLOOKUP(AD58,$V$11:$AB$64,7,FALSE)="",0,VLOOKUP(AD58,$V$11:$AB$64,7,FALSE)))+AI58*20+AJ58</f>
        <v>0</v>
      </c>
      <c r="AM58" s="1706"/>
      <c r="AQ58" s="1787"/>
    </row>
    <row r="59" spans="1:43" ht="12" customHeight="1" thickBot="1" x14ac:dyDescent="0.25">
      <c r="A59" s="173"/>
      <c r="B59" s="1873"/>
      <c r="C59" s="4514"/>
      <c r="D59" s="4514"/>
      <c r="E59" s="4514"/>
      <c r="F59" s="4514"/>
      <c r="G59" s="4514"/>
      <c r="H59" s="4514"/>
      <c r="I59" s="67"/>
      <c r="J59" s="236">
        <v>240</v>
      </c>
      <c r="K59" s="4134" t="s">
        <v>2063</v>
      </c>
      <c r="L59" s="4134"/>
      <c r="M59" s="4150" t="s">
        <v>2147</v>
      </c>
      <c r="N59" s="4150"/>
      <c r="O59" s="4150"/>
      <c r="P59" s="4150"/>
      <c r="Q59" s="4150"/>
      <c r="R59" s="76"/>
      <c r="S59" s="335"/>
      <c r="T59" s="335"/>
      <c r="U59" s="1873">
        <f>IF(V59=0,0,1)</f>
        <v>0</v>
      </c>
      <c r="V59" s="4491"/>
      <c r="W59" s="4492"/>
      <c r="X59" s="4492"/>
      <c r="Y59" s="4492"/>
      <c r="Z59" s="4492"/>
      <c r="AA59" s="4509"/>
      <c r="AB59" s="4500" t="str">
        <f>IF(AA59=0,"",IF(AA59*10&lt;100,AA59*10,100))</f>
        <v/>
      </c>
      <c r="AC59" s="67"/>
      <c r="AD59" s="4501" t="str">
        <f>IF(AD58=0,"",VLOOKUP(AD58,Tabla_PoderesPsi,2,FALSE))</f>
        <v/>
      </c>
      <c r="AE59" s="4502"/>
      <c r="AF59" s="4502"/>
      <c r="AG59" s="2769" t="s">
        <v>1627</v>
      </c>
      <c r="AH59" s="2771" t="str">
        <f>IF(AD58=0,"",VLOOKUP(AD58,Tabla_PoderesPsi,3,FALSE))</f>
        <v/>
      </c>
      <c r="AI59" s="4503"/>
      <c r="AJ59" s="4516"/>
      <c r="AK59" s="4497"/>
      <c r="AL59" s="4562"/>
      <c r="AM59" s="1706"/>
      <c r="AQ59" s="1787"/>
    </row>
    <row r="60" spans="1:43" ht="12" customHeight="1" thickBot="1" x14ac:dyDescent="0.25">
      <c r="A60" s="173"/>
      <c r="B60" s="1873"/>
      <c r="C60" s="4514"/>
      <c r="D60" s="4514"/>
      <c r="E60" s="4514"/>
      <c r="F60" s="4514"/>
      <c r="G60" s="4514"/>
      <c r="H60" s="4514"/>
      <c r="I60" s="67"/>
      <c r="J60" s="236">
        <v>280</v>
      </c>
      <c r="K60" s="4134" t="s">
        <v>2066</v>
      </c>
      <c r="L60" s="4134"/>
      <c r="M60" s="4150" t="s">
        <v>2148</v>
      </c>
      <c r="N60" s="4150"/>
      <c r="O60" s="4150"/>
      <c r="P60" s="4150"/>
      <c r="Q60" s="4150"/>
      <c r="R60" s="76"/>
      <c r="S60" s="335"/>
      <c r="T60" s="335"/>
      <c r="U60" s="1873"/>
      <c r="V60" s="4510" t="str">
        <f>IF(V59=0,"",VLOOKUP(V59,Tabla_PoderesPsi,2,FALSE))</f>
        <v/>
      </c>
      <c r="W60" s="3271"/>
      <c r="X60" s="3271"/>
      <c r="Y60" s="3021" t="s">
        <v>1627</v>
      </c>
      <c r="Z60" s="2866" t="str">
        <f>IF(V59=0,"",VLOOKUP(V59,Tabla_PoderesPsi,3,FALSE))</f>
        <v/>
      </c>
      <c r="AA60" s="4509"/>
      <c r="AB60" s="4500"/>
      <c r="AC60" s="67"/>
      <c r="AD60" s="4491"/>
      <c r="AE60" s="4492"/>
      <c r="AF60" s="4492"/>
      <c r="AG60" s="4492"/>
      <c r="AH60" s="4492"/>
      <c r="AI60" s="4498"/>
      <c r="AJ60" s="4515"/>
      <c r="AK60" s="4500" t="str">
        <f>IF(AD60&lt;&gt;"",INDEX(Tablas!$T$26:$T$38,MAX(1+MATCH(VLOOKUP(Psíquicos!$AD60,'Tablas psiquica'!$D$7:$U$145,18,FALSE),'Tablas psiquica'!$I$6:$R$6,0),MAX(SUMPRODUCT(--(Tablas!$S$26:$S$38&lt;=(AL60-20*AI60)))+IF(Tablas!$G$446&gt;0,1,0)+IF(COUNTIF($C$39:$E$50,"Introversión")&gt;0,1,0),SUMPRODUCT(--(Tablas!$S$26:$S$38&lt;=(AL60)))))),"")</f>
        <v/>
      </c>
      <c r="AL60" s="4562">
        <f t="shared" ref="AL60" si="21">$H$11+IF(ISNA(VLOOKUP(AD60,$V$11:$AB$64,7,FALSE)),0,IF(VLOOKUP(AD60,$V$11:$AB$64,7,FALSE)="",0,VLOOKUP(AD60,$V$11:$AB$64,7,FALSE)))+AI60*20+AJ60</f>
        <v>0</v>
      </c>
      <c r="AM60" s="1706"/>
      <c r="AQ60" s="1787"/>
    </row>
    <row r="61" spans="1:43" ht="12" customHeight="1" thickBot="1" x14ac:dyDescent="0.25">
      <c r="A61" s="173"/>
      <c r="B61" s="1873"/>
      <c r="C61" s="4514"/>
      <c r="D61" s="4514"/>
      <c r="E61" s="4514"/>
      <c r="F61" s="4514"/>
      <c r="G61" s="4514"/>
      <c r="H61" s="4514"/>
      <c r="I61" s="67"/>
      <c r="J61" s="236">
        <v>320</v>
      </c>
      <c r="K61" s="4134" t="s">
        <v>2068</v>
      </c>
      <c r="L61" s="4134"/>
      <c r="M61" s="4150" t="s">
        <v>1766</v>
      </c>
      <c r="N61" s="4150"/>
      <c r="O61" s="4150"/>
      <c r="P61" s="4150"/>
      <c r="Q61" s="4150"/>
      <c r="R61" s="76"/>
      <c r="S61" s="335"/>
      <c r="T61" s="335"/>
      <c r="U61" s="1873">
        <f>IF(V61=0,0,1)</f>
        <v>0</v>
      </c>
      <c r="V61" s="4504"/>
      <c r="W61" s="4505"/>
      <c r="X61" s="4505"/>
      <c r="Y61" s="4505"/>
      <c r="Z61" s="4505"/>
      <c r="AA61" s="4506"/>
      <c r="AB61" s="4497" t="str">
        <f>IF(AA61=0,"",IF(AA61*10&lt;100,AA61*10,100))</f>
        <v/>
      </c>
      <c r="AC61" s="67"/>
      <c r="AD61" s="4490" t="str">
        <f>IF(AD60=0,"",VLOOKUP(AD60,Tabla_PoderesPsi,2,FALSE))</f>
        <v/>
      </c>
      <c r="AE61" s="3274"/>
      <c r="AF61" s="3274"/>
      <c r="AG61" s="2767" t="s">
        <v>1627</v>
      </c>
      <c r="AH61" s="1291" t="str">
        <f>IF(AD60=0,"",VLOOKUP(AD60,Tabla_PoderesPsi,3,FALSE))</f>
        <v/>
      </c>
      <c r="AI61" s="4499"/>
      <c r="AJ61" s="4563"/>
      <c r="AK61" s="4496"/>
      <c r="AL61" s="4562"/>
      <c r="AM61" s="1706"/>
      <c r="AQ61" s="1787"/>
    </row>
    <row r="62" spans="1:43" ht="12" customHeight="1" thickBot="1" x14ac:dyDescent="0.25">
      <c r="A62" s="173"/>
      <c r="B62" s="1873"/>
      <c r="C62" s="4514"/>
      <c r="D62" s="4514"/>
      <c r="E62" s="4514"/>
      <c r="F62" s="4514"/>
      <c r="G62" s="4514"/>
      <c r="H62" s="4514"/>
      <c r="I62" s="67"/>
      <c r="J62" s="239">
        <v>440</v>
      </c>
      <c r="K62" s="4507" t="s">
        <v>2002</v>
      </c>
      <c r="L62" s="4507"/>
      <c r="M62" s="4508" t="s">
        <v>1766</v>
      </c>
      <c r="N62" s="4508"/>
      <c r="O62" s="4508"/>
      <c r="P62" s="4508"/>
      <c r="Q62" s="4508"/>
      <c r="R62" s="76"/>
      <c r="S62" s="335"/>
      <c r="T62" s="335"/>
      <c r="U62" s="1873"/>
      <c r="V62" s="4501" t="str">
        <f>IF(V61=0,"",VLOOKUP(V61,Tabla_PoderesPsi,2,FALSE))</f>
        <v/>
      </c>
      <c r="W62" s="4502"/>
      <c r="X62" s="4502"/>
      <c r="Y62" s="3023" t="s">
        <v>1627</v>
      </c>
      <c r="Z62" s="2771" t="str">
        <f>IF(V61=0,"",VLOOKUP(V61,Tabla_PoderesPsi,3,FALSE))</f>
        <v/>
      </c>
      <c r="AA62" s="4506"/>
      <c r="AB62" s="4497"/>
      <c r="AC62" s="67"/>
      <c r="AD62" s="67"/>
      <c r="AE62" s="67"/>
      <c r="AF62" s="67"/>
      <c r="AG62" s="67"/>
      <c r="AH62" s="67"/>
      <c r="AI62" s="67"/>
      <c r="AJ62" s="67"/>
      <c r="AK62" s="96"/>
      <c r="AL62" s="2004"/>
      <c r="AM62" s="1706"/>
      <c r="AQ62" s="1787"/>
    </row>
    <row r="63" spans="1:43" ht="12" customHeight="1" thickBot="1" x14ac:dyDescent="0.25">
      <c r="A63" s="173"/>
      <c r="B63" s="1873"/>
      <c r="C63" s="4514"/>
      <c r="D63" s="4514"/>
      <c r="E63" s="4514"/>
      <c r="F63" s="4514"/>
      <c r="G63" s="4514"/>
      <c r="H63" s="4514"/>
      <c r="I63" s="67"/>
      <c r="J63" s="4149"/>
      <c r="K63" s="4149"/>
      <c r="L63" s="4149"/>
      <c r="M63" s="4149"/>
      <c r="N63" s="4149"/>
      <c r="O63" s="4149"/>
      <c r="P63" s="4149"/>
      <c r="Q63" s="4149"/>
      <c r="R63" s="76"/>
      <c r="S63" s="335"/>
      <c r="T63" s="335"/>
      <c r="U63" s="1873">
        <f>IF(V63=0,0,1)</f>
        <v>0</v>
      </c>
      <c r="V63" s="4491"/>
      <c r="W63" s="4492"/>
      <c r="X63" s="4492"/>
      <c r="Y63" s="4492"/>
      <c r="Z63" s="4492"/>
      <c r="AA63" s="4493"/>
      <c r="AB63" s="4495"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514"/>
      <c r="D64" s="4514"/>
      <c r="E64" s="4514"/>
      <c r="F64" s="4514"/>
      <c r="G64" s="4514"/>
      <c r="H64" s="4514"/>
      <c r="I64" s="67"/>
      <c r="J64" s="4149"/>
      <c r="K64" s="4149"/>
      <c r="L64" s="4149"/>
      <c r="M64" s="4149"/>
      <c r="N64" s="4149"/>
      <c r="O64" s="4149"/>
      <c r="P64" s="4149"/>
      <c r="Q64" s="4149"/>
      <c r="R64" s="68"/>
      <c r="S64" s="56"/>
      <c r="T64" s="56"/>
      <c r="U64" s="2307"/>
      <c r="V64" s="4490" t="str">
        <f>IF(V63=0,"",VLOOKUP(V63,Tabla_PoderesPsi,2,FALSE))</f>
        <v/>
      </c>
      <c r="W64" s="3274"/>
      <c r="X64" s="3274"/>
      <c r="Y64" s="2767" t="s">
        <v>1627</v>
      </c>
      <c r="Z64" s="1291" t="str">
        <f>IF(V63=0,"",VLOOKUP(V63,Tabla_PoderesPsi,3,FALSE))</f>
        <v/>
      </c>
      <c r="AA64" s="4494"/>
      <c r="AB64" s="4496"/>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722"/>
      <c r="D3" s="4723"/>
      <c r="E3" s="4723"/>
      <c r="F3" s="4723"/>
      <c r="G3" s="4723"/>
      <c r="H3" s="4723"/>
      <c r="I3" s="2546"/>
      <c r="J3" s="2546"/>
      <c r="K3" s="2546"/>
      <c r="L3" s="2546"/>
      <c r="M3" s="2546"/>
      <c r="N3" s="2546"/>
      <c r="O3" s="2546"/>
      <c r="P3" s="2546"/>
      <c r="Q3" s="1142"/>
      <c r="R3" s="2728"/>
      <c r="S3" s="2364"/>
      <c r="T3" s="2364"/>
      <c r="U3" s="549"/>
      <c r="V3" s="4722"/>
      <c r="W3" s="4723"/>
      <c r="X3" s="4723"/>
      <c r="Y3" s="4723"/>
      <c r="Z3" s="4723"/>
      <c r="AA3" s="4723"/>
      <c r="AB3" s="1141"/>
      <c r="AC3" s="1141"/>
      <c r="AD3" s="1141"/>
      <c r="AE3" s="1141"/>
      <c r="AF3" s="1141"/>
      <c r="AG3" s="1141"/>
      <c r="AH3" s="1141"/>
      <c r="AI3" s="1141"/>
      <c r="AJ3" s="1142"/>
      <c r="AK3" s="1143"/>
      <c r="AL3" s="1137"/>
    </row>
    <row r="4" spans="1:45" ht="12" customHeight="1" x14ac:dyDescent="0.2">
      <c r="A4" s="1137"/>
      <c r="B4" s="2742"/>
      <c r="C4" s="4724"/>
      <c r="D4" s="4725"/>
      <c r="E4" s="4725"/>
      <c r="F4" s="4725"/>
      <c r="G4" s="4725"/>
      <c r="H4" s="4725"/>
      <c r="I4" s="2547"/>
      <c r="J4" s="4728" t="s">
        <v>1625</v>
      </c>
      <c r="K4" s="4729"/>
      <c r="L4" s="3168" t="str">
        <f>IF(OR(General!$G$22="",General!$G$22=0),"",General!$G$22)</f>
        <v/>
      </c>
      <c r="M4" s="3168"/>
      <c r="N4" s="3168"/>
      <c r="O4" s="3168"/>
      <c r="P4" s="3168"/>
      <c r="Q4" s="747"/>
      <c r="R4" s="2729"/>
      <c r="S4" s="2364"/>
      <c r="T4" s="2364"/>
      <c r="U4" s="549"/>
      <c r="V4" s="4724"/>
      <c r="W4" s="4725"/>
      <c r="X4" s="4725"/>
      <c r="Y4" s="4725"/>
      <c r="Z4" s="4725"/>
      <c r="AA4" s="4725"/>
      <c r="AB4" s="1146"/>
      <c r="AC4" s="4728" t="s">
        <v>1625</v>
      </c>
      <c r="AD4" s="4729"/>
      <c r="AE4" s="3168" t="str">
        <f>IF(OR(General!$G$22="",General!$G$22=0),"",General!$G$22)</f>
        <v/>
      </c>
      <c r="AF4" s="3168"/>
      <c r="AG4" s="3168"/>
      <c r="AH4" s="3168"/>
      <c r="AI4" s="3168"/>
      <c r="AJ4" s="747"/>
      <c r="AK4" s="1143"/>
      <c r="AL4" s="1137"/>
    </row>
    <row r="5" spans="1:45" ht="12" customHeight="1" x14ac:dyDescent="0.2">
      <c r="A5" s="1137"/>
      <c r="B5" s="2742"/>
      <c r="C5" s="4724"/>
      <c r="D5" s="4725"/>
      <c r="E5" s="4725"/>
      <c r="F5" s="4725"/>
      <c r="G5" s="4725"/>
      <c r="H5" s="4725"/>
      <c r="I5" s="2547"/>
      <c r="J5" s="4716" t="s">
        <v>1626</v>
      </c>
      <c r="K5" s="4717"/>
      <c r="L5" s="4718" t="str">
        <f>Principal!$L$5</f>
        <v/>
      </c>
      <c r="M5" s="4719"/>
      <c r="N5" s="4719"/>
      <c r="O5" s="1148" t="s">
        <v>1627</v>
      </c>
      <c r="P5" s="1149" t="str">
        <f>Principal!$P$5</f>
        <v>0</v>
      </c>
      <c r="Q5" s="1150"/>
      <c r="R5" s="2729"/>
      <c r="S5" s="2364"/>
      <c r="T5" s="2364"/>
      <c r="U5" s="549"/>
      <c r="V5" s="4724"/>
      <c r="W5" s="4725"/>
      <c r="X5" s="4725"/>
      <c r="Y5" s="4725"/>
      <c r="Z5" s="4725"/>
      <c r="AA5" s="4725"/>
      <c r="AB5" s="1146"/>
      <c r="AC5" s="4716" t="s">
        <v>1626</v>
      </c>
      <c r="AD5" s="4717"/>
      <c r="AE5" s="4718" t="str">
        <f>Principal!$L$5</f>
        <v/>
      </c>
      <c r="AF5" s="4719"/>
      <c r="AG5" s="4719"/>
      <c r="AH5" s="1148" t="s">
        <v>1627</v>
      </c>
      <c r="AI5" s="1149" t="str">
        <f>Principal!$P$5</f>
        <v>0</v>
      </c>
      <c r="AJ5" s="1150"/>
      <c r="AK5" s="1143"/>
      <c r="AL5" s="1137"/>
    </row>
    <row r="6" spans="1:45" ht="12" customHeight="1" x14ac:dyDescent="0.2">
      <c r="A6" s="1137"/>
      <c r="B6" s="2742"/>
      <c r="C6" s="4724"/>
      <c r="D6" s="4725"/>
      <c r="E6" s="4725"/>
      <c r="F6" s="4725"/>
      <c r="G6" s="4725"/>
      <c r="H6" s="4725"/>
      <c r="I6" s="2547"/>
      <c r="J6" s="4720" t="s">
        <v>1902</v>
      </c>
      <c r="K6" s="4721"/>
      <c r="L6" s="4721"/>
      <c r="M6" s="4721"/>
      <c r="N6" s="4721"/>
      <c r="O6" s="4721"/>
      <c r="P6" s="4721"/>
      <c r="Q6" s="1150"/>
      <c r="R6" s="2729"/>
      <c r="S6" s="2364"/>
      <c r="T6" s="2364"/>
      <c r="U6" s="549"/>
      <c r="V6" s="4724"/>
      <c r="W6" s="4725"/>
      <c r="X6" s="4725"/>
      <c r="Y6" s="4725"/>
      <c r="Z6" s="4725"/>
      <c r="AA6" s="4725"/>
      <c r="AB6" s="1146"/>
      <c r="AC6" s="4720" t="s">
        <v>1903</v>
      </c>
      <c r="AD6" s="4721"/>
      <c r="AE6" s="4721"/>
      <c r="AF6" s="4721"/>
      <c r="AG6" s="4721"/>
      <c r="AH6" s="4721"/>
      <c r="AI6" s="4721"/>
      <c r="AJ6" s="1150"/>
      <c r="AK6" s="1143"/>
      <c r="AL6" s="1137"/>
    </row>
    <row r="7" spans="1:45" ht="12" customHeight="1" x14ac:dyDescent="0.2">
      <c r="A7" s="1137"/>
      <c r="B7" s="2742"/>
      <c r="C7" s="4724"/>
      <c r="D7" s="4725"/>
      <c r="E7" s="4725"/>
      <c r="F7" s="4725"/>
      <c r="G7" s="4725"/>
      <c r="H7" s="4725"/>
      <c r="I7" s="2547"/>
      <c r="J7" s="4721"/>
      <c r="K7" s="4721"/>
      <c r="L7" s="4721"/>
      <c r="M7" s="4721"/>
      <c r="N7" s="4721"/>
      <c r="O7" s="4721"/>
      <c r="P7" s="4721"/>
      <c r="Q7" s="1150"/>
      <c r="R7" s="2729"/>
      <c r="S7" s="2364"/>
      <c r="T7" s="2364"/>
      <c r="U7" s="549"/>
      <c r="V7" s="4724"/>
      <c r="W7" s="4725"/>
      <c r="X7" s="4725"/>
      <c r="Y7" s="4725"/>
      <c r="Z7" s="4725"/>
      <c r="AA7" s="4725"/>
      <c r="AB7" s="1146"/>
      <c r="AC7" s="4721"/>
      <c r="AD7" s="4721"/>
      <c r="AE7" s="4721"/>
      <c r="AF7" s="4721"/>
      <c r="AG7" s="4721"/>
      <c r="AH7" s="4721"/>
      <c r="AI7" s="4721"/>
      <c r="AJ7" s="1150"/>
      <c r="AK7" s="1143"/>
      <c r="AL7" s="1137"/>
    </row>
    <row r="8" spans="1:45" ht="12" customHeight="1" thickBot="1" x14ac:dyDescent="0.25">
      <c r="A8" s="1137"/>
      <c r="B8" s="2742"/>
      <c r="C8" s="4726"/>
      <c r="D8" s="4727"/>
      <c r="E8" s="4727"/>
      <c r="F8" s="4727"/>
      <c r="G8" s="4727"/>
      <c r="H8" s="4727"/>
      <c r="I8" s="2548"/>
      <c r="J8" s="2548"/>
      <c r="K8" s="2548"/>
      <c r="L8" s="2548"/>
      <c r="M8" s="2548"/>
      <c r="N8" s="2548"/>
      <c r="O8" s="2548"/>
      <c r="P8" s="2548"/>
      <c r="Q8" s="1156"/>
      <c r="R8" s="2729"/>
      <c r="S8" s="2364"/>
      <c r="T8" s="2364"/>
      <c r="U8" s="549"/>
      <c r="V8" s="4726"/>
      <c r="W8" s="4727"/>
      <c r="X8" s="4727"/>
      <c r="Y8" s="4727"/>
      <c r="Z8" s="4727"/>
      <c r="AA8" s="4727"/>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711" t="str">
        <f>IF(Tablas!G488+Tablas!G489+Tablas!G551+Tablas!G534+Tablas!G552&gt;0,"Empatía hacia elemento: -5 CM al coste de cada efecto relacionado con elemento afín (Coste mínimo 5 CM)","")</f>
        <v/>
      </c>
      <c r="W9" s="4711"/>
      <c r="X9" s="4711"/>
      <c r="Y9" s="4711"/>
      <c r="Z9" s="4711"/>
      <c r="AA9" s="4711"/>
      <c r="AB9" s="4711"/>
      <c r="AC9" s="4711"/>
      <c r="AD9" s="4711"/>
      <c r="AE9" s="4711"/>
      <c r="AF9" s="4711"/>
      <c r="AG9" s="4711"/>
      <c r="AH9" s="4711"/>
      <c r="AI9" s="4711"/>
      <c r="AJ9" s="4711"/>
      <c r="AK9" s="1143"/>
      <c r="AL9" s="1137"/>
      <c r="AM9" s="1217"/>
      <c r="AN9" s="1217"/>
      <c r="AO9" s="1217"/>
      <c r="AP9" s="1217"/>
      <c r="AQ9" s="1218"/>
    </row>
    <row r="10" spans="1:45" ht="12" customHeight="1" thickBot="1" x14ac:dyDescent="0.25">
      <c r="A10" s="1137"/>
      <c r="B10" s="2742"/>
      <c r="C10" s="4633" t="s">
        <v>1904</v>
      </c>
      <c r="D10" s="4712"/>
      <c r="E10" s="4712"/>
      <c r="F10" s="4712"/>
      <c r="G10" s="2817"/>
      <c r="H10" s="2818" t="s">
        <v>10014</v>
      </c>
      <c r="I10" s="2819" t="s">
        <v>2446</v>
      </c>
      <c r="J10" s="2734"/>
      <c r="K10" s="4596" t="s">
        <v>1905</v>
      </c>
      <c r="L10" s="4597"/>
      <c r="M10" s="4597"/>
      <c r="N10" s="4597"/>
      <c r="O10" s="4597"/>
      <c r="P10" s="4600">
        <f>IF(Q10=0,40,"-")</f>
        <v>40</v>
      </c>
      <c r="Q10" s="4602"/>
      <c r="R10" s="4701" t="b">
        <f t="shared" ref="R10:R11" si="0">P10="-"</f>
        <v>0</v>
      </c>
      <c r="S10" s="2364"/>
      <c r="T10" s="2364"/>
      <c r="U10" s="549"/>
      <c r="V10" s="4633" t="s">
        <v>1906</v>
      </c>
      <c r="W10" s="4712"/>
      <c r="X10" s="4712"/>
      <c r="Y10" s="4634"/>
      <c r="Z10" s="1196"/>
      <c r="AA10" s="4633" t="s">
        <v>1907</v>
      </c>
      <c r="AB10" s="4712"/>
      <c r="AC10" s="4712"/>
      <c r="AD10" s="4712"/>
      <c r="AE10" s="4712"/>
      <c r="AF10" s="4712"/>
      <c r="AG10" s="4712"/>
      <c r="AH10" s="4712"/>
      <c r="AI10" s="4712"/>
      <c r="AJ10" s="4634"/>
      <c r="AK10" s="1143"/>
      <c r="AL10" s="1137"/>
    </row>
    <row r="11" spans="1:45" ht="12" customHeight="1" thickBot="1" x14ac:dyDescent="0.25">
      <c r="A11" s="1137"/>
      <c r="B11" s="2742"/>
      <c r="C11" s="1219"/>
      <c r="D11" s="639" t="s">
        <v>1908</v>
      </c>
      <c r="E11" s="1220" t="s">
        <v>1909</v>
      </c>
      <c r="F11" s="4713" t="s">
        <v>1910</v>
      </c>
      <c r="G11" s="4714"/>
      <c r="H11" s="4714"/>
      <c r="I11" s="4715"/>
      <c r="J11" s="2734"/>
      <c r="K11" s="4598"/>
      <c r="L11" s="4599"/>
      <c r="M11" s="4599"/>
      <c r="N11" s="4599"/>
      <c r="O11" s="4599"/>
      <c r="P11" s="4601"/>
      <c r="Q11" s="4603"/>
      <c r="R11" s="4701" t="b">
        <f t="shared" si="0"/>
        <v>0</v>
      </c>
      <c r="S11" s="2364"/>
      <c r="T11" s="2364"/>
      <c r="U11" s="549"/>
      <c r="V11" s="4663" t="s">
        <v>1911</v>
      </c>
      <c r="W11" s="4690"/>
      <c r="X11" s="4698"/>
      <c r="Y11" s="4695"/>
      <c r="Z11" s="1221"/>
      <c r="AA11" s="4709" t="s">
        <v>1912</v>
      </c>
      <c r="AB11" s="4296"/>
      <c r="AC11" s="4710"/>
      <c r="AD11" s="4296" t="s">
        <v>1913</v>
      </c>
      <c r="AE11" s="4296"/>
      <c r="AF11" s="4296"/>
      <c r="AG11" s="4296"/>
      <c r="AH11" s="4296"/>
      <c r="AI11" s="4296"/>
      <c r="AJ11" s="4297"/>
      <c r="AK11" s="1143"/>
      <c r="AL11" s="1137"/>
    </row>
    <row r="12" spans="1:45" ht="12" customHeight="1" x14ac:dyDescent="0.2">
      <c r="A12" s="1137"/>
      <c r="B12" s="2742"/>
      <c r="C12" s="4702" t="s">
        <v>1682</v>
      </c>
      <c r="D12" s="4670">
        <f>PDs!$AA33</f>
        <v>0</v>
      </c>
      <c r="E12" s="4672" t="str">
        <f>IF(OR(Tablas!$G$375&gt;0,Tablas!$G$17378&gt;0,$I$10&lt;&gt;"No"),"-",PDs!$AA$27)</f>
        <v>-</v>
      </c>
      <c r="F12" s="4703"/>
      <c r="G12" s="4704"/>
      <c r="H12" s="4704"/>
      <c r="I12" s="4705"/>
      <c r="J12" s="2734"/>
      <c r="K12" s="4586" t="s">
        <v>1914</v>
      </c>
      <c r="L12" s="4587"/>
      <c r="M12" s="4587"/>
      <c r="N12" s="4587"/>
      <c r="O12" s="4587"/>
      <c r="P12" s="2549">
        <f>IF(Q12=0,30,"-")</f>
        <v>30</v>
      </c>
      <c r="Q12" s="2550"/>
      <c r="R12" s="2730" t="b">
        <f>P12="-"</f>
        <v>0</v>
      </c>
      <c r="S12" s="2364"/>
      <c r="T12" s="2364"/>
      <c r="U12" s="549"/>
      <c r="V12" s="4663"/>
      <c r="W12" s="4690"/>
      <c r="X12" s="4698"/>
      <c r="Y12" s="4695"/>
      <c r="Z12" s="1221"/>
      <c r="AA12" s="4706"/>
      <c r="AB12" s="4707"/>
      <c r="AC12" s="4708"/>
      <c r="AD12" s="4699"/>
      <c r="AE12" s="4699"/>
      <c r="AF12" s="4699"/>
      <c r="AG12" s="4699"/>
      <c r="AH12" s="4699"/>
      <c r="AI12" s="4699"/>
      <c r="AJ12" s="4700"/>
      <c r="AK12" s="1143"/>
      <c r="AL12" s="1137"/>
    </row>
    <row r="13" spans="1:45" ht="12" customHeight="1" x14ac:dyDescent="0.2">
      <c r="A13" s="1137"/>
      <c r="B13" s="2742"/>
      <c r="C13" s="4663"/>
      <c r="D13" s="4664"/>
      <c r="E13" s="4665"/>
      <c r="F13" s="4666"/>
      <c r="G13" s="4580"/>
      <c r="H13" s="4580"/>
      <c r="I13" s="4667"/>
      <c r="J13" s="2734"/>
      <c r="K13" s="1222" t="s">
        <v>1915</v>
      </c>
      <c r="L13" s="4647" t="s">
        <v>1916</v>
      </c>
      <c r="M13" s="4647"/>
      <c r="N13" s="4647"/>
      <c r="O13" s="4647"/>
      <c r="P13" s="2549">
        <f>IF(Q13=0,20,"-")</f>
        <v>20</v>
      </c>
      <c r="Q13" s="2550"/>
      <c r="R13" s="2730" t="b">
        <f t="shared" ref="R13:R62" si="1">P13="-"</f>
        <v>0</v>
      </c>
      <c r="S13" s="2364"/>
      <c r="T13" s="2364"/>
      <c r="U13" s="549"/>
      <c r="V13" s="4663" t="s">
        <v>1917</v>
      </c>
      <c r="W13" s="4690"/>
      <c r="X13" s="4698"/>
      <c r="Y13" s="4695"/>
      <c r="Z13" s="680"/>
      <c r="AA13" s="4685"/>
      <c r="AB13" s="4686"/>
      <c r="AC13" s="4687"/>
      <c r="AD13" s="4688"/>
      <c r="AE13" s="4688"/>
      <c r="AF13" s="4688"/>
      <c r="AG13" s="4688"/>
      <c r="AH13" s="4688"/>
      <c r="AI13" s="4688"/>
      <c r="AJ13" s="4689"/>
      <c r="AK13" s="1143"/>
      <c r="AL13" s="1137"/>
    </row>
    <row r="14" spans="1:45" ht="12" customHeight="1" x14ac:dyDescent="0.2">
      <c r="A14" s="1137"/>
      <c r="B14" s="2742"/>
      <c r="C14" s="4652" t="s">
        <v>1809</v>
      </c>
      <c r="D14" s="4654">
        <f>PDs!$AA34</f>
        <v>0</v>
      </c>
      <c r="E14" s="4656" t="str">
        <f>IF(OR(Tablas!$G$375&gt;0,Tablas!$G$17378&gt;0,$I$10&lt;&gt;"No"),"-",PDs!$AA$28)</f>
        <v>-</v>
      </c>
      <c r="F14" s="4658"/>
      <c r="G14" s="4590"/>
      <c r="H14" s="4590"/>
      <c r="I14" s="4659"/>
      <c r="J14" s="2734"/>
      <c r="K14" s="1222" t="s">
        <v>1918</v>
      </c>
      <c r="L14" s="1223" t="s">
        <v>1919</v>
      </c>
      <c r="M14" s="4629" t="s">
        <v>1920</v>
      </c>
      <c r="N14" s="4629"/>
      <c r="O14" s="4629"/>
      <c r="P14" s="2549">
        <f>IF(Q14=0,10,"-")</f>
        <v>10</v>
      </c>
      <c r="Q14" s="2550"/>
      <c r="R14" s="2730" t="b">
        <f t="shared" si="1"/>
        <v>0</v>
      </c>
      <c r="S14" s="2364"/>
      <c r="T14" s="2364"/>
      <c r="U14" s="549"/>
      <c r="V14" s="4663"/>
      <c r="W14" s="4690"/>
      <c r="X14" s="4698"/>
      <c r="Y14" s="4695"/>
      <c r="Z14" s="1200"/>
      <c r="AA14" s="4685"/>
      <c r="AB14" s="4686"/>
      <c r="AC14" s="4687"/>
      <c r="AD14" s="4688"/>
      <c r="AE14" s="4688"/>
      <c r="AF14" s="4688"/>
      <c r="AG14" s="4688"/>
      <c r="AH14" s="4688"/>
      <c r="AI14" s="4688"/>
      <c r="AJ14" s="4689"/>
      <c r="AK14" s="1143"/>
      <c r="AL14" s="1137"/>
    </row>
    <row r="15" spans="1:45" ht="12" customHeight="1" x14ac:dyDescent="0.2">
      <c r="A15" s="1137"/>
      <c r="B15" s="2742"/>
      <c r="C15" s="4652"/>
      <c r="D15" s="4654"/>
      <c r="E15" s="4656"/>
      <c r="F15" s="4658"/>
      <c r="G15" s="4590"/>
      <c r="H15" s="4590"/>
      <c r="I15" s="4659"/>
      <c r="J15" s="2734"/>
      <c r="K15" s="1222" t="s">
        <v>1915</v>
      </c>
      <c r="L15" s="4629" t="s">
        <v>1921</v>
      </c>
      <c r="M15" s="4629"/>
      <c r="N15" s="4629"/>
      <c r="O15" s="4629"/>
      <c r="P15" s="2549">
        <f>IF(Q15=0,40,"-")</f>
        <v>40</v>
      </c>
      <c r="Q15" s="2550"/>
      <c r="R15" s="2730" t="b">
        <f t="shared" si="1"/>
        <v>0</v>
      </c>
      <c r="S15" s="2364"/>
      <c r="T15" s="2364"/>
      <c r="U15" s="549"/>
      <c r="V15" s="4663" t="s">
        <v>1922</v>
      </c>
      <c r="W15" s="4690"/>
      <c r="X15" s="4698"/>
      <c r="Y15" s="4695"/>
      <c r="Z15" s="1224"/>
      <c r="AA15" s="4685"/>
      <c r="AB15" s="4686"/>
      <c r="AC15" s="4687"/>
      <c r="AD15" s="4688"/>
      <c r="AE15" s="4688"/>
      <c r="AF15" s="4688"/>
      <c r="AG15" s="4688"/>
      <c r="AH15" s="4688"/>
      <c r="AI15" s="4688"/>
      <c r="AJ15" s="4689"/>
      <c r="AK15" s="1143"/>
      <c r="AL15" s="1137"/>
    </row>
    <row r="16" spans="1:45" ht="12" customHeight="1" x14ac:dyDescent="0.2">
      <c r="A16" s="1137"/>
      <c r="B16" s="2742"/>
      <c r="C16" s="4663" t="s">
        <v>1687</v>
      </c>
      <c r="D16" s="4664">
        <f>PDs!$AA35</f>
        <v>0</v>
      </c>
      <c r="E16" s="4665" t="str">
        <f>IF(OR(Tablas!$G$375&gt;0,Tablas!$G$17378&gt;0,$I$10&lt;&gt;"No"),"-",PDs!$AA$29)</f>
        <v>-</v>
      </c>
      <c r="F16" s="4666"/>
      <c r="G16" s="4580"/>
      <c r="H16" s="4580"/>
      <c r="I16" s="4667"/>
      <c r="J16" s="2734"/>
      <c r="K16" s="1222" t="s">
        <v>1915</v>
      </c>
      <c r="L16" s="4629" t="s">
        <v>1923</v>
      </c>
      <c r="M16" s="4629"/>
      <c r="N16" s="4629"/>
      <c r="O16" s="4629"/>
      <c r="P16" s="2549">
        <f>IF(Q16=0,10,"-")</f>
        <v>10</v>
      </c>
      <c r="Q16" s="2550"/>
      <c r="R16" s="2730" t="b">
        <f t="shared" si="1"/>
        <v>0</v>
      </c>
      <c r="S16" s="2364"/>
      <c r="T16" s="2364"/>
      <c r="U16" s="549"/>
      <c r="V16" s="4663"/>
      <c r="W16" s="4690"/>
      <c r="X16" s="4698"/>
      <c r="Y16" s="4695"/>
      <c r="Z16" s="1224"/>
      <c r="AA16" s="4685"/>
      <c r="AB16" s="4686"/>
      <c r="AC16" s="4687"/>
      <c r="AD16" s="4688"/>
      <c r="AE16" s="4688"/>
      <c r="AF16" s="4688"/>
      <c r="AG16" s="4688"/>
      <c r="AH16" s="4688"/>
      <c r="AI16" s="4688"/>
      <c r="AJ16" s="4689"/>
      <c r="AK16" s="1143"/>
      <c r="AL16" s="1137"/>
      <c r="AO16" s="675"/>
      <c r="AP16" s="675"/>
      <c r="AQ16" s="675"/>
      <c r="AR16" s="675"/>
      <c r="AS16" s="675"/>
    </row>
    <row r="17" spans="1:47" ht="12" customHeight="1" x14ac:dyDescent="0.2">
      <c r="A17" s="1137"/>
      <c r="B17" s="2742"/>
      <c r="C17" s="4663"/>
      <c r="D17" s="4664"/>
      <c r="E17" s="4665"/>
      <c r="F17" s="4666"/>
      <c r="G17" s="4580"/>
      <c r="H17" s="4580"/>
      <c r="I17" s="4667"/>
      <c r="J17" s="2734"/>
      <c r="K17" s="1222" t="s">
        <v>1918</v>
      </c>
      <c r="L17" s="1225" t="s">
        <v>1915</v>
      </c>
      <c r="M17" s="4647" t="s">
        <v>1924</v>
      </c>
      <c r="N17" s="4647"/>
      <c r="O17" s="4647"/>
      <c r="P17" s="2549">
        <f>IF(Q17=0,30,"-")</f>
        <v>30</v>
      </c>
      <c r="Q17" s="2550"/>
      <c r="R17" s="2730" t="b">
        <f t="shared" si="1"/>
        <v>0</v>
      </c>
      <c r="S17" s="2364"/>
      <c r="T17" s="2364"/>
      <c r="U17" s="549"/>
      <c r="V17" s="4663" t="s">
        <v>1925</v>
      </c>
      <c r="W17" s="4690"/>
      <c r="X17" s="4698"/>
      <c r="Y17" s="4695"/>
      <c r="Z17" s="1226"/>
      <c r="AA17" s="4685"/>
      <c r="AB17" s="4686"/>
      <c r="AC17" s="4687"/>
      <c r="AD17" s="4688"/>
      <c r="AE17" s="4688"/>
      <c r="AF17" s="4688"/>
      <c r="AG17" s="4688"/>
      <c r="AH17" s="4688"/>
      <c r="AI17" s="4688"/>
      <c r="AJ17" s="4689"/>
      <c r="AK17" s="1143"/>
      <c r="AL17" s="1137"/>
      <c r="AO17" s="675"/>
      <c r="AP17" s="675"/>
      <c r="AQ17" s="675"/>
      <c r="AR17" s="675"/>
      <c r="AS17" s="675"/>
    </row>
    <row r="18" spans="1:47" ht="12" customHeight="1" x14ac:dyDescent="0.2">
      <c r="A18" s="1137"/>
      <c r="B18" s="2742"/>
      <c r="C18" s="4652" t="s">
        <v>1692</v>
      </c>
      <c r="D18" s="4654">
        <f>PDs!$AA36</f>
        <v>0</v>
      </c>
      <c r="E18" s="4656" t="str">
        <f>IF(OR(Tablas!$G$375&gt;0,Tablas!$G$17378&gt;0,$I$10&lt;&gt;"No"),"-",PDs!$AA$30)</f>
        <v>-</v>
      </c>
      <c r="F18" s="4658"/>
      <c r="G18" s="4590"/>
      <c r="H18" s="4590"/>
      <c r="I18" s="4659"/>
      <c r="J18" s="2734"/>
      <c r="K18" s="1222" t="s">
        <v>1918</v>
      </c>
      <c r="L18" s="1225" t="s">
        <v>1918</v>
      </c>
      <c r="M18" s="1225" t="s">
        <v>1926</v>
      </c>
      <c r="N18" s="4697" t="s">
        <v>1927</v>
      </c>
      <c r="O18" s="4697"/>
      <c r="P18" s="2549">
        <f>IF(Q18=0,20,"-")</f>
        <v>20</v>
      </c>
      <c r="Q18" s="2550"/>
      <c r="R18" s="2730" t="b">
        <f t="shared" si="1"/>
        <v>0</v>
      </c>
      <c r="S18" s="2364"/>
      <c r="T18" s="2364"/>
      <c r="U18" s="549"/>
      <c r="V18" s="4663"/>
      <c r="W18" s="4690"/>
      <c r="X18" s="4698"/>
      <c r="Y18" s="4695"/>
      <c r="Z18" s="1227"/>
      <c r="AA18" s="4685"/>
      <c r="AB18" s="4686"/>
      <c r="AC18" s="4687"/>
      <c r="AD18" s="4688"/>
      <c r="AE18" s="4688"/>
      <c r="AF18" s="4688"/>
      <c r="AG18" s="4688"/>
      <c r="AH18" s="4688"/>
      <c r="AI18" s="4688"/>
      <c r="AJ18" s="4689"/>
      <c r="AK18" s="1143"/>
      <c r="AL18" s="1137"/>
      <c r="AO18" s="675"/>
      <c r="AP18" s="675"/>
      <c r="AQ18" s="675"/>
      <c r="AR18" s="675"/>
      <c r="AS18" s="675"/>
    </row>
    <row r="19" spans="1:47" ht="12" customHeight="1" x14ac:dyDescent="0.2">
      <c r="A19" s="1137"/>
      <c r="B19" s="2742"/>
      <c r="C19" s="4652"/>
      <c r="D19" s="4654"/>
      <c r="E19" s="4656"/>
      <c r="F19" s="4658"/>
      <c r="G19" s="4590"/>
      <c r="H19" s="4590"/>
      <c r="I19" s="4659"/>
      <c r="J19" s="2734"/>
      <c r="K19" s="1222" t="s">
        <v>1918</v>
      </c>
      <c r="L19" s="1225" t="s">
        <v>1915</v>
      </c>
      <c r="M19" s="4647" t="s">
        <v>1928</v>
      </c>
      <c r="N19" s="4647"/>
      <c r="O19" s="4647"/>
      <c r="P19" s="2549">
        <f>IF(Q19=0,30,"-")</f>
        <v>30</v>
      </c>
      <c r="Q19" s="2550"/>
      <c r="R19" s="2730" t="b">
        <f t="shared" si="1"/>
        <v>0</v>
      </c>
      <c r="S19" s="2364"/>
      <c r="T19" s="2364"/>
      <c r="U19" s="549"/>
      <c r="V19" s="4663" t="s">
        <v>1929</v>
      </c>
      <c r="W19" s="4690"/>
      <c r="X19" s="4693"/>
      <c r="Y19" s="4695"/>
      <c r="Z19" s="1227"/>
      <c r="AA19" s="4685"/>
      <c r="AB19" s="4686"/>
      <c r="AC19" s="4687"/>
      <c r="AD19" s="4688"/>
      <c r="AE19" s="4688"/>
      <c r="AF19" s="4688"/>
      <c r="AG19" s="4688"/>
      <c r="AH19" s="4688"/>
      <c r="AI19" s="4688"/>
      <c r="AJ19" s="4689"/>
      <c r="AK19" s="1143"/>
      <c r="AL19" s="1137"/>
      <c r="AM19" s="1182"/>
      <c r="AO19" s="675"/>
      <c r="AP19" s="675"/>
      <c r="AQ19" s="675"/>
      <c r="AR19" s="675"/>
      <c r="AS19" s="675"/>
    </row>
    <row r="20" spans="1:47" ht="12" customHeight="1" thickBot="1" x14ac:dyDescent="0.25">
      <c r="A20" s="1137"/>
      <c r="B20" s="2742"/>
      <c r="C20" s="4663" t="s">
        <v>1700</v>
      </c>
      <c r="D20" s="4664">
        <f>PDs!$AA37</f>
        <v>0</v>
      </c>
      <c r="E20" s="4665" t="str">
        <f>IF(OR(Tablas!$G$375&gt;0,Tablas!$G$17378&gt;0,$I$10&lt;&gt;"No"),"-",PDs!$AA$31)</f>
        <v>-</v>
      </c>
      <c r="F20" s="4666"/>
      <c r="G20" s="4580"/>
      <c r="H20" s="4580"/>
      <c r="I20" s="4667"/>
      <c r="J20" s="2734"/>
      <c r="K20" s="1222" t="s">
        <v>1918</v>
      </c>
      <c r="L20" s="1225" t="s">
        <v>1918</v>
      </c>
      <c r="M20" s="1225" t="s">
        <v>1915</v>
      </c>
      <c r="N20" s="4629" t="s">
        <v>1930</v>
      </c>
      <c r="O20" s="4629"/>
      <c r="P20" s="2549">
        <f>IF(Q20=0,30,"-")</f>
        <v>30</v>
      </c>
      <c r="Q20" s="2550"/>
      <c r="R20" s="2730" t="b">
        <f t="shared" si="1"/>
        <v>0</v>
      </c>
      <c r="S20" s="2364"/>
      <c r="T20" s="2364"/>
      <c r="U20" s="549"/>
      <c r="V20" s="4691"/>
      <c r="W20" s="4692"/>
      <c r="X20" s="4694"/>
      <c r="Y20" s="4696"/>
      <c r="Z20" s="1227"/>
      <c r="AA20" s="4682"/>
      <c r="AB20" s="4683"/>
      <c r="AC20" s="4684"/>
      <c r="AD20" s="4668"/>
      <c r="AE20" s="4668"/>
      <c r="AF20" s="4668"/>
      <c r="AG20" s="4668"/>
      <c r="AH20" s="4668"/>
      <c r="AI20" s="4668"/>
      <c r="AJ20" s="4669"/>
      <c r="AK20" s="1143"/>
      <c r="AL20" s="1137"/>
      <c r="AM20" s="1196"/>
      <c r="AN20" s="1185"/>
      <c r="AO20" s="1185"/>
      <c r="AP20" s="1185"/>
      <c r="AQ20" s="1185"/>
      <c r="AR20" s="1185"/>
      <c r="AS20" s="1185"/>
      <c r="AT20" s="1185"/>
      <c r="AU20" s="1185"/>
    </row>
    <row r="21" spans="1:47" ht="12" customHeight="1" thickBot="1" x14ac:dyDescent="0.25">
      <c r="A21" s="1137"/>
      <c r="B21" s="2742"/>
      <c r="C21" s="4663"/>
      <c r="D21" s="4664"/>
      <c r="E21" s="4665"/>
      <c r="F21" s="4666"/>
      <c r="G21" s="4580"/>
      <c r="H21" s="4580"/>
      <c r="I21" s="4667"/>
      <c r="J21" s="2734"/>
      <c r="K21" s="1222" t="s">
        <v>1918</v>
      </c>
      <c r="L21" s="1225" t="s">
        <v>1918</v>
      </c>
      <c r="M21" s="1225" t="s">
        <v>1918</v>
      </c>
      <c r="N21" s="4647" t="s">
        <v>1931</v>
      </c>
      <c r="O21" s="4647"/>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652" t="s">
        <v>1701</v>
      </c>
      <c r="D22" s="4654">
        <f>PDs!$AA38</f>
        <v>0</v>
      </c>
      <c r="E22" s="4656" t="str">
        <f>IF(OR(Tablas!$G$375&gt;0,Tablas!$G$17378&gt;0,$I$10&lt;&gt;"No"),"-",PDs!$AA$32)</f>
        <v>-</v>
      </c>
      <c r="F22" s="4658"/>
      <c r="G22" s="4590"/>
      <c r="H22" s="4590"/>
      <c r="I22" s="4659"/>
      <c r="J22" s="2734"/>
      <c r="K22" s="1222" t="s">
        <v>1918</v>
      </c>
      <c r="L22" s="1225" t="s">
        <v>1918</v>
      </c>
      <c r="M22" s="1225" t="s">
        <v>1926</v>
      </c>
      <c r="N22" s="4629" t="s">
        <v>1932</v>
      </c>
      <c r="O22" s="4629"/>
      <c r="P22" s="2549">
        <f>IF(Q22=0,30,"-")</f>
        <v>30</v>
      </c>
      <c r="Q22" s="2550"/>
      <c r="R22" s="2730" t="b">
        <f t="shared" si="1"/>
        <v>0</v>
      </c>
      <c r="S22" s="2364"/>
      <c r="T22" s="2364"/>
      <c r="U22" s="549"/>
      <c r="V22" s="4312" t="s">
        <v>1903</v>
      </c>
      <c r="W22" s="4313"/>
      <c r="X22" s="4313"/>
      <c r="Y22" s="4313"/>
      <c r="Z22" s="4313"/>
      <c r="AA22" s="4314"/>
      <c r="AB22" s="1259" t="s">
        <v>1811</v>
      </c>
      <c r="AD22" s="4312" t="s">
        <v>1903</v>
      </c>
      <c r="AE22" s="4313"/>
      <c r="AF22" s="4313"/>
      <c r="AG22" s="4313"/>
      <c r="AH22" s="4313"/>
      <c r="AI22" s="4314"/>
      <c r="AJ22" s="1259" t="s">
        <v>1811</v>
      </c>
      <c r="AK22" s="1143"/>
      <c r="AL22" s="1137"/>
      <c r="AM22" s="1196"/>
      <c r="AN22" s="1185"/>
      <c r="AO22" s="1185"/>
      <c r="AP22" s="1185"/>
      <c r="AQ22" s="1185"/>
      <c r="AR22" s="1185"/>
      <c r="AS22" s="1185"/>
      <c r="AT22" s="1185"/>
      <c r="AU22" s="1185"/>
    </row>
    <row r="23" spans="1:47" ht="12" customHeight="1" x14ac:dyDescent="0.2">
      <c r="A23" s="1137"/>
      <c r="B23" s="2742"/>
      <c r="C23" s="4653"/>
      <c r="D23" s="4655"/>
      <c r="E23" s="4657"/>
      <c r="F23" s="4660"/>
      <c r="G23" s="4661"/>
      <c r="H23" s="4661"/>
      <c r="I23" s="4662"/>
      <c r="J23" s="2734"/>
      <c r="K23" s="1222" t="s">
        <v>1918</v>
      </c>
      <c r="L23" s="1225" t="s">
        <v>1918</v>
      </c>
      <c r="M23" s="1228"/>
      <c r="N23" s="4647" t="s">
        <v>1933</v>
      </c>
      <c r="O23" s="4647"/>
      <c r="P23" s="2549">
        <f>IF(Q23=0,40,"-")</f>
        <v>40</v>
      </c>
      <c r="Q23" s="2550"/>
      <c r="R23" s="2730" t="b">
        <f t="shared" si="1"/>
        <v>0</v>
      </c>
      <c r="S23" s="2364"/>
      <c r="T23" s="2364"/>
      <c r="U23" s="1229">
        <f>IF(V23=0,0,1)</f>
        <v>0</v>
      </c>
      <c r="V23" s="4648"/>
      <c r="W23" s="4649"/>
      <c r="X23" s="4649"/>
      <c r="Y23" s="4649"/>
      <c r="Z23" s="4649"/>
      <c r="AA23" s="4650"/>
      <c r="AB23" s="4651" t="str">
        <f>IF(V23="","",VLOOKUP(V23,'Tablas Técnicas'!$AD$5:$AI$188,3,FALSE))</f>
        <v/>
      </c>
      <c r="AD23" s="4648"/>
      <c r="AE23" s="4649"/>
      <c r="AF23" s="4649"/>
      <c r="AG23" s="4649"/>
      <c r="AH23" s="4649"/>
      <c r="AI23" s="4650"/>
      <c r="AJ23" s="4651"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670">
        <f>D12+D14+D16+D18+D20+D22</f>
        <v>0</v>
      </c>
      <c r="E24" s="4672">
        <f>IF(OR(Tablas!$G$375&gt;0,Tablas!$H$1384&gt;0),((PDs!AA31*6)+(PDs!V27+PDs!V28+PDs!V29+PDs!V30+PDs!V31+PDs!V32)),SUM(PDs!$AA$27:$AA$32))</f>
        <v>0</v>
      </c>
      <c r="F24" s="4674" t="str">
        <f>IF(I10&lt;&gt;"no","Nota: Las acumulaciones no se unifican con Unificación del Ki","")</f>
        <v>Nota: Las acumulaciones no se unifican con Unificación del Ki</v>
      </c>
      <c r="G24" s="4675"/>
      <c r="H24" s="4675"/>
      <c r="I24" s="4676"/>
      <c r="J24" s="2734"/>
      <c r="K24" s="1222" t="s">
        <v>1918</v>
      </c>
      <c r="L24" s="1225" t="s">
        <v>1926</v>
      </c>
      <c r="M24" s="4629" t="s">
        <v>1935</v>
      </c>
      <c r="N24" s="4629"/>
      <c r="O24" s="4629"/>
      <c r="P24" s="2549">
        <f>IF(Q24=0,20,"-")</f>
        <v>20</v>
      </c>
      <c r="Q24" s="2550"/>
      <c r="R24" s="2730" t="b">
        <f t="shared" si="1"/>
        <v>0</v>
      </c>
      <c r="S24" s="2364"/>
      <c r="T24" s="2364"/>
      <c r="U24" s="1229"/>
      <c r="V24" s="4680" t="str">
        <f>IF(V23="","",VLOOKUP(V23,'Tablas Técnicas'!$AD$5:$AI$188,4,FALSE))</f>
        <v/>
      </c>
      <c r="W24" s="4681"/>
      <c r="X24" s="4681"/>
      <c r="Y24" s="4681"/>
      <c r="Z24" s="1284" t="s">
        <v>1627</v>
      </c>
      <c r="AA24" s="1381" t="str">
        <f>IF(V23="","",VLOOKUP(V23,'Tablas Técnicas'!$AD$5:$AI$188,2,FALSE))</f>
        <v/>
      </c>
      <c r="AB24" s="4582"/>
      <c r="AD24" s="4680" t="str">
        <f>IF(AD23="","",VLOOKUP(AD23,'Tablas Técnicas'!$AD$5:$AI$188,4,FALSE))</f>
        <v/>
      </c>
      <c r="AE24" s="4681"/>
      <c r="AF24" s="4681"/>
      <c r="AG24" s="4681"/>
      <c r="AH24" s="1264" t="s">
        <v>1627</v>
      </c>
      <c r="AI24" s="1266" t="str">
        <f>IF(AD23="","",VLOOKUP(AD23,'Tablas Técnicas'!$AD$5:$AI$188,2,FALSE))</f>
        <v/>
      </c>
      <c r="AJ24" s="4582"/>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71"/>
      <c r="E25" s="4673"/>
      <c r="F25" s="4677"/>
      <c r="G25" s="4678"/>
      <c r="H25" s="4678"/>
      <c r="I25" s="4679"/>
      <c r="J25" s="2734"/>
      <c r="K25" s="1222" t="s">
        <v>1915</v>
      </c>
      <c r="L25" s="4629" t="s">
        <v>1936</v>
      </c>
      <c r="M25" s="4629"/>
      <c r="N25" s="4629"/>
      <c r="O25" s="4629"/>
      <c r="P25" s="2549">
        <f>IF(Q25=0,50,"-")</f>
        <v>50</v>
      </c>
      <c r="Q25" s="2550"/>
      <c r="R25" s="2730" t="b">
        <f t="shared" si="1"/>
        <v>0</v>
      </c>
      <c r="S25" s="2364"/>
      <c r="T25" s="2364"/>
      <c r="U25" s="1229">
        <f t="shared" ref="U25:U63" si="2">IF(V25=0,0,1)</f>
        <v>0</v>
      </c>
      <c r="V25" s="4589"/>
      <c r="W25" s="4590"/>
      <c r="X25" s="4590"/>
      <c r="Y25" s="4590"/>
      <c r="Z25" s="4590"/>
      <c r="AA25" s="4591"/>
      <c r="AB25" s="4592" t="str">
        <f>IF(V25="","",VLOOKUP(V25,'Tablas Técnicas'!$AD$5:$AI$188,3,FALSE))</f>
        <v/>
      </c>
      <c r="AD25" s="4589"/>
      <c r="AE25" s="4590"/>
      <c r="AF25" s="4590"/>
      <c r="AG25" s="4590"/>
      <c r="AH25" s="4590"/>
      <c r="AI25" s="4591"/>
      <c r="AJ25" s="4592"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629" t="s">
        <v>1937</v>
      </c>
      <c r="M26" s="4629"/>
      <c r="N26" s="4629"/>
      <c r="O26" s="4629"/>
      <c r="P26" s="2549">
        <f>IF(Q26=0,20,"-")</f>
        <v>20</v>
      </c>
      <c r="Q26" s="2550"/>
      <c r="R26" s="2730" t="b">
        <f t="shared" si="1"/>
        <v>0</v>
      </c>
      <c r="S26" s="2364"/>
      <c r="T26" s="2364"/>
      <c r="U26" s="1229"/>
      <c r="V26" s="4593" t="str">
        <f>IF(V25="","",VLOOKUP(V25,'Tablas Técnicas'!$AD$5:$AI$188,4,FALSE))</f>
        <v/>
      </c>
      <c r="W26" s="4594"/>
      <c r="X26" s="4594"/>
      <c r="Y26" s="4594"/>
      <c r="Z26" s="1200" t="s">
        <v>1627</v>
      </c>
      <c r="AA26" s="1231" t="str">
        <f>IF(V25="","",VLOOKUP(V25,'Tablas Técnicas'!$AD$5:$AI$188,2,FALSE))</f>
        <v/>
      </c>
      <c r="AB26" s="4592"/>
      <c r="AD26" s="4593" t="str">
        <f>IF(AD25="","",VLOOKUP(AD25,'Tablas Técnicas'!$AD$5:$AI$188,4,FALSE))</f>
        <v/>
      </c>
      <c r="AE26" s="4594"/>
      <c r="AF26" s="4594"/>
      <c r="AG26" s="4594"/>
      <c r="AH26" s="1200" t="s">
        <v>1627</v>
      </c>
      <c r="AI26" s="1231" t="str">
        <f>IF(AD25="","",VLOOKUP(AD25,'Tablas Técnicas'!$AD$5:$AI$188,2,FALSE))</f>
        <v/>
      </c>
      <c r="AJ26" s="4592"/>
      <c r="AK26" s="1143"/>
      <c r="AL26" s="1137"/>
      <c r="AM26" s="1185"/>
      <c r="AN26" s="1185"/>
      <c r="AO26" s="1185"/>
      <c r="AP26" s="1185"/>
      <c r="AQ26" s="1185"/>
      <c r="AR26" s="1185"/>
      <c r="AS26" s="1185"/>
      <c r="AT26" s="1185"/>
      <c r="AU26" s="1185"/>
    </row>
    <row r="27" spans="1:47" ht="12" customHeight="1" thickBot="1" x14ac:dyDescent="0.25">
      <c r="A27" s="1137"/>
      <c r="B27" s="2742"/>
      <c r="C27" s="4377" t="s">
        <v>1938</v>
      </c>
      <c r="D27" s="4378"/>
      <c r="E27" s="4378"/>
      <c r="F27" s="4379"/>
      <c r="G27" s="2257"/>
      <c r="H27" s="4633" t="s">
        <v>1939</v>
      </c>
      <c r="I27" s="4634"/>
      <c r="J27" s="2734"/>
      <c r="K27" s="4586" t="s">
        <v>1940</v>
      </c>
      <c r="L27" s="4588"/>
      <c r="M27" s="4588"/>
      <c r="N27" s="4588"/>
      <c r="O27" s="4588"/>
      <c r="P27" s="2549">
        <f>IF(Q27=0,10,"-")</f>
        <v>10</v>
      </c>
      <c r="Q27" s="2550"/>
      <c r="R27" s="2730" t="b">
        <f t="shared" si="1"/>
        <v>0</v>
      </c>
      <c r="S27" s="2364"/>
      <c r="T27" s="2364"/>
      <c r="U27" s="1229">
        <f t="shared" si="2"/>
        <v>0</v>
      </c>
      <c r="V27" s="4579"/>
      <c r="W27" s="4580"/>
      <c r="X27" s="4580"/>
      <c r="Y27" s="4580"/>
      <c r="Z27" s="4580"/>
      <c r="AA27" s="4581"/>
      <c r="AB27" s="4582" t="str">
        <f>IF(V27="","",VLOOKUP(V27,'Tablas Técnicas'!$AD$5:$AI$188,3,FALSE))</f>
        <v/>
      </c>
      <c r="AD27" s="4579"/>
      <c r="AE27" s="4580"/>
      <c r="AF27" s="4580"/>
      <c r="AG27" s="4580"/>
      <c r="AH27" s="4580"/>
      <c r="AI27" s="4581"/>
      <c r="AJ27" s="4582"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41" t="s">
        <v>1941</v>
      </c>
      <c r="D28" s="4642"/>
      <c r="E28" s="4643" t="s">
        <v>1942</v>
      </c>
      <c r="F28" s="4644"/>
      <c r="G28" s="3020">
        <f>Tablas!H967</f>
        <v>0</v>
      </c>
      <c r="H28" s="4645"/>
      <c r="I28" s="4646"/>
      <c r="J28" s="2734"/>
      <c r="K28" s="1222" t="s">
        <v>1926</v>
      </c>
      <c r="L28" s="4629" t="s">
        <v>1943</v>
      </c>
      <c r="M28" s="4629"/>
      <c r="N28" s="4629"/>
      <c r="O28" s="4629"/>
      <c r="P28" s="2549">
        <f>IF(Q28=0,20,"-")</f>
        <v>20</v>
      </c>
      <c r="Q28" s="2550"/>
      <c r="R28" s="2730" t="b">
        <f t="shared" si="1"/>
        <v>0</v>
      </c>
      <c r="S28" s="2364"/>
      <c r="T28" s="2364"/>
      <c r="U28" s="1229"/>
      <c r="V28" s="4285" t="str">
        <f>IF(V27="","",VLOOKUP(V27,'Tablas Técnicas'!$AD$5:$AI$188,4,FALSE))</f>
        <v/>
      </c>
      <c r="W28" s="4351"/>
      <c r="X28" s="4351"/>
      <c r="Y28" s="4351"/>
      <c r="Z28" s="1264" t="s">
        <v>1627</v>
      </c>
      <c r="AA28" s="1266" t="str">
        <f>IF(V27="","",VLOOKUP(V27,'Tablas Técnicas'!$AD$5:$AI$188,2,FALSE))</f>
        <v/>
      </c>
      <c r="AB28" s="4582"/>
      <c r="AD28" s="4285" t="str">
        <f>IF(AD27="","",VLOOKUP(AD27,'Tablas Técnicas'!$AD$5:$AI$188,4,FALSE))</f>
        <v/>
      </c>
      <c r="AE28" s="4351"/>
      <c r="AF28" s="4351"/>
      <c r="AG28" s="4351"/>
      <c r="AH28" s="1264" t="s">
        <v>1627</v>
      </c>
      <c r="AI28" s="1266" t="str">
        <f>IF(AD27="","",VLOOKUP(AD27,'Tablas Técnicas'!$AD$5:$AI$188,2,FALSE))</f>
        <v/>
      </c>
      <c r="AJ28" s="4582"/>
      <c r="AK28" s="1143"/>
      <c r="AL28" s="1137"/>
      <c r="AM28" s="1185"/>
      <c r="AN28" s="1185"/>
      <c r="AO28" s="1185"/>
      <c r="AP28" s="1185"/>
      <c r="AQ28" s="1185"/>
      <c r="AR28" s="1185"/>
      <c r="AS28" s="1185"/>
      <c r="AT28" s="1185"/>
      <c r="AU28" s="1185"/>
    </row>
    <row r="29" spans="1:47" ht="12" customHeight="1" x14ac:dyDescent="0.2">
      <c r="A29" s="1137"/>
      <c r="B29" s="2742"/>
      <c r="C29" s="4635">
        <f>CM_final</f>
        <v>0</v>
      </c>
      <c r="D29" s="4636"/>
      <c r="E29" s="4636">
        <f>SUM(Q10:Q64)+SUM(I43:I64)+IF(I40="",0,I40)+IF(I41="",0,I41)+SUM(PDs!$AA$78:$AA$82)+IF(X11=0,0,30)+IF(X13=0,0,30)+IF(X15=0,0,30)+IF(X17=0,0,30)+IF(X19=0,0,30)+IF(Y11=0,0,60)+IF(Y13=0,0,60)+IF(Y15=0,0,60)+IF(Y17=0,0,60)+IF(Y19=0,0,60)+IF(H28=0,0,5)+IF(H29=0,0,5)+IF(H30=0,0,10)+IF(H31=0,0,10)+IF(H32=0,0,15)+IF(H33=0,0,15)+IF(H34=0,0,20)+IF(H35=0,0,20)+IF(H36=0,0,25)+IF(H37=0,0,25)+SUM(AB23:AB64)+SUM(AJ23:AJ64)</f>
        <v>0</v>
      </c>
      <c r="F29" s="4639"/>
      <c r="G29" s="2257"/>
      <c r="H29" s="4623"/>
      <c r="I29" s="4624"/>
      <c r="J29" s="2734"/>
      <c r="K29" s="1232"/>
      <c r="L29" s="1225" t="s">
        <v>1915</v>
      </c>
      <c r="M29" s="4629" t="s">
        <v>1944</v>
      </c>
      <c r="N29" s="4629"/>
      <c r="O29" s="4629"/>
      <c r="P29" s="2549">
        <f>IF(Q29=0,10,"-")</f>
        <v>10</v>
      </c>
      <c r="Q29" s="2550"/>
      <c r="R29" s="2730" t="b">
        <f t="shared" si="1"/>
        <v>0</v>
      </c>
      <c r="S29" s="2364"/>
      <c r="T29" s="2364"/>
      <c r="U29" s="1229">
        <f t="shared" si="2"/>
        <v>0</v>
      </c>
      <c r="V29" s="4589"/>
      <c r="W29" s="4590"/>
      <c r="X29" s="4590"/>
      <c r="Y29" s="4590"/>
      <c r="Z29" s="4590"/>
      <c r="AA29" s="4591"/>
      <c r="AB29" s="4592" t="str">
        <f>IF(V29="","",VLOOKUP(V29,'Tablas Técnicas'!$AD$5:$AI$188,3,FALSE))</f>
        <v/>
      </c>
      <c r="AD29" s="4589"/>
      <c r="AE29" s="4590"/>
      <c r="AF29" s="4590"/>
      <c r="AG29" s="4590"/>
      <c r="AH29" s="4590"/>
      <c r="AI29" s="4591"/>
      <c r="AJ29" s="4592"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37"/>
      <c r="D30" s="4638"/>
      <c r="E30" s="4638"/>
      <c r="F30" s="4640"/>
      <c r="G30" s="2257"/>
      <c r="H30" s="4620"/>
      <c r="I30" s="4621"/>
      <c r="J30" s="2734"/>
      <c r="K30" s="1232"/>
      <c r="L30" s="1225" t="s">
        <v>1918</v>
      </c>
      <c r="M30" s="1225" t="s">
        <v>1926</v>
      </c>
      <c r="N30" s="2808" t="s">
        <v>10010</v>
      </c>
      <c r="O30" s="2808"/>
      <c r="P30" s="2549">
        <f>IF(Q30=0,20,"-")</f>
        <v>20</v>
      </c>
      <c r="Q30" s="2550"/>
      <c r="R30" s="2730" t="b">
        <f t="shared" si="1"/>
        <v>0</v>
      </c>
      <c r="S30" s="2364"/>
      <c r="T30" s="2364"/>
      <c r="U30" s="1229"/>
      <c r="V30" s="4593" t="str">
        <f>IF(V29="","",VLOOKUP(V29,'Tablas Técnicas'!$AD$5:$AI$188,4,FALSE))</f>
        <v/>
      </c>
      <c r="W30" s="4594"/>
      <c r="X30" s="4594"/>
      <c r="Y30" s="4594"/>
      <c r="Z30" s="1200" t="s">
        <v>1627</v>
      </c>
      <c r="AA30" s="1231" t="str">
        <f>IF(V29="","",VLOOKUP(V29,'Tablas Técnicas'!$AD$5:$AI$188,2,FALSE))</f>
        <v/>
      </c>
      <c r="AB30" s="4592"/>
      <c r="AD30" s="4593" t="str">
        <f>IF(AD29="","",VLOOKUP(AD29,'Tablas Técnicas'!$AD$5:$AI$188,4,FALSE))</f>
        <v/>
      </c>
      <c r="AE30" s="4594"/>
      <c r="AF30" s="4594"/>
      <c r="AG30" s="4594"/>
      <c r="AH30" s="1200" t="s">
        <v>1627</v>
      </c>
      <c r="AI30" s="1231" t="str">
        <f>IF(AD29="","",VLOOKUP(AD29,'Tablas Técnicas'!$AD$5:$AI$188,2,FALSE))</f>
        <v/>
      </c>
      <c r="AJ30" s="4592"/>
      <c r="AK30" s="1143"/>
      <c r="AL30" s="1137"/>
      <c r="AM30" s="1185"/>
      <c r="AN30" s="1185"/>
      <c r="AO30" s="1185"/>
      <c r="AP30" s="1185"/>
      <c r="AQ30" s="1185"/>
      <c r="AR30" s="1185"/>
      <c r="AS30" s="1185"/>
      <c r="AT30" s="1185"/>
      <c r="AU30" s="1185"/>
    </row>
    <row r="31" spans="1:47" ht="12" customHeight="1" thickBot="1" x14ac:dyDescent="0.25">
      <c r="A31" s="1137"/>
      <c r="B31" s="2742"/>
      <c r="C31" s="4630" t="str">
        <f>IF(E29&gt;C29,"Exceso de CM",IF(Tablas!$X$21,IF(E29&gt;C29*VLOOKUP(Nivel_Sobrenatural,Tablas!$S$9:$X$12,4,FALSE),"Exceso de CM inicial",""),""))</f>
        <v/>
      </c>
      <c r="D31" s="4631"/>
      <c r="E31" s="4631"/>
      <c r="F31" s="4632"/>
      <c r="G31" s="2257"/>
      <c r="H31" s="4620"/>
      <c r="I31" s="4621"/>
      <c r="J31" s="2734"/>
      <c r="K31" s="1232"/>
      <c r="L31" s="1225" t="s">
        <v>1926</v>
      </c>
      <c r="M31" s="4629" t="s">
        <v>1945</v>
      </c>
      <c r="N31" s="4629"/>
      <c r="O31" s="4629"/>
      <c r="P31" s="2549">
        <f>IF(Q31=0,20,"-")</f>
        <v>20</v>
      </c>
      <c r="Q31" s="2550"/>
      <c r="R31" s="2730" t="b">
        <f t="shared" si="1"/>
        <v>0</v>
      </c>
      <c r="S31" s="2364"/>
      <c r="T31" s="2364"/>
      <c r="U31" s="1229">
        <f t="shared" si="2"/>
        <v>0</v>
      </c>
      <c r="V31" s="4579"/>
      <c r="W31" s="4580"/>
      <c r="X31" s="4580"/>
      <c r="Y31" s="4580"/>
      <c r="Z31" s="4580"/>
      <c r="AA31" s="4581"/>
      <c r="AB31" s="4582" t="str">
        <f>IF(V31="","",VLOOKUP(V31,'Tablas Técnicas'!$AD$5:$AI$188,3,FALSE))</f>
        <v/>
      </c>
      <c r="AD31" s="4579"/>
      <c r="AE31" s="4580"/>
      <c r="AF31" s="4580"/>
      <c r="AG31" s="4580"/>
      <c r="AH31" s="4580"/>
      <c r="AI31" s="4581"/>
      <c r="AJ31" s="4582"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623"/>
      <c r="I32" s="4624"/>
      <c r="J32" s="2734"/>
      <c r="K32" s="4586" t="s">
        <v>1946</v>
      </c>
      <c r="L32" s="4587"/>
      <c r="M32" s="4587"/>
      <c r="N32" s="4587"/>
      <c r="O32" s="4587"/>
      <c r="P32" s="2549">
        <f>IF(Q32=0,10,"-")</f>
        <v>10</v>
      </c>
      <c r="Q32" s="2550"/>
      <c r="R32" s="2730" t="b">
        <f t="shared" si="1"/>
        <v>0</v>
      </c>
      <c r="S32" s="2364"/>
      <c r="T32" s="2364"/>
      <c r="U32" s="1229"/>
      <c r="V32" s="4285" t="str">
        <f>IF(V31="","",VLOOKUP(V31,'Tablas Técnicas'!$AD$5:$AI$188,4,FALSE))</f>
        <v/>
      </c>
      <c r="W32" s="4351"/>
      <c r="X32" s="4351"/>
      <c r="Y32" s="4351"/>
      <c r="Z32" s="1264" t="s">
        <v>1627</v>
      </c>
      <c r="AA32" s="1266" t="str">
        <f>IF(V31="","",VLOOKUP(V31,'Tablas Técnicas'!$AD$5:$AI$188,2,FALSE))</f>
        <v/>
      </c>
      <c r="AB32" s="4582"/>
      <c r="AD32" s="4285" t="str">
        <f>IF(AD31="","",VLOOKUP(AD31,'Tablas Técnicas'!$AD$5:$AI$188,4,FALSE))</f>
        <v/>
      </c>
      <c r="AE32" s="4351"/>
      <c r="AF32" s="4351"/>
      <c r="AG32" s="4351"/>
      <c r="AH32" s="1264" t="s">
        <v>1627</v>
      </c>
      <c r="AI32" s="1266" t="str">
        <f>IF(AD31="","",VLOOKUP(AD31,'Tablas Técnicas'!$AD$5:$AI$188,2,FALSE))</f>
        <v/>
      </c>
      <c r="AJ32" s="4582"/>
      <c r="AK32" s="1143"/>
      <c r="AL32" s="1137"/>
      <c r="AM32" s="1185"/>
      <c r="AN32" s="1185"/>
      <c r="AO32" s="1185"/>
      <c r="AP32" s="1185"/>
      <c r="AQ32" s="1185"/>
      <c r="AR32" s="1185"/>
      <c r="AS32" s="1185"/>
      <c r="AT32" s="1185"/>
      <c r="AU32" s="1185"/>
    </row>
    <row r="33" spans="1:50" ht="12" customHeight="1" thickBot="1" x14ac:dyDescent="0.25">
      <c r="A33" s="1137"/>
      <c r="B33" s="2742"/>
      <c r="C33" s="4377" t="s">
        <v>1947</v>
      </c>
      <c r="D33" s="4378"/>
      <c r="E33" s="4378"/>
      <c r="F33" s="4379"/>
      <c r="G33" s="2257"/>
      <c r="H33" s="4623"/>
      <c r="I33" s="4624"/>
      <c r="J33" s="2734"/>
      <c r="K33" s="1222" t="s">
        <v>1915</v>
      </c>
      <c r="L33" s="4588" t="s">
        <v>1948</v>
      </c>
      <c r="M33" s="4587"/>
      <c r="N33" s="4587"/>
      <c r="O33" s="4587"/>
      <c r="P33" s="2549">
        <f t="shared" ref="P33:P40" si="3">IF(Q33=0,10,"-")</f>
        <v>10</v>
      </c>
      <c r="Q33" s="2550"/>
      <c r="R33" s="2730" t="b">
        <f t="shared" si="1"/>
        <v>0</v>
      </c>
      <c r="S33" s="2364"/>
      <c r="T33" s="2364"/>
      <c r="U33" s="1229">
        <f t="shared" si="2"/>
        <v>0</v>
      </c>
      <c r="V33" s="4589"/>
      <c r="W33" s="4590"/>
      <c r="X33" s="4590"/>
      <c r="Y33" s="4590"/>
      <c r="Z33" s="4590"/>
      <c r="AA33" s="4591"/>
      <c r="AB33" s="4592" t="str">
        <f>IF(V33="","",VLOOKUP(V33,'Tablas Técnicas'!$AD$5:$AI$188,3,FALSE))</f>
        <v/>
      </c>
      <c r="AD33" s="4589"/>
      <c r="AE33" s="4590"/>
      <c r="AF33" s="4590"/>
      <c r="AG33" s="4590"/>
      <c r="AH33" s="4590"/>
      <c r="AI33" s="4591"/>
      <c r="AJ33" s="4592"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625" t="s">
        <v>1684</v>
      </c>
      <c r="D34" s="4626"/>
      <c r="E34" s="2551" t="s">
        <v>1728</v>
      </c>
      <c r="F34" s="1233" t="s">
        <v>1658</v>
      </c>
      <c r="G34" s="2257"/>
      <c r="H34" s="4620"/>
      <c r="I34" s="4621"/>
      <c r="J34" s="2734"/>
      <c r="K34" s="1222" t="s">
        <v>1949</v>
      </c>
      <c r="L34" s="1225" t="s">
        <v>1926</v>
      </c>
      <c r="M34" s="4588" t="s">
        <v>1950</v>
      </c>
      <c r="N34" s="4588"/>
      <c r="O34" s="4588"/>
      <c r="P34" s="2549">
        <f t="shared" si="3"/>
        <v>10</v>
      </c>
      <c r="Q34" s="2550"/>
      <c r="R34" s="2730" t="b">
        <f t="shared" si="1"/>
        <v>0</v>
      </c>
      <c r="S34" s="2364"/>
      <c r="T34" s="2364"/>
      <c r="U34" s="1229"/>
      <c r="V34" s="4593" t="str">
        <f>IF(V33="","",VLOOKUP(V33,'Tablas Técnicas'!$AD$5:$AI$188,4,FALSE))</f>
        <v/>
      </c>
      <c r="W34" s="4594"/>
      <c r="X34" s="4594"/>
      <c r="Y34" s="4594"/>
      <c r="Z34" s="1200" t="s">
        <v>1627</v>
      </c>
      <c r="AA34" s="1231" t="str">
        <f>IF(V33="","",VLOOKUP(V33,'Tablas Técnicas'!$AD$5:$AI$188,2,FALSE))</f>
        <v/>
      </c>
      <c r="AB34" s="4592"/>
      <c r="AD34" s="4593" t="str">
        <f>IF(AD33="","",VLOOKUP(AD33,'Tablas Técnicas'!$AD$5:$AI$188,4,FALSE))</f>
        <v/>
      </c>
      <c r="AE34" s="4594"/>
      <c r="AF34" s="4594"/>
      <c r="AG34" s="4594"/>
      <c r="AH34" s="1200" t="s">
        <v>1627</v>
      </c>
      <c r="AI34" s="1231" t="str">
        <f>IF(AD33="","",VLOOKUP(AD33,'Tablas Técnicas'!$AD$5:$AI$188,2,FALSE))</f>
        <v/>
      </c>
      <c r="AJ34" s="4592"/>
      <c r="AK34" s="1143"/>
      <c r="AL34" s="1137"/>
      <c r="AM34" s="1185"/>
      <c r="AN34" s="1185"/>
      <c r="AO34" s="1185"/>
      <c r="AP34" s="1185"/>
      <c r="AQ34" s="1185"/>
      <c r="AR34" s="1185"/>
      <c r="AS34" s="1185"/>
      <c r="AT34" s="1185"/>
      <c r="AU34" s="1185"/>
    </row>
    <row r="35" spans="1:50" ht="12" customHeight="1" x14ac:dyDescent="0.2">
      <c r="A35" s="1137"/>
      <c r="B35" s="2742"/>
      <c r="C35" s="4618" t="s">
        <v>1951</v>
      </c>
      <c r="D35" s="4619"/>
      <c r="E35" s="2736"/>
      <c r="F35" s="1234" t="str">
        <f>IF(Ki!P13="-",TRUNC((Ki!C29+Advertir_final)/2+E35+Tablas!$CD$225+IF(Tablas!$G$379&gt;0,10*PDs!$R$15,0),0),"-")</f>
        <v>-</v>
      </c>
      <c r="G35" s="2257"/>
      <c r="H35" s="4620"/>
      <c r="I35" s="4621"/>
      <c r="J35" s="2737"/>
      <c r="K35" s="1222" t="s">
        <v>1949</v>
      </c>
      <c r="L35" s="1235"/>
      <c r="M35" s="1225" t="s">
        <v>1926</v>
      </c>
      <c r="N35" s="4622" t="s">
        <v>1952</v>
      </c>
      <c r="O35" s="4622"/>
      <c r="P35" s="2549">
        <f t="shared" si="3"/>
        <v>10</v>
      </c>
      <c r="Q35" s="2550"/>
      <c r="R35" s="2730" t="b">
        <f t="shared" si="1"/>
        <v>0</v>
      </c>
      <c r="S35" s="2364"/>
      <c r="T35" s="2364"/>
      <c r="U35" s="1229">
        <f t="shared" si="2"/>
        <v>0</v>
      </c>
      <c r="V35" s="4579"/>
      <c r="W35" s="4580"/>
      <c r="X35" s="4580"/>
      <c r="Y35" s="4580"/>
      <c r="Z35" s="4580"/>
      <c r="AA35" s="4581"/>
      <c r="AB35" s="4582" t="str">
        <f>IF(V35="","",VLOOKUP(V35,'Tablas Técnicas'!$AD$5:$AI$188,3,FALSE))</f>
        <v/>
      </c>
      <c r="AD35" s="4579"/>
      <c r="AE35" s="4580"/>
      <c r="AF35" s="4580"/>
      <c r="AG35" s="4580"/>
      <c r="AH35" s="4580"/>
      <c r="AI35" s="4581"/>
      <c r="AJ35" s="4582"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627" t="s">
        <v>1953</v>
      </c>
      <c r="D36" s="4628"/>
      <c r="E36" s="2738"/>
      <c r="F36" s="664" t="str">
        <f>IF(OcultacióndelKi,TRUNC((Ocultarse_final+Ki!$C$29)/2+E36+IF(Raza="D'Anjayni",50,0)+IF(Raza="Nephilim D'Anjayni",30,0)+Tablas!$CE$225+IF(Tablas!$G$374&gt;0,10*PDs!$R$15,0),0),"-")</f>
        <v>-</v>
      </c>
      <c r="G36" s="2257"/>
      <c r="H36" s="4623"/>
      <c r="I36" s="4624"/>
      <c r="J36" s="2737"/>
      <c r="K36" s="1222" t="s">
        <v>1915</v>
      </c>
      <c r="L36" s="4588" t="s">
        <v>1954</v>
      </c>
      <c r="M36" s="4587"/>
      <c r="N36" s="4587"/>
      <c r="O36" s="4587"/>
      <c r="P36" s="2549">
        <f t="shared" si="3"/>
        <v>10</v>
      </c>
      <c r="Q36" s="2550"/>
      <c r="R36" s="2730" t="b">
        <f t="shared" si="1"/>
        <v>0</v>
      </c>
      <c r="S36" s="2364"/>
      <c r="T36" s="2364"/>
      <c r="U36" s="1229"/>
      <c r="V36" s="4285" t="str">
        <f>IF(V35="","",VLOOKUP(V35,'Tablas Técnicas'!$AD$5:$AI$188,4,FALSE))</f>
        <v/>
      </c>
      <c r="W36" s="4351"/>
      <c r="X36" s="4351"/>
      <c r="Y36" s="4351"/>
      <c r="Z36" s="1264" t="s">
        <v>1627</v>
      </c>
      <c r="AA36" s="1266" t="str">
        <f>IF(V35="","",VLOOKUP(V35,'Tablas Técnicas'!$AD$5:$AI$188,2,FALSE))</f>
        <v/>
      </c>
      <c r="AB36" s="4582"/>
      <c r="AD36" s="4285" t="str">
        <f>IF(AD35="","",VLOOKUP(AD35,'Tablas Técnicas'!$AD$5:$AI$188,4,FALSE))</f>
        <v/>
      </c>
      <c r="AE36" s="4351"/>
      <c r="AF36" s="4351"/>
      <c r="AG36" s="4351"/>
      <c r="AH36" s="1264" t="s">
        <v>1627</v>
      </c>
      <c r="AI36" s="1266" t="str">
        <f>IF(AD35="","",VLOOKUP(AD35,'Tablas Técnicas'!$AD$5:$AI$188,2,FALSE))</f>
        <v/>
      </c>
      <c r="AJ36" s="4582"/>
      <c r="AK36" s="1143"/>
      <c r="AL36" s="1137"/>
      <c r="AM36" s="1185"/>
      <c r="AN36" s="1185"/>
      <c r="AO36" s="1185"/>
      <c r="AP36" s="1185"/>
      <c r="AQ36" s="1185"/>
      <c r="AR36" s="1185"/>
      <c r="AS36" s="1185"/>
      <c r="AT36" s="1185"/>
      <c r="AU36" s="1185"/>
    </row>
    <row r="37" spans="1:50" ht="12" customHeight="1" thickBot="1" x14ac:dyDescent="0.25">
      <c r="A37" s="1137"/>
      <c r="B37" s="2742"/>
      <c r="C37" s="4613"/>
      <c r="D37" s="4614"/>
      <c r="E37" s="4614"/>
      <c r="F37" s="4615"/>
      <c r="G37" s="2257"/>
      <c r="H37" s="4616"/>
      <c r="I37" s="4617"/>
      <c r="J37" s="2737"/>
      <c r="K37" s="1222" t="s">
        <v>1949</v>
      </c>
      <c r="L37" s="1225" t="s">
        <v>1915</v>
      </c>
      <c r="M37" s="4588" t="s">
        <v>1955</v>
      </c>
      <c r="N37" s="4588"/>
      <c r="O37" s="4588"/>
      <c r="P37" s="2549">
        <f t="shared" si="3"/>
        <v>10</v>
      </c>
      <c r="Q37" s="2550"/>
      <c r="R37" s="2730" t="b">
        <f t="shared" si="1"/>
        <v>0</v>
      </c>
      <c r="S37" s="2364"/>
      <c r="T37" s="2364"/>
      <c r="U37" s="1229">
        <f t="shared" si="2"/>
        <v>0</v>
      </c>
      <c r="V37" s="4589"/>
      <c r="W37" s="4590"/>
      <c r="X37" s="4590"/>
      <c r="Y37" s="4590"/>
      <c r="Z37" s="4590"/>
      <c r="AA37" s="4591"/>
      <c r="AB37" s="4592" t="str">
        <f>IF(V37="","",VLOOKUP(V37,'Tablas Técnicas'!$AD$5:$AI$188,3,FALSE))</f>
        <v/>
      </c>
      <c r="AD37" s="4589"/>
      <c r="AE37" s="4590"/>
      <c r="AF37" s="4590"/>
      <c r="AG37" s="4590"/>
      <c r="AH37" s="4590"/>
      <c r="AI37" s="4591"/>
      <c r="AJ37" s="4592"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588" t="s">
        <v>1956</v>
      </c>
      <c r="N38" s="4588"/>
      <c r="O38" s="4588"/>
      <c r="P38" s="2549">
        <f t="shared" si="3"/>
        <v>10</v>
      </c>
      <c r="Q38" s="2550"/>
      <c r="R38" s="2730" t="b">
        <f t="shared" si="1"/>
        <v>0</v>
      </c>
      <c r="S38" s="2364"/>
      <c r="T38" s="2364"/>
      <c r="U38" s="1229"/>
      <c r="V38" s="4593" t="str">
        <f>IF(V37="","",VLOOKUP(V37,'Tablas Técnicas'!$AD$5:$AI$188,4,FALSE))</f>
        <v/>
      </c>
      <c r="W38" s="4594"/>
      <c r="X38" s="4594"/>
      <c r="Y38" s="4594"/>
      <c r="Z38" s="1200" t="s">
        <v>1627</v>
      </c>
      <c r="AA38" s="1231" t="str">
        <f>IF(V37="","",VLOOKUP(V37,'Tablas Técnicas'!$AD$5:$AI$188,2,FALSE))</f>
        <v/>
      </c>
      <c r="AB38" s="4592"/>
      <c r="AD38" s="4593" t="str">
        <f>IF(AD37="","",VLOOKUP(AD37,'Tablas Técnicas'!$AD$5:$AI$188,4,FALSE))</f>
        <v/>
      </c>
      <c r="AE38" s="4594"/>
      <c r="AF38" s="4594"/>
      <c r="AG38" s="4594"/>
      <c r="AH38" s="1200" t="s">
        <v>1627</v>
      </c>
      <c r="AI38" s="1231" t="str">
        <f>IF(AD37="","",VLOOKUP(AD37,'Tablas Técnicas'!$AD$5:$AI$188,2,FALSE))</f>
        <v/>
      </c>
      <c r="AJ38" s="4592"/>
      <c r="AK38" s="1143"/>
      <c r="AL38" s="1137"/>
      <c r="AM38" s="1185"/>
      <c r="AN38" s="1185"/>
      <c r="AO38" s="1185"/>
      <c r="AP38" s="1185"/>
      <c r="AQ38" s="1185"/>
      <c r="AR38" s="1185"/>
      <c r="AS38" s="1185"/>
      <c r="AT38" s="1185"/>
      <c r="AU38" s="1185"/>
      <c r="AW38" s="1203"/>
    </row>
    <row r="39" spans="1:50" ht="12" customHeight="1" thickBot="1" x14ac:dyDescent="0.25">
      <c r="A39" s="1137"/>
      <c r="B39" s="2742"/>
      <c r="C39" s="4609" t="s">
        <v>1957</v>
      </c>
      <c r="D39" s="4610"/>
      <c r="E39" s="4610"/>
      <c r="F39" s="4611"/>
      <c r="G39" s="4612" t="s">
        <v>1958</v>
      </c>
      <c r="H39" s="4612"/>
      <c r="I39" s="1237">
        <f>IF(Tablas!$G$535&gt;0,2,1)-IF(Ki!C40="",0,1)-IF(Ki!C41="",0,1)</f>
        <v>1</v>
      </c>
      <c r="J39" s="2737"/>
      <c r="K39" s="1222" t="s">
        <v>1949</v>
      </c>
      <c r="L39" s="1225" t="s">
        <v>1915</v>
      </c>
      <c r="M39" s="4588" t="str">
        <f>"Alcance incrementado"</f>
        <v>Alcance incrementado</v>
      </c>
      <c r="N39" s="4588"/>
      <c r="O39" s="4588"/>
      <c r="P39" s="2549">
        <f t="shared" si="3"/>
        <v>10</v>
      </c>
      <c r="Q39" s="2550"/>
      <c r="R39" s="2730" t="b">
        <f t="shared" si="1"/>
        <v>0</v>
      </c>
      <c r="S39" s="2364"/>
      <c r="T39" s="2364"/>
      <c r="U39" s="1229">
        <f t="shared" si="2"/>
        <v>0</v>
      </c>
      <c r="V39" s="4579"/>
      <c r="W39" s="4580"/>
      <c r="X39" s="4580"/>
      <c r="Y39" s="4580"/>
      <c r="Z39" s="4580"/>
      <c r="AA39" s="4581"/>
      <c r="AB39" s="4582" t="str">
        <f>IF(V39="","",VLOOKUP(V39,'Tablas Técnicas'!$AD$5:$AI$188,3,FALSE))</f>
        <v/>
      </c>
      <c r="AD39" s="4579"/>
      <c r="AE39" s="4580"/>
      <c r="AF39" s="4580"/>
      <c r="AG39" s="4580"/>
      <c r="AH39" s="4580"/>
      <c r="AI39" s="4581"/>
      <c r="AJ39" s="4582"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606"/>
      <c r="D40" s="4607"/>
      <c r="E40" s="4607"/>
      <c r="F40" s="4607"/>
      <c r="G40" s="4607"/>
      <c r="H40" s="4608"/>
      <c r="I40" s="1238" t="str">
        <f>IF(C40=0,"",VLOOKUP(C40,Tablas!$D$1013:$M$1019,2))</f>
        <v/>
      </c>
      <c r="J40" s="2737"/>
      <c r="K40" s="1222" t="s">
        <v>1949</v>
      </c>
      <c r="L40" s="1225" t="s">
        <v>1926</v>
      </c>
      <c r="M40" s="4588" t="s">
        <v>1959</v>
      </c>
      <c r="N40" s="4588"/>
      <c r="O40" s="4588"/>
      <c r="P40" s="2549">
        <f t="shared" si="3"/>
        <v>10</v>
      </c>
      <c r="Q40" s="2550"/>
      <c r="R40" s="2730" t="b">
        <f t="shared" si="1"/>
        <v>0</v>
      </c>
      <c r="S40" s="2364"/>
      <c r="T40" s="2364"/>
      <c r="U40" s="1229"/>
      <c r="V40" s="4285" t="str">
        <f>IF(V39="","",VLOOKUP(V39,'Tablas Técnicas'!$AD$5:$AI$188,4,FALSE))</f>
        <v/>
      </c>
      <c r="W40" s="4351"/>
      <c r="X40" s="4351"/>
      <c r="Y40" s="4351"/>
      <c r="Z40" s="1264" t="s">
        <v>1627</v>
      </c>
      <c r="AA40" s="1266" t="str">
        <f>IF(V39="","",VLOOKUP(V39,'Tablas Técnicas'!$AD$5:$AI$188,2,FALSE))</f>
        <v/>
      </c>
      <c r="AB40" s="4582"/>
      <c r="AD40" s="4285" t="str">
        <f>IF(AD39="","",VLOOKUP(AD39,'Tablas Técnicas'!$AD$5:$AI$188,4,FALSE))</f>
        <v/>
      </c>
      <c r="AE40" s="4351"/>
      <c r="AF40" s="4351"/>
      <c r="AG40" s="4351"/>
      <c r="AH40" s="1264" t="s">
        <v>1627</v>
      </c>
      <c r="AI40" s="1266" t="str">
        <f>IF(AD39="","",VLOOKUP(AD39,'Tablas Técnicas'!$AD$5:$AI$188,2,FALSE))</f>
        <v/>
      </c>
      <c r="AJ40" s="4582"/>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604"/>
      <c r="D41" s="4605"/>
      <c r="E41" s="4605"/>
      <c r="F41" s="4605"/>
      <c r="G41" s="4605"/>
      <c r="H41" s="4605"/>
      <c r="I41" s="1239" t="str">
        <f>IF(C41=0,"",VLOOKUP(C41,Tablas!$D$1013:$M$1019,2))</f>
        <v/>
      </c>
      <c r="J41" s="2737"/>
      <c r="K41" s="1222" t="s">
        <v>1915</v>
      </c>
      <c r="L41" s="4588" t="s">
        <v>1960</v>
      </c>
      <c r="M41" s="4587"/>
      <c r="N41" s="4587"/>
      <c r="O41" s="4587"/>
      <c r="P41" s="2549">
        <f>IF(Q41=0,20,"-")</f>
        <v>20</v>
      </c>
      <c r="Q41" s="2550"/>
      <c r="R41" s="2730" t="b">
        <f t="shared" si="1"/>
        <v>0</v>
      </c>
      <c r="S41" s="2364"/>
      <c r="T41" s="2364"/>
      <c r="U41" s="1229">
        <f t="shared" si="2"/>
        <v>0</v>
      </c>
      <c r="V41" s="4589"/>
      <c r="W41" s="4590"/>
      <c r="X41" s="4590"/>
      <c r="Y41" s="4590"/>
      <c r="Z41" s="4590"/>
      <c r="AA41" s="4591"/>
      <c r="AB41" s="4592" t="str">
        <f>IF(V41="","",VLOOKUP(V41,'Tablas Técnicas'!$AD$5:$AI$188,3,FALSE))</f>
        <v/>
      </c>
      <c r="AD41" s="4589"/>
      <c r="AE41" s="4590"/>
      <c r="AF41" s="4590"/>
      <c r="AG41" s="4590"/>
      <c r="AH41" s="4590"/>
      <c r="AI41" s="4591"/>
      <c r="AJ41" s="4592"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588" t="s">
        <v>1961</v>
      </c>
      <c r="M42" s="4587"/>
      <c r="N42" s="4587"/>
      <c r="O42" s="4587"/>
      <c r="P42" s="2549">
        <f>IF(Q42=0,30,"-")</f>
        <v>30</v>
      </c>
      <c r="Q42" s="2550"/>
      <c r="R42" s="2730" t="b">
        <f t="shared" si="1"/>
        <v>0</v>
      </c>
      <c r="S42" s="2364"/>
      <c r="T42" s="2364"/>
      <c r="U42" s="1229"/>
      <c r="V42" s="4593" t="str">
        <f>IF(V41="","",VLOOKUP(V41,'Tablas Técnicas'!$AD$5:$AI$188,4,FALSE))</f>
        <v/>
      </c>
      <c r="W42" s="4594"/>
      <c r="X42" s="4594"/>
      <c r="Y42" s="4594"/>
      <c r="Z42" s="1200" t="s">
        <v>1627</v>
      </c>
      <c r="AA42" s="1231" t="str">
        <f>IF(V41="","",VLOOKUP(V41,'Tablas Técnicas'!$AD$5:$AI$188,2,FALSE))</f>
        <v/>
      </c>
      <c r="AB42" s="4592"/>
      <c r="AD42" s="4593" t="str">
        <f>IF(AD41="","",VLOOKUP(AD41,'Tablas Técnicas'!$AD$5:$AI$188,4,FALSE))</f>
        <v/>
      </c>
      <c r="AE42" s="4594"/>
      <c r="AF42" s="4594"/>
      <c r="AG42" s="4594"/>
      <c r="AH42" s="1200" t="s">
        <v>1627</v>
      </c>
      <c r="AI42" s="1231" t="str">
        <f>IF(AD41="","",VLOOKUP(AD41,'Tablas Técnicas'!$AD$5:$AI$188,2,FALSE))</f>
        <v/>
      </c>
      <c r="AJ42" s="4592"/>
      <c r="AK42" s="1143"/>
      <c r="AL42" s="1137"/>
      <c r="AM42" s="1185"/>
      <c r="AN42" s="1185"/>
      <c r="AO42" s="1185"/>
      <c r="AP42" s="1185"/>
      <c r="AQ42" s="1185"/>
      <c r="AR42" s="1185"/>
      <c r="AS42" s="1185"/>
      <c r="AT42" s="1185"/>
      <c r="AU42" s="1185"/>
      <c r="AW42" s="1217"/>
      <c r="AX42" s="1217"/>
    </row>
    <row r="43" spans="1:50" ht="12" customHeight="1" x14ac:dyDescent="0.2">
      <c r="A43" s="1137"/>
      <c r="B43" s="2742"/>
      <c r="C43" s="4596" t="s">
        <v>1962</v>
      </c>
      <c r="D43" s="4597"/>
      <c r="E43" s="4597"/>
      <c r="F43" s="4597"/>
      <c r="G43" s="4597"/>
      <c r="H43" s="4600">
        <f>IF(I43=0,70,"-")</f>
        <v>70</v>
      </c>
      <c r="I43" s="4602"/>
      <c r="J43" s="2739"/>
      <c r="K43" s="1222" t="s">
        <v>1926</v>
      </c>
      <c r="L43" s="4588" t="s">
        <v>1963</v>
      </c>
      <c r="M43" s="4587"/>
      <c r="N43" s="4587"/>
      <c r="O43" s="4587"/>
      <c r="P43" s="2549">
        <f>IF(Q43=0,10,"-")</f>
        <v>10</v>
      </c>
      <c r="Q43" s="2550"/>
      <c r="R43" s="2730" t="b">
        <f t="shared" si="1"/>
        <v>0</v>
      </c>
      <c r="S43" s="2364"/>
      <c r="T43" s="2364"/>
      <c r="U43" s="1229">
        <f t="shared" si="2"/>
        <v>0</v>
      </c>
      <c r="V43" s="4579"/>
      <c r="W43" s="4580"/>
      <c r="X43" s="4580"/>
      <c r="Y43" s="4580"/>
      <c r="Z43" s="4580"/>
      <c r="AA43" s="4581"/>
      <c r="AB43" s="4582" t="str">
        <f>IF(V43="","",VLOOKUP(V43,'Tablas Técnicas'!$AD$5:$AI$188,3,FALSE))</f>
        <v/>
      </c>
      <c r="AD43" s="4579"/>
      <c r="AE43" s="4580"/>
      <c r="AF43" s="4580"/>
      <c r="AG43" s="4580"/>
      <c r="AH43" s="4580"/>
      <c r="AI43" s="4581"/>
      <c r="AJ43" s="4582" t="str">
        <f>IF(AD43="","",VLOOKUP(AD43,'Tablas Técnicas'!$AD$5:$AI$188,3,FALSE))</f>
        <v/>
      </c>
      <c r="AK43" s="1143"/>
      <c r="AL43" s="1137"/>
      <c r="AM43" s="1185"/>
      <c r="AN43" s="1185"/>
      <c r="AO43" s="1185"/>
      <c r="AP43" s="1185"/>
      <c r="AQ43" s="1185"/>
      <c r="AR43" s="1185"/>
      <c r="AS43" s="1185"/>
      <c r="AT43" s="1185"/>
      <c r="AU43" s="1185"/>
      <c r="AW43" s="4595"/>
      <c r="AX43" s="675"/>
    </row>
    <row r="44" spans="1:50" ht="12" customHeight="1" thickBot="1" x14ac:dyDescent="0.25">
      <c r="A44" s="1137"/>
      <c r="B44" s="2742"/>
      <c r="C44" s="4598"/>
      <c r="D44" s="4599"/>
      <c r="E44" s="4599"/>
      <c r="F44" s="4599"/>
      <c r="G44" s="4599"/>
      <c r="H44" s="4601"/>
      <c r="I44" s="4603"/>
      <c r="J44" s="2739"/>
      <c r="K44" s="4586" t="s">
        <v>1964</v>
      </c>
      <c r="L44" s="4587"/>
      <c r="M44" s="4587"/>
      <c r="N44" s="4587"/>
      <c r="O44" s="4587"/>
      <c r="P44" s="2549">
        <f t="shared" ref="P44:P53" si="4">IF(Q44=0,10,"-")</f>
        <v>10</v>
      </c>
      <c r="Q44" s="2550"/>
      <c r="R44" s="2730" t="b">
        <f t="shared" si="1"/>
        <v>0</v>
      </c>
      <c r="S44" s="2364"/>
      <c r="T44" s="2364"/>
      <c r="U44" s="1229"/>
      <c r="V44" s="4285" t="str">
        <f>IF(V43="","",VLOOKUP(V43,'Tablas Técnicas'!$AD$5:$AI$188,4,FALSE))</f>
        <v/>
      </c>
      <c r="W44" s="4351"/>
      <c r="X44" s="4351"/>
      <c r="Y44" s="4351"/>
      <c r="Z44" s="1264" t="s">
        <v>1627</v>
      </c>
      <c r="AA44" s="1266" t="str">
        <f>IF(V43="","",VLOOKUP(V43,'Tablas Técnicas'!$AD$5:$AI$188,2,FALSE))</f>
        <v/>
      </c>
      <c r="AB44" s="4582"/>
      <c r="AD44" s="4285" t="str">
        <f>IF(AD43="","",VLOOKUP(AD43,'Tablas Técnicas'!$AD$5:$AI$188,4,FALSE))</f>
        <v/>
      </c>
      <c r="AE44" s="4351"/>
      <c r="AF44" s="4351"/>
      <c r="AG44" s="4351"/>
      <c r="AH44" s="1264" t="s">
        <v>1627</v>
      </c>
      <c r="AI44" s="1266" t="str">
        <f>IF(AD43="","",VLOOKUP(AD43,'Tablas Técnicas'!$AD$5:$AI$188,2,FALSE))</f>
        <v/>
      </c>
      <c r="AJ44" s="4582"/>
      <c r="AK44" s="1143"/>
      <c r="AL44" s="1137"/>
      <c r="AM44" s="1185"/>
      <c r="AN44" s="1185"/>
      <c r="AO44" s="1185"/>
      <c r="AP44" s="1185"/>
      <c r="AQ44" s="1185"/>
      <c r="AR44" s="1185"/>
      <c r="AS44" s="1185"/>
      <c r="AT44" s="1185"/>
      <c r="AU44" s="1185"/>
      <c r="AW44" s="4595"/>
      <c r="AX44" s="1240"/>
    </row>
    <row r="45" spans="1:50" ht="12" customHeight="1" x14ac:dyDescent="0.2">
      <c r="A45" s="1137"/>
      <c r="B45" s="2730" t="b">
        <f t="shared" ref="B45:B62" si="5">H45="-"</f>
        <v>0</v>
      </c>
      <c r="C45" s="4586" t="s">
        <v>1965</v>
      </c>
      <c r="D45" s="4587"/>
      <c r="E45" s="4587"/>
      <c r="F45" s="4587"/>
      <c r="G45" s="4587"/>
      <c r="H45" s="2549">
        <f>IF(I45=0,20,"-")</f>
        <v>20</v>
      </c>
      <c r="I45" s="2550"/>
      <c r="J45" s="675"/>
      <c r="K45" s="1222" t="s">
        <v>1915</v>
      </c>
      <c r="L45" s="4588" t="s">
        <v>1966</v>
      </c>
      <c r="M45" s="4587"/>
      <c r="N45" s="4587"/>
      <c r="O45" s="4587"/>
      <c r="P45" s="2549">
        <f t="shared" si="4"/>
        <v>10</v>
      </c>
      <c r="Q45" s="2550"/>
      <c r="R45" s="2730" t="b">
        <f t="shared" si="1"/>
        <v>0</v>
      </c>
      <c r="S45" s="2364"/>
      <c r="T45" s="2364"/>
      <c r="U45" s="1229">
        <f t="shared" si="2"/>
        <v>0</v>
      </c>
      <c r="V45" s="4589"/>
      <c r="W45" s="4590"/>
      <c r="X45" s="4590"/>
      <c r="Y45" s="4590"/>
      <c r="Z45" s="4590"/>
      <c r="AA45" s="4591"/>
      <c r="AB45" s="4592" t="str">
        <f>IF(V45="","",VLOOKUP(V45,'Tablas Técnicas'!$AD$5:$AI$188,3,FALSE))</f>
        <v/>
      </c>
      <c r="AD45" s="4589"/>
      <c r="AE45" s="4590"/>
      <c r="AF45" s="4590"/>
      <c r="AG45" s="4590"/>
      <c r="AH45" s="4590"/>
      <c r="AI45" s="4591"/>
      <c r="AJ45" s="4592"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588" t="s">
        <v>1967</v>
      </c>
      <c r="E46" s="4587"/>
      <c r="F46" s="4587"/>
      <c r="G46" s="4587"/>
      <c r="H46" s="2549">
        <f>IF(I46=0,30,"-")</f>
        <v>30</v>
      </c>
      <c r="I46" s="2550"/>
      <c r="J46" s="675"/>
      <c r="K46" s="1222" t="s">
        <v>1949</v>
      </c>
      <c r="L46" s="1225" t="s">
        <v>1915</v>
      </c>
      <c r="M46" s="4588" t="s">
        <v>1968</v>
      </c>
      <c r="N46" s="4588"/>
      <c r="O46" s="4588"/>
      <c r="P46" s="2549">
        <f t="shared" si="4"/>
        <v>10</v>
      </c>
      <c r="Q46" s="2550"/>
      <c r="R46" s="2730" t="b">
        <f t="shared" si="1"/>
        <v>0</v>
      </c>
      <c r="S46" s="2364"/>
      <c r="T46" s="2364"/>
      <c r="U46" s="1229"/>
      <c r="V46" s="4593" t="str">
        <f>IF(V45="","",VLOOKUP(V45,'Tablas Técnicas'!$AD$5:$AI$188,4,FALSE))</f>
        <v/>
      </c>
      <c r="W46" s="4594"/>
      <c r="X46" s="4594"/>
      <c r="Y46" s="4594"/>
      <c r="Z46" s="1200" t="s">
        <v>1627</v>
      </c>
      <c r="AA46" s="1231" t="str">
        <f>IF(V45="","",VLOOKUP(V45,'Tablas Técnicas'!$AD$5:$AI$188,2,FALSE))</f>
        <v/>
      </c>
      <c r="AB46" s="4592"/>
      <c r="AD46" s="4593" t="str">
        <f>IF(AD45="","",VLOOKUP(AD45,'Tablas Técnicas'!$AD$5:$AI$188,4,FALSE))</f>
        <v/>
      </c>
      <c r="AE46" s="4594"/>
      <c r="AF46" s="4594"/>
      <c r="AG46" s="4594"/>
      <c r="AH46" s="1200" t="s">
        <v>1627</v>
      </c>
      <c r="AI46" s="1231" t="str">
        <f>IF(AD45="","",VLOOKUP(AD45,'Tablas Técnicas'!$AD$5:$AI$188,2,FALSE))</f>
        <v/>
      </c>
      <c r="AJ46" s="4592"/>
      <c r="AK46" s="1143"/>
      <c r="AL46" s="1137"/>
      <c r="AM46" s="1185"/>
      <c r="AN46" s="1185"/>
      <c r="AO46" s="1185"/>
      <c r="AP46" s="1185"/>
      <c r="AQ46" s="1185"/>
      <c r="AR46" s="1185"/>
      <c r="AS46" s="1185"/>
      <c r="AT46" s="1185"/>
      <c r="AU46" s="1185"/>
    </row>
    <row r="47" spans="1:50" ht="12" customHeight="1" x14ac:dyDescent="0.2">
      <c r="A47" s="1137"/>
      <c r="B47" s="2730" t="b">
        <f t="shared" si="5"/>
        <v>0</v>
      </c>
      <c r="C47" s="4586" t="s">
        <v>1969</v>
      </c>
      <c r="D47" s="4588"/>
      <c r="E47" s="4588"/>
      <c r="F47" s="4588"/>
      <c r="G47" s="4588"/>
      <c r="H47" s="2549">
        <f>IF(I47=0,30,"-")</f>
        <v>30</v>
      </c>
      <c r="I47" s="2550"/>
      <c r="J47" s="675"/>
      <c r="K47" s="1222" t="s">
        <v>1949</v>
      </c>
      <c r="L47" s="1225" t="s">
        <v>1926</v>
      </c>
      <c r="M47" s="4588" t="s">
        <v>1970</v>
      </c>
      <c r="N47" s="4588"/>
      <c r="O47" s="4588"/>
      <c r="P47" s="2549">
        <f t="shared" si="4"/>
        <v>10</v>
      </c>
      <c r="Q47" s="2550"/>
      <c r="R47" s="2730" t="b">
        <f t="shared" si="1"/>
        <v>0</v>
      </c>
      <c r="S47" s="2364"/>
      <c r="T47" s="2364"/>
      <c r="U47" s="1229">
        <f t="shared" si="2"/>
        <v>0</v>
      </c>
      <c r="V47" s="4579"/>
      <c r="W47" s="4580"/>
      <c r="X47" s="4580"/>
      <c r="Y47" s="4580"/>
      <c r="Z47" s="4580"/>
      <c r="AA47" s="4581"/>
      <c r="AB47" s="4582" t="str">
        <f>IF(V47="","",VLOOKUP(V47,'Tablas Técnicas'!$AD$5:$AI$188,3,FALSE))</f>
        <v/>
      </c>
      <c r="AD47" s="4579"/>
      <c r="AE47" s="4580"/>
      <c r="AF47" s="4580"/>
      <c r="AG47" s="4580"/>
      <c r="AH47" s="4580"/>
      <c r="AI47" s="4581"/>
      <c r="AJ47" s="4582"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588" t="s">
        <v>1971</v>
      </c>
      <c r="E48" s="4588"/>
      <c r="F48" s="4588"/>
      <c r="G48" s="4588"/>
      <c r="H48" s="2549">
        <f>IF(I48=0,20,"-")</f>
        <v>20</v>
      </c>
      <c r="I48" s="2550"/>
      <c r="J48" s="675"/>
      <c r="K48" s="1222" t="s">
        <v>1926</v>
      </c>
      <c r="L48" s="4588" t="s">
        <v>1972</v>
      </c>
      <c r="M48" s="4587"/>
      <c r="N48" s="4587"/>
      <c r="O48" s="4587"/>
      <c r="P48" s="2549">
        <f t="shared" si="4"/>
        <v>10</v>
      </c>
      <c r="Q48" s="2550"/>
      <c r="R48" s="2730" t="b">
        <f t="shared" si="1"/>
        <v>0</v>
      </c>
      <c r="S48" s="2364"/>
      <c r="T48" s="2364"/>
      <c r="U48" s="1229"/>
      <c r="V48" s="4285" t="str">
        <f>IF(V47="","",VLOOKUP(V47,'Tablas Técnicas'!$AD$5:$AI$188,4,FALSE))</f>
        <v/>
      </c>
      <c r="W48" s="4351"/>
      <c r="X48" s="4351"/>
      <c r="Y48" s="4351"/>
      <c r="Z48" s="1264" t="s">
        <v>1627</v>
      </c>
      <c r="AA48" s="1266" t="str">
        <f>IF(V47="","",VLOOKUP(V47,'Tablas Técnicas'!$AD$5:$AI$188,2,FALSE))</f>
        <v/>
      </c>
      <c r="AB48" s="4582"/>
      <c r="AD48" s="4285" t="str">
        <f>IF(AD47="","",VLOOKUP(AD47,'Tablas Técnicas'!$AD$5:$AI$188,4,FALSE))</f>
        <v/>
      </c>
      <c r="AE48" s="4351"/>
      <c r="AF48" s="4351"/>
      <c r="AG48" s="4351"/>
      <c r="AH48" s="1264" t="s">
        <v>1627</v>
      </c>
      <c r="AI48" s="1266" t="str">
        <f>IF(AD47="","",VLOOKUP(AD47,'Tablas Técnicas'!$AD$5:$AI$188,2,FALSE))</f>
        <v/>
      </c>
      <c r="AJ48" s="4582"/>
      <c r="AK48" s="1143"/>
      <c r="AL48" s="1137"/>
      <c r="AM48" s="1185"/>
      <c r="AN48" s="1185"/>
      <c r="AO48" s="1185"/>
      <c r="AP48" s="1185"/>
      <c r="AQ48" s="1185"/>
      <c r="AR48" s="1185"/>
      <c r="AS48" s="1185"/>
      <c r="AT48" s="1185"/>
      <c r="AU48" s="1185"/>
    </row>
    <row r="49" spans="1:47" ht="12" customHeight="1" x14ac:dyDescent="0.2">
      <c r="A49" s="1137"/>
      <c r="B49" s="2730" t="b">
        <f t="shared" si="5"/>
        <v>0</v>
      </c>
      <c r="C49" s="4586" t="s">
        <v>1973</v>
      </c>
      <c r="D49" s="4588"/>
      <c r="E49" s="4588"/>
      <c r="F49" s="4588"/>
      <c r="G49" s="4588"/>
      <c r="H49" s="2549">
        <f>IF(I49=0,30,"-")</f>
        <v>30</v>
      </c>
      <c r="I49" s="2550"/>
      <c r="J49" s="675"/>
      <c r="K49" s="4586" t="s">
        <v>1974</v>
      </c>
      <c r="L49" s="4587"/>
      <c r="M49" s="4587"/>
      <c r="N49" s="4587"/>
      <c r="O49" s="4587"/>
      <c r="P49" s="2549">
        <f t="shared" si="4"/>
        <v>10</v>
      </c>
      <c r="Q49" s="2550"/>
      <c r="R49" s="2730" t="b">
        <f t="shared" si="1"/>
        <v>0</v>
      </c>
      <c r="S49" s="2364"/>
      <c r="T49" s="2364"/>
      <c r="U49" s="1229">
        <f t="shared" si="2"/>
        <v>0</v>
      </c>
      <c r="V49" s="4589"/>
      <c r="W49" s="4590"/>
      <c r="X49" s="4590"/>
      <c r="Y49" s="4590"/>
      <c r="Z49" s="4590"/>
      <c r="AA49" s="4591"/>
      <c r="AB49" s="4592" t="str">
        <f>IF(V49="","",VLOOKUP(V49,'Tablas Técnicas'!$AD$5:$AI$188,3,FALSE))</f>
        <v/>
      </c>
      <c r="AD49" s="4589"/>
      <c r="AE49" s="4590"/>
      <c r="AF49" s="4590"/>
      <c r="AG49" s="4590"/>
      <c r="AH49" s="4590"/>
      <c r="AI49" s="4591"/>
      <c r="AJ49" s="4592"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588" t="s">
        <v>1975</v>
      </c>
      <c r="E50" s="4588"/>
      <c r="F50" s="4588"/>
      <c r="G50" s="4588"/>
      <c r="H50" s="2549">
        <f>IF(I50=0,20,"-")</f>
        <v>20</v>
      </c>
      <c r="I50" s="2550"/>
      <c r="J50" s="675"/>
      <c r="K50" s="1222" t="s">
        <v>1915</v>
      </c>
      <c r="L50" s="4588" t="s">
        <v>1976</v>
      </c>
      <c r="M50" s="4587"/>
      <c r="N50" s="4587"/>
      <c r="O50" s="4587"/>
      <c r="P50" s="2549">
        <f>IF(Q50=0,10,"-")</f>
        <v>10</v>
      </c>
      <c r="Q50" s="2550"/>
      <c r="R50" s="2730" t="b">
        <f>OR(P50="-",Raza="D'Anjayni",Nephilim="Nephilim D'Anjayni")</f>
        <v>0</v>
      </c>
      <c r="S50" s="2364"/>
      <c r="T50" s="2364"/>
      <c r="U50" s="1229"/>
      <c r="V50" s="4593" t="str">
        <f>IF(V49="","",VLOOKUP(V49,'Tablas Técnicas'!$AD$5:$AI$188,4,FALSE))</f>
        <v/>
      </c>
      <c r="W50" s="4594"/>
      <c r="X50" s="4594"/>
      <c r="Y50" s="4594"/>
      <c r="Z50" s="1200" t="s">
        <v>1627</v>
      </c>
      <c r="AA50" s="1231" t="str">
        <f>IF(V49="","",VLOOKUP(V49,'Tablas Técnicas'!$AD$5:$AI$188,2,FALSE))</f>
        <v/>
      </c>
      <c r="AB50" s="4592"/>
      <c r="AD50" s="4593" t="str">
        <f>IF(AD49="","",VLOOKUP(AD49,'Tablas Técnicas'!$AD$5:$AI$188,4,FALSE))</f>
        <v/>
      </c>
      <c r="AE50" s="4594"/>
      <c r="AF50" s="4594"/>
      <c r="AG50" s="4594"/>
      <c r="AH50" s="1200" t="s">
        <v>1627</v>
      </c>
      <c r="AI50" s="1231" t="str">
        <f>IF(AD49="","",VLOOKUP(AD49,'Tablas Técnicas'!$AD$5:$AI$188,2,FALSE))</f>
        <v/>
      </c>
      <c r="AJ50" s="4592"/>
      <c r="AK50" s="1143"/>
      <c r="AL50" s="1137"/>
      <c r="AM50" s="1185"/>
      <c r="AN50" s="1185"/>
      <c r="AO50" s="1185"/>
      <c r="AP50" s="1185"/>
      <c r="AQ50" s="1185"/>
      <c r="AR50" s="1185"/>
      <c r="AS50" s="1185"/>
      <c r="AT50" s="1185"/>
      <c r="AU50" s="1185"/>
    </row>
    <row r="51" spans="1:47" ht="12" customHeight="1" x14ac:dyDescent="0.2">
      <c r="A51" s="1137"/>
      <c r="B51" s="2730" t="b">
        <f t="shared" si="5"/>
        <v>0</v>
      </c>
      <c r="C51" s="4586" t="s">
        <v>1977</v>
      </c>
      <c r="D51" s="4588"/>
      <c r="E51" s="4588"/>
      <c r="F51" s="4588"/>
      <c r="G51" s="4588"/>
      <c r="H51" s="2549">
        <f>IF(I51=0,30,"-")</f>
        <v>30</v>
      </c>
      <c r="I51" s="2550"/>
      <c r="J51" s="675"/>
      <c r="K51" s="1222" t="s">
        <v>1949</v>
      </c>
      <c r="L51" s="1225" t="s">
        <v>1915</v>
      </c>
      <c r="M51" s="4588" t="s">
        <v>1978</v>
      </c>
      <c r="N51" s="4588"/>
      <c r="O51" s="4588"/>
      <c r="P51" s="2549">
        <f t="shared" si="4"/>
        <v>10</v>
      </c>
      <c r="Q51" s="2550"/>
      <c r="R51" s="2730" t="b">
        <f t="shared" si="1"/>
        <v>0</v>
      </c>
      <c r="S51" s="2364"/>
      <c r="T51" s="2364"/>
      <c r="U51" s="1229">
        <f t="shared" si="2"/>
        <v>0</v>
      </c>
      <c r="V51" s="4579"/>
      <c r="W51" s="4580"/>
      <c r="X51" s="4580"/>
      <c r="Y51" s="4580"/>
      <c r="Z51" s="4580"/>
      <c r="AA51" s="4581"/>
      <c r="AB51" s="4582" t="str">
        <f>IF(V51="","",VLOOKUP(V51,'Tablas Técnicas'!$AD$5:$AI$188,3,FALSE))</f>
        <v/>
      </c>
      <c r="AD51" s="4579"/>
      <c r="AE51" s="4580"/>
      <c r="AF51" s="4580"/>
      <c r="AG51" s="4580"/>
      <c r="AH51" s="4580"/>
      <c r="AI51" s="4581"/>
      <c r="AJ51" s="4582"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588" t="s">
        <v>1979</v>
      </c>
      <c r="E52" s="4588"/>
      <c r="F52" s="4588"/>
      <c r="G52" s="4588"/>
      <c r="H52" s="2549">
        <f>IF(I52=0,20,"-")</f>
        <v>20</v>
      </c>
      <c r="I52" s="2550"/>
      <c r="J52" s="675"/>
      <c r="K52" s="1222" t="s">
        <v>1949</v>
      </c>
      <c r="L52" s="1225" t="s">
        <v>1926</v>
      </c>
      <c r="M52" s="4588" t="s">
        <v>1980</v>
      </c>
      <c r="N52" s="4588"/>
      <c r="O52" s="4588"/>
      <c r="P52" s="2549">
        <f t="shared" si="4"/>
        <v>10</v>
      </c>
      <c r="Q52" s="2550"/>
      <c r="R52" s="2730" t="b">
        <f t="shared" si="1"/>
        <v>0</v>
      </c>
      <c r="S52" s="2364"/>
      <c r="T52" s="2364"/>
      <c r="U52" s="1229"/>
      <c r="V52" s="4285" t="str">
        <f>IF(V51="","",VLOOKUP(V51,'Tablas Técnicas'!$AD$5:$AI$188,4,FALSE))</f>
        <v/>
      </c>
      <c r="W52" s="4351"/>
      <c r="X52" s="4351"/>
      <c r="Y52" s="4351"/>
      <c r="Z52" s="1264" t="s">
        <v>1627</v>
      </c>
      <c r="AA52" s="1266" t="str">
        <f>IF(V51="","",VLOOKUP(V51,'Tablas Técnicas'!$AD$5:$AI$188,2,FALSE))</f>
        <v/>
      </c>
      <c r="AB52" s="4582"/>
      <c r="AD52" s="4285" t="str">
        <f>IF(AD51="","",VLOOKUP(AD51,'Tablas Técnicas'!$AD$5:$AI$188,4,FALSE))</f>
        <v/>
      </c>
      <c r="AE52" s="4351"/>
      <c r="AF52" s="4351"/>
      <c r="AG52" s="4351"/>
      <c r="AH52" s="1264" t="s">
        <v>1627</v>
      </c>
      <c r="AI52" s="1266" t="str">
        <f>IF(AD51="","",VLOOKUP(AD51,'Tablas Técnicas'!$AD$5:$AI$188,2,FALSE))</f>
        <v/>
      </c>
      <c r="AJ52" s="4582"/>
      <c r="AK52" s="1143"/>
      <c r="AL52" s="1137"/>
      <c r="AM52" s="1185"/>
      <c r="AN52" s="1185"/>
      <c r="AO52" s="1185"/>
      <c r="AP52" s="1185"/>
      <c r="AQ52" s="1185"/>
      <c r="AR52" s="1185"/>
      <c r="AS52" s="1185"/>
      <c r="AT52" s="1185"/>
      <c r="AU52" s="1185"/>
    </row>
    <row r="53" spans="1:47" ht="12" customHeight="1" x14ac:dyDescent="0.2">
      <c r="A53" s="1137"/>
      <c r="B53" s="2730" t="b">
        <f t="shared" si="5"/>
        <v>0</v>
      </c>
      <c r="C53" s="4586" t="s">
        <v>1981</v>
      </c>
      <c r="D53" s="4587"/>
      <c r="E53" s="4587"/>
      <c r="F53" s="4587"/>
      <c r="G53" s="4587"/>
      <c r="H53" s="2549">
        <f>IF(I53=0,30,"-")</f>
        <v>30</v>
      </c>
      <c r="I53" s="2550"/>
      <c r="J53" s="675"/>
      <c r="K53" s="1222" t="s">
        <v>1915</v>
      </c>
      <c r="L53" s="4588" t="s">
        <v>1982</v>
      </c>
      <c r="M53" s="4587"/>
      <c r="N53" s="4587"/>
      <c r="O53" s="4587"/>
      <c r="P53" s="2549">
        <f t="shared" si="4"/>
        <v>10</v>
      </c>
      <c r="Q53" s="2550"/>
      <c r="R53" s="2730" t="b">
        <f t="shared" si="1"/>
        <v>0</v>
      </c>
      <c r="S53" s="2364"/>
      <c r="T53" s="2364"/>
      <c r="U53" s="1229">
        <f t="shared" si="2"/>
        <v>0</v>
      </c>
      <c r="V53" s="4589"/>
      <c r="W53" s="4590"/>
      <c r="X53" s="4590"/>
      <c r="Y53" s="4590"/>
      <c r="Z53" s="4590"/>
      <c r="AA53" s="4591"/>
      <c r="AB53" s="4592" t="str">
        <f>IF(V53="","",VLOOKUP(V53,'Tablas Técnicas'!$AD$5:$AI$188,3,FALSE))</f>
        <v/>
      </c>
      <c r="AD53" s="4589"/>
      <c r="AE53" s="4590"/>
      <c r="AF53" s="4590"/>
      <c r="AG53" s="4590"/>
      <c r="AH53" s="4590"/>
      <c r="AI53" s="4591"/>
      <c r="AJ53" s="4592"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586" t="s">
        <v>1983</v>
      </c>
      <c r="D54" s="4587"/>
      <c r="E54" s="4587"/>
      <c r="F54" s="4587"/>
      <c r="G54" s="4587"/>
      <c r="H54" s="2549">
        <f>IF(I54=0,30,"-")</f>
        <v>30</v>
      </c>
      <c r="I54" s="2550"/>
      <c r="J54" s="675"/>
      <c r="K54" s="1222" t="s">
        <v>1949</v>
      </c>
      <c r="L54" s="1225" t="s">
        <v>1915</v>
      </c>
      <c r="M54" s="4588" t="s">
        <v>1984</v>
      </c>
      <c r="N54" s="4588"/>
      <c r="O54" s="4588"/>
      <c r="P54" s="2549">
        <f>IF(Q54=0,20,"-")</f>
        <v>20</v>
      </c>
      <c r="Q54" s="2550"/>
      <c r="R54" s="2730" t="b">
        <f t="shared" si="1"/>
        <v>0</v>
      </c>
      <c r="S54" s="2364"/>
      <c r="T54" s="2364"/>
      <c r="U54" s="1229"/>
      <c r="V54" s="4593" t="str">
        <f>IF(V53="","",VLOOKUP(V53,'Tablas Técnicas'!$AD$5:$AI$188,4,FALSE))</f>
        <v/>
      </c>
      <c r="W54" s="4594"/>
      <c r="X54" s="4594"/>
      <c r="Y54" s="4594"/>
      <c r="Z54" s="1200" t="s">
        <v>1627</v>
      </c>
      <c r="AA54" s="1231" t="str">
        <f>IF(V53="","",VLOOKUP(V53,'Tablas Técnicas'!$AD$5:$AI$188,2,FALSE))</f>
        <v/>
      </c>
      <c r="AB54" s="4592"/>
      <c r="AD54" s="4593" t="str">
        <f>IF(AD53="","",VLOOKUP(AD53,'Tablas Técnicas'!$AD$5:$AI$188,4,FALSE))</f>
        <v/>
      </c>
      <c r="AE54" s="4594"/>
      <c r="AF54" s="4594"/>
      <c r="AG54" s="4594"/>
      <c r="AH54" s="1200" t="s">
        <v>1627</v>
      </c>
      <c r="AI54" s="1231" t="str">
        <f>IF(AD53="","",VLOOKUP(AD53,'Tablas Técnicas'!$AD$5:$AI$188,2,FALSE))</f>
        <v/>
      </c>
      <c r="AJ54" s="4592"/>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588" t="s">
        <v>1985</v>
      </c>
      <c r="E55" s="4587"/>
      <c r="F55" s="4587"/>
      <c r="G55" s="4587"/>
      <c r="H55" s="2549">
        <f>IF(I55=0,30,"-")</f>
        <v>30</v>
      </c>
      <c r="I55" s="2550"/>
      <c r="J55" s="675"/>
      <c r="K55" s="1222" t="s">
        <v>1949</v>
      </c>
      <c r="L55" s="1225" t="s">
        <v>1915</v>
      </c>
      <c r="M55" s="4588" t="s">
        <v>1986</v>
      </c>
      <c r="N55" s="4588"/>
      <c r="O55" s="4588"/>
      <c r="P55" s="2549">
        <f>IF(Q55=0,20,"-")</f>
        <v>20</v>
      </c>
      <c r="Q55" s="2550"/>
      <c r="R55" s="2730" t="b">
        <f t="shared" si="1"/>
        <v>0</v>
      </c>
      <c r="S55" s="2364"/>
      <c r="T55" s="2364"/>
      <c r="U55" s="1229">
        <f t="shared" si="2"/>
        <v>0</v>
      </c>
      <c r="V55" s="4579"/>
      <c r="W55" s="4580"/>
      <c r="X55" s="4580"/>
      <c r="Y55" s="4580"/>
      <c r="Z55" s="4580"/>
      <c r="AA55" s="4581"/>
      <c r="AB55" s="4582" t="str">
        <f>IF(V55="","",VLOOKUP(V55,'Tablas Técnicas'!$AD$5:$AI$188,3,FALSE))</f>
        <v/>
      </c>
      <c r="AD55" s="4579"/>
      <c r="AE55" s="4580"/>
      <c r="AF55" s="4580"/>
      <c r="AG55" s="4580"/>
      <c r="AH55" s="4580"/>
      <c r="AI55" s="4581"/>
      <c r="AJ55" s="4582"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586" t="s">
        <v>1987</v>
      </c>
      <c r="D56" s="4587"/>
      <c r="E56" s="4587"/>
      <c r="F56" s="4587"/>
      <c r="G56" s="4587"/>
      <c r="H56" s="2549">
        <f>IF(I56=0,10,"-")</f>
        <v>10</v>
      </c>
      <c r="I56" s="2550"/>
      <c r="J56" s="675"/>
      <c r="K56" s="1222" t="s">
        <v>1949</v>
      </c>
      <c r="L56" s="1225" t="s">
        <v>1926</v>
      </c>
      <c r="M56" s="4588" t="s">
        <v>1988</v>
      </c>
      <c r="N56" s="4588"/>
      <c r="O56" s="4588"/>
      <c r="P56" s="2549">
        <f>IF(Q56=0,20,"-")</f>
        <v>20</v>
      </c>
      <c r="Q56" s="2550"/>
      <c r="R56" s="2730" t="b">
        <f t="shared" si="1"/>
        <v>0</v>
      </c>
      <c r="S56" s="2364"/>
      <c r="T56" s="2364"/>
      <c r="U56" s="1229"/>
      <c r="V56" s="4285" t="str">
        <f>IF(V55="","",VLOOKUP(V55,'Tablas Técnicas'!$AD$5:$AI$188,4,FALSE))</f>
        <v/>
      </c>
      <c r="W56" s="4351"/>
      <c r="X56" s="4351"/>
      <c r="Y56" s="4351"/>
      <c r="Z56" s="1264" t="s">
        <v>1627</v>
      </c>
      <c r="AA56" s="1266" t="str">
        <f>IF(V55="","",VLOOKUP(V55,'Tablas Técnicas'!$AD$5:$AI$188,2,FALSE))</f>
        <v/>
      </c>
      <c r="AB56" s="4582"/>
      <c r="AD56" s="4285" t="str">
        <f>IF(AD55="","",VLOOKUP(AD55,'Tablas Técnicas'!$AD$5:$AI$188,4,FALSE))</f>
        <v/>
      </c>
      <c r="AE56" s="4351"/>
      <c r="AF56" s="4351"/>
      <c r="AG56" s="4351"/>
      <c r="AH56" s="1264" t="s">
        <v>1627</v>
      </c>
      <c r="AI56" s="1266" t="str">
        <f>IF(AD55="","",VLOOKUP(AD55,'Tablas Técnicas'!$AD$5:$AI$188,2,FALSE))</f>
        <v/>
      </c>
      <c r="AJ56" s="4582"/>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588" t="s">
        <v>1989</v>
      </c>
      <c r="E57" s="4587"/>
      <c r="F57" s="4587"/>
      <c r="G57" s="4587"/>
      <c r="H57" s="2549">
        <f>IF(I57=0,10,"-")</f>
        <v>10</v>
      </c>
      <c r="I57" s="2550"/>
      <c r="J57" s="675"/>
      <c r="K57" s="1222" t="s">
        <v>1915</v>
      </c>
      <c r="L57" s="4588" t="s">
        <v>1990</v>
      </c>
      <c r="M57" s="4587"/>
      <c r="N57" s="4587"/>
      <c r="O57" s="4587"/>
      <c r="P57" s="2549">
        <f>IF(Q57=0,20,"-")</f>
        <v>20</v>
      </c>
      <c r="Q57" s="2550"/>
      <c r="R57" s="2730" t="b">
        <f t="shared" si="1"/>
        <v>0</v>
      </c>
      <c r="S57" s="2364"/>
      <c r="T57" s="2364"/>
      <c r="U57" s="1229">
        <f t="shared" si="2"/>
        <v>0</v>
      </c>
      <c r="V57" s="4589"/>
      <c r="W57" s="4590"/>
      <c r="X57" s="4590"/>
      <c r="Y57" s="4590"/>
      <c r="Z57" s="4590"/>
      <c r="AA57" s="4591"/>
      <c r="AB57" s="4592" t="str">
        <f>IF(V57="","",VLOOKUP(V57,'Tablas Técnicas'!$AD$5:$AI$188,3,FALSE))</f>
        <v/>
      </c>
      <c r="AD57" s="4589"/>
      <c r="AE57" s="4590"/>
      <c r="AF57" s="4590"/>
      <c r="AG57" s="4590"/>
      <c r="AH57" s="4590"/>
      <c r="AI57" s="4591"/>
      <c r="AJ57" s="4592"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588" t="s">
        <v>1991</v>
      </c>
      <c r="E58" s="4587"/>
      <c r="F58" s="4587"/>
      <c r="G58" s="4587"/>
      <c r="H58" s="2549">
        <f>IF(I58=0,20,"-")</f>
        <v>20</v>
      </c>
      <c r="I58" s="2550"/>
      <c r="J58" s="675"/>
      <c r="K58" s="1222" t="s">
        <v>1949</v>
      </c>
      <c r="L58" s="1225" t="s">
        <v>1926</v>
      </c>
      <c r="M58" s="4588" t="s">
        <v>1992</v>
      </c>
      <c r="N58" s="4588"/>
      <c r="O58" s="4588"/>
      <c r="P58" s="2549">
        <f>IF(Q58=0,20,"-")</f>
        <v>20</v>
      </c>
      <c r="Q58" s="2550"/>
      <c r="R58" s="2730" t="b">
        <f t="shared" si="1"/>
        <v>0</v>
      </c>
      <c r="S58" s="2364"/>
      <c r="T58" s="2364"/>
      <c r="U58" s="1229"/>
      <c r="V58" s="4593" t="str">
        <f>IF(V57="","",VLOOKUP(V57,'Tablas Técnicas'!$AD$5:$AI$188,4,FALSE))</f>
        <v/>
      </c>
      <c r="W58" s="4594"/>
      <c r="X58" s="4594"/>
      <c r="Y58" s="4594"/>
      <c r="Z58" s="1200" t="s">
        <v>1627</v>
      </c>
      <c r="AA58" s="1231" t="str">
        <f>IF(V57="","",VLOOKUP(V57,'Tablas Técnicas'!$AD$5:$AI$188,2,FALSE))</f>
        <v/>
      </c>
      <c r="AB58" s="4592"/>
      <c r="AD58" s="4593" t="str">
        <f>IF(AD57="","",VLOOKUP(AD57,'Tablas Técnicas'!$AD$5:$AI$188,4,FALSE))</f>
        <v/>
      </c>
      <c r="AE58" s="4594"/>
      <c r="AF58" s="4594"/>
      <c r="AG58" s="4594"/>
      <c r="AH58" s="1200" t="s">
        <v>1627</v>
      </c>
      <c r="AI58" s="1231" t="str">
        <f>IF(AD57="","",VLOOKUP(AD57,'Tablas Técnicas'!$AD$5:$AI$188,2,FALSE))</f>
        <v/>
      </c>
      <c r="AJ58" s="4592"/>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588" t="s">
        <v>1993</v>
      </c>
      <c r="E59" s="4587"/>
      <c r="F59" s="4587"/>
      <c r="G59" s="4587"/>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579"/>
      <c r="W59" s="4580"/>
      <c r="X59" s="4580"/>
      <c r="Y59" s="4580"/>
      <c r="Z59" s="4580"/>
      <c r="AA59" s="4581"/>
      <c r="AB59" s="4582" t="str">
        <f>IF(V59="","",VLOOKUP(V59,'Tablas Técnicas'!$AD$5:$AI$188,3,FALSE))</f>
        <v/>
      </c>
      <c r="AD59" s="4579"/>
      <c r="AE59" s="4580"/>
      <c r="AF59" s="4580"/>
      <c r="AG59" s="4580"/>
      <c r="AH59" s="4580"/>
      <c r="AI59" s="4581"/>
      <c r="AJ59" s="4582"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588" t="s">
        <v>1995</v>
      </c>
      <c r="F60" s="4588"/>
      <c r="G60" s="4588"/>
      <c r="H60" s="2549">
        <f>IF(I60=0,40,"-")</f>
        <v>40</v>
      </c>
      <c r="I60" s="2550"/>
      <c r="J60" s="675"/>
      <c r="K60" s="1222" t="s">
        <v>1926</v>
      </c>
      <c r="L60" s="4588" t="s">
        <v>1996</v>
      </c>
      <c r="M60" s="4588"/>
      <c r="N60" s="4588"/>
      <c r="O60" s="4588"/>
      <c r="P60" s="2549">
        <f>IF(Q60=0,20,"-")</f>
        <v>20</v>
      </c>
      <c r="Q60" s="2550"/>
      <c r="R60" s="2730" t="b">
        <f t="shared" si="1"/>
        <v>0</v>
      </c>
      <c r="S60" s="2364"/>
      <c r="T60" s="2364"/>
      <c r="U60" s="1229"/>
      <c r="V60" s="4285" t="str">
        <f>IF(V59="","",VLOOKUP(V59,'Tablas Técnicas'!$AD$5:$AI$188,4,FALSE))</f>
        <v/>
      </c>
      <c r="W60" s="4351"/>
      <c r="X60" s="4351"/>
      <c r="Y60" s="4351"/>
      <c r="Z60" s="1264" t="s">
        <v>1627</v>
      </c>
      <c r="AA60" s="1266" t="str">
        <f>IF(V59="","",VLOOKUP(V59,'Tablas Técnicas'!$AD$5:$AI$188,2,FALSE))</f>
        <v/>
      </c>
      <c r="AB60" s="4582"/>
      <c r="AD60" s="4285" t="str">
        <f>IF(AD59="","",VLOOKUP(AD59,'Tablas Técnicas'!$AD$5:$AI$188,4,FALSE))</f>
        <v/>
      </c>
      <c r="AE60" s="4351"/>
      <c r="AF60" s="4351"/>
      <c r="AG60" s="4351"/>
      <c r="AH60" s="1264" t="s">
        <v>1627</v>
      </c>
      <c r="AI60" s="1266" t="str">
        <f>IF(AD59="","",VLOOKUP(AD59,'Tablas Técnicas'!$AD$5:$AI$188,2,FALSE))</f>
        <v/>
      </c>
      <c r="AJ60" s="4582"/>
      <c r="AK60" s="1143"/>
      <c r="AL60" s="1137"/>
      <c r="AM60" s="1185"/>
      <c r="AN60" s="1185"/>
      <c r="AO60" s="1185"/>
      <c r="AP60" s="1185"/>
      <c r="AQ60" s="1185"/>
      <c r="AR60" s="1185"/>
      <c r="AS60" s="1185"/>
      <c r="AT60" s="1185"/>
      <c r="AU60" s="1185"/>
    </row>
    <row r="61" spans="1:47" ht="12" customHeight="1" x14ac:dyDescent="0.2">
      <c r="A61" s="1137"/>
      <c r="B61" s="2730" t="b">
        <f t="shared" si="5"/>
        <v>0</v>
      </c>
      <c r="C61" s="4586" t="s">
        <v>1997</v>
      </c>
      <c r="D61" s="4587"/>
      <c r="E61" s="4587"/>
      <c r="F61" s="4587"/>
      <c r="G61" s="4587"/>
      <c r="H61" s="2549">
        <f>IF(I61=0,30,"-")</f>
        <v>30</v>
      </c>
      <c r="I61" s="2550"/>
      <c r="J61" s="675"/>
      <c r="K61" s="1242"/>
      <c r="L61" s="1225" t="s">
        <v>1926</v>
      </c>
      <c r="M61" s="4588" t="s">
        <v>1998</v>
      </c>
      <c r="N61" s="4588"/>
      <c r="O61" s="4588"/>
      <c r="P61" s="2549">
        <f>IF(Q61=0,20,"-")</f>
        <v>20</v>
      </c>
      <c r="Q61" s="2550"/>
      <c r="R61" s="2730" t="b">
        <f t="shared" si="1"/>
        <v>0</v>
      </c>
      <c r="S61" s="2364"/>
      <c r="T61" s="2364"/>
      <c r="U61" s="1229">
        <f t="shared" si="2"/>
        <v>0</v>
      </c>
      <c r="V61" s="4589"/>
      <c r="W61" s="4590"/>
      <c r="X61" s="4590"/>
      <c r="Y61" s="4590"/>
      <c r="Z61" s="4590"/>
      <c r="AA61" s="4591"/>
      <c r="AB61" s="4592" t="str">
        <f>IF(V61="","",VLOOKUP(V61,'Tablas Técnicas'!$AD$5:$AI$188,3,FALSE))</f>
        <v/>
      </c>
      <c r="AD61" s="4589"/>
      <c r="AE61" s="4590"/>
      <c r="AF61" s="4590"/>
      <c r="AG61" s="4590"/>
      <c r="AH61" s="4590"/>
      <c r="AI61" s="4591"/>
      <c r="AJ61" s="4592"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586" t="s">
        <v>1999</v>
      </c>
      <c r="D62" s="4587"/>
      <c r="E62" s="4587"/>
      <c r="F62" s="4587"/>
      <c r="G62" s="4587"/>
      <c r="H62" s="2549">
        <f>IF(I62=0,10,"-")</f>
        <v>10</v>
      </c>
      <c r="I62" s="2550"/>
      <c r="J62" s="675"/>
      <c r="K62" s="4586" t="s">
        <v>2000</v>
      </c>
      <c r="L62" s="4587"/>
      <c r="M62" s="4587"/>
      <c r="N62" s="4587"/>
      <c r="O62" s="4587"/>
      <c r="P62" s="2549">
        <f>IF(Q62=0,50,"-")</f>
        <v>50</v>
      </c>
      <c r="Q62" s="2550"/>
      <c r="R62" s="2730" t="b">
        <f t="shared" si="1"/>
        <v>0</v>
      </c>
      <c r="S62" s="2364"/>
      <c r="T62" s="2364"/>
      <c r="U62" s="1229"/>
      <c r="V62" s="4593" t="str">
        <f>IF(V61="","",VLOOKUP(V61,'Tablas Técnicas'!$AD$5:$AI$188,4,FALSE))</f>
        <v/>
      </c>
      <c r="W62" s="4594"/>
      <c r="X62" s="4594"/>
      <c r="Y62" s="4594"/>
      <c r="Z62" s="1200" t="s">
        <v>1627</v>
      </c>
      <c r="AA62" s="1231" t="str">
        <f>IF(V61="","",VLOOKUP(V61,'Tablas Técnicas'!$AD$5:$AI$188,2,FALSE))</f>
        <v/>
      </c>
      <c r="AB62" s="4592"/>
      <c r="AD62" s="4593" t="str">
        <f>IF(AD61="","",VLOOKUP(AD61,'Tablas Técnicas'!$AD$5:$AI$188,4,FALSE))</f>
        <v/>
      </c>
      <c r="AE62" s="4594"/>
      <c r="AF62" s="4594"/>
      <c r="AG62" s="4594"/>
      <c r="AH62" s="1200" t="s">
        <v>1627</v>
      </c>
      <c r="AI62" s="1231" t="str">
        <f>IF(AD61="","",VLOOKUP(AD61,'Tablas Técnicas'!$AD$5:$AI$188,2,FALSE))</f>
        <v/>
      </c>
      <c r="AJ62" s="4592"/>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586" t="s">
        <v>2001</v>
      </c>
      <c r="D63" s="4587"/>
      <c r="E63" s="4587"/>
      <c r="F63" s="4587"/>
      <c r="G63" s="4587"/>
      <c r="H63" s="2549">
        <f>IF(I63=0,20,"-")</f>
        <v>20</v>
      </c>
      <c r="I63" s="2550"/>
      <c r="J63" s="675"/>
      <c r="K63" s="4586" t="s">
        <v>2001</v>
      </c>
      <c r="L63" s="4588"/>
      <c r="M63" s="4588"/>
      <c r="N63" s="4588"/>
      <c r="O63" s="4588"/>
      <c r="P63" s="2549">
        <f>IF(Q63=0,30,"-")</f>
        <v>30</v>
      </c>
      <c r="Q63" s="2550"/>
      <c r="R63" s="2730" t="b">
        <f>OR(Ki!$P63="-",Ki!$H63="-",Tablas!$H$1256&gt;0,Raza="Duk'zarist",Tablas!$P$258&gt;0,Tablas!P259&gt;0)</f>
        <v>0</v>
      </c>
      <c r="S63" s="2364"/>
      <c r="T63" s="2364"/>
      <c r="U63" s="1229">
        <f t="shared" si="2"/>
        <v>0</v>
      </c>
      <c r="V63" s="4579"/>
      <c r="W63" s="4580"/>
      <c r="X63" s="4580"/>
      <c r="Y63" s="4580"/>
      <c r="Z63" s="4580"/>
      <c r="AA63" s="4581"/>
      <c r="AB63" s="4582" t="str">
        <f>IF(V63="","",VLOOKUP(V63,'Tablas Técnicas'!$AD$5:$AI$188,3,FALSE))</f>
        <v/>
      </c>
      <c r="AD63" s="4579"/>
      <c r="AE63" s="4580"/>
      <c r="AF63" s="4580"/>
      <c r="AG63" s="4580"/>
      <c r="AH63" s="4580"/>
      <c r="AI63" s="4581"/>
      <c r="AJ63" s="4582"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584" t="s">
        <v>2002</v>
      </c>
      <c r="E64" s="4585"/>
      <c r="F64" s="4585"/>
      <c r="G64" s="4585"/>
      <c r="H64" s="1244">
        <f>IF(I64=0,40,"-")</f>
        <v>40</v>
      </c>
      <c r="I64" s="2552"/>
      <c r="J64" s="675"/>
      <c r="K64" s="1243" t="s">
        <v>1926</v>
      </c>
      <c r="L64" s="4584" t="s">
        <v>2002</v>
      </c>
      <c r="M64" s="4584"/>
      <c r="N64" s="4584"/>
      <c r="O64" s="4584"/>
      <c r="P64" s="1244">
        <f t="shared" ref="P64" si="6">IF(Q64=0,50,"-")</f>
        <v>50</v>
      </c>
      <c r="Q64" s="2552"/>
      <c r="R64" s="2730" t="b">
        <f>OR(Ki!$P64="-",Ki!$H64="-",Tablas!$H$1257&gt;0)</f>
        <v>0</v>
      </c>
      <c r="S64" s="2364"/>
      <c r="T64" s="2364"/>
      <c r="U64" s="1245"/>
      <c r="V64" s="4291" t="str">
        <f>IF(V63="","",VLOOKUP(V63,'Tablas Técnicas'!$AD$5:$AI$188,4,FALSE))</f>
        <v/>
      </c>
      <c r="W64" s="4342"/>
      <c r="X64" s="4342"/>
      <c r="Y64" s="4342"/>
      <c r="Z64" s="1246" t="s">
        <v>1627</v>
      </c>
      <c r="AA64" s="1267" t="str">
        <f>IF(V63="","",VLOOKUP(V63,'Tablas Técnicas'!$AD$5:$AI$188,2,FALSE))</f>
        <v/>
      </c>
      <c r="AB64" s="4583"/>
      <c r="AD64" s="4291" t="str">
        <f>IF(AD63="","",VLOOKUP(AD63,'Tablas Técnicas'!$AD$5:$AI$188,4,FALSE))</f>
        <v/>
      </c>
      <c r="AE64" s="4342"/>
      <c r="AF64" s="4342"/>
      <c r="AG64" s="4342"/>
      <c r="AH64" s="1246" t="s">
        <v>1627</v>
      </c>
      <c r="AI64" s="1267" t="str">
        <f>IF(AD63="","",VLOOKUP(AD63,'Tablas Técnicas'!$AD$5:$AI$188,2,FALSE))</f>
        <v/>
      </c>
      <c r="AJ64" s="4583"/>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81" t="s">
        <v>4532</v>
      </c>
      <c r="G3" s="4781"/>
      <c r="H3" s="4781"/>
      <c r="I3" s="4781"/>
      <c r="J3" s="4781"/>
      <c r="K3" s="4781"/>
      <c r="L3" s="4781"/>
      <c r="M3" s="4781"/>
      <c r="N3" s="4781"/>
      <c r="O3" s="4781"/>
      <c r="P3" s="4781"/>
      <c r="Q3" s="4781"/>
      <c r="R3" s="4781"/>
      <c r="S3" s="4781"/>
      <c r="T3" s="4781"/>
      <c r="U3" s="4781"/>
      <c r="V3" s="4781"/>
      <c r="W3" s="4781"/>
      <c r="X3" s="4781"/>
      <c r="Y3" s="4781"/>
      <c r="Z3" s="4781"/>
      <c r="AA3" s="4781"/>
      <c r="AB3" s="4781"/>
      <c r="AC3" s="4781"/>
      <c r="AD3" s="4781"/>
      <c r="AE3" s="4781"/>
      <c r="AF3" s="4781"/>
      <c r="AG3" s="4781"/>
      <c r="AH3" s="4781"/>
      <c r="AI3" s="4781"/>
      <c r="AJ3" s="4781"/>
      <c r="AK3" s="4781"/>
      <c r="AL3" s="4781"/>
      <c r="AM3" s="4781"/>
      <c r="AN3" s="4781"/>
      <c r="AO3" s="4781"/>
      <c r="AP3" s="4781"/>
      <c r="AQ3" s="4781"/>
      <c r="AR3" s="4781"/>
      <c r="AS3" s="4781"/>
      <c r="AT3" s="4781"/>
      <c r="AU3" s="4781"/>
      <c r="AV3" s="4781"/>
      <c r="AW3" s="4781"/>
      <c r="AX3" s="4781"/>
      <c r="AY3" s="4781"/>
      <c r="AZ3" s="4781"/>
      <c r="BA3" s="4781"/>
      <c r="BB3" s="4781"/>
      <c r="BC3" s="4781"/>
      <c r="BD3" s="4781"/>
      <c r="BE3" s="4781"/>
      <c r="BF3" s="4781"/>
      <c r="BG3" s="4781"/>
      <c r="BH3" s="4781"/>
      <c r="BI3" s="4781"/>
      <c r="BJ3" s="4781"/>
      <c r="BK3" s="4781"/>
      <c r="BL3" s="4781"/>
      <c r="BM3" s="4781"/>
      <c r="BN3" s="4781"/>
      <c r="BO3" s="4781"/>
      <c r="BP3" s="4781"/>
      <c r="BQ3" s="4781"/>
      <c r="BR3" s="4781"/>
      <c r="BS3" s="4781"/>
      <c r="BT3" s="4781"/>
      <c r="BU3" s="4782"/>
      <c r="BV3" s="965"/>
      <c r="BW3" s="963"/>
      <c r="BX3" s="963"/>
      <c r="BY3" s="1298"/>
      <c r="BZ3" s="1316"/>
      <c r="CA3" s="951"/>
      <c r="DR3" s="951"/>
      <c r="DT3" s="1321"/>
      <c r="DU3" s="4771" t="s">
        <v>8626</v>
      </c>
      <c r="DV3" s="4772"/>
      <c r="DW3" s="4772"/>
      <c r="DX3" s="4773"/>
      <c r="DY3" s="1302"/>
      <c r="DZ3" s="951"/>
    </row>
    <row r="4" spans="1:132" ht="12" customHeight="1" x14ac:dyDescent="0.2">
      <c r="A4" s="951"/>
      <c r="B4" s="951"/>
      <c r="C4" s="1321"/>
      <c r="D4" s="1460"/>
      <c r="E4" s="966"/>
      <c r="F4" s="4783"/>
      <c r="G4" s="4783"/>
      <c r="H4" s="4783"/>
      <c r="I4" s="4783"/>
      <c r="J4" s="4783"/>
      <c r="K4" s="4783"/>
      <c r="L4" s="4783"/>
      <c r="M4" s="4783"/>
      <c r="N4" s="4783"/>
      <c r="O4" s="4783"/>
      <c r="P4" s="4783"/>
      <c r="Q4" s="4783"/>
      <c r="R4" s="4783"/>
      <c r="S4" s="4783"/>
      <c r="T4" s="4783"/>
      <c r="U4" s="4783"/>
      <c r="V4" s="4783"/>
      <c r="W4" s="4783"/>
      <c r="X4" s="4783"/>
      <c r="Y4" s="4783"/>
      <c r="Z4" s="4783"/>
      <c r="AA4" s="4783"/>
      <c r="AB4" s="4783"/>
      <c r="AC4" s="4783"/>
      <c r="AD4" s="4783"/>
      <c r="AE4" s="4783"/>
      <c r="AF4" s="4783"/>
      <c r="AG4" s="4783"/>
      <c r="AH4" s="4783"/>
      <c r="AI4" s="4783"/>
      <c r="AJ4" s="4783"/>
      <c r="AK4" s="4783"/>
      <c r="AL4" s="4783"/>
      <c r="AM4" s="4783"/>
      <c r="AN4" s="4783"/>
      <c r="AO4" s="4783"/>
      <c r="AP4" s="4783"/>
      <c r="AQ4" s="4783"/>
      <c r="AR4" s="4783"/>
      <c r="AS4" s="4783"/>
      <c r="AT4" s="4783"/>
      <c r="AU4" s="4783"/>
      <c r="AV4" s="4783"/>
      <c r="AW4" s="4783"/>
      <c r="AX4" s="4783"/>
      <c r="AY4" s="4783"/>
      <c r="AZ4" s="4783"/>
      <c r="BA4" s="4783"/>
      <c r="BB4" s="4783"/>
      <c r="BC4" s="4783"/>
      <c r="BD4" s="4783"/>
      <c r="BE4" s="4783"/>
      <c r="BF4" s="4783"/>
      <c r="BG4" s="4783"/>
      <c r="BH4" s="4783"/>
      <c r="BI4" s="4783"/>
      <c r="BJ4" s="4783"/>
      <c r="BK4" s="4783"/>
      <c r="BL4" s="4783"/>
      <c r="BM4" s="4783"/>
      <c r="BN4" s="4783"/>
      <c r="BO4" s="4783"/>
      <c r="BP4" s="4783"/>
      <c r="BQ4" s="4783"/>
      <c r="BR4" s="4783"/>
      <c r="BS4" s="4783"/>
      <c r="BT4" s="4783"/>
      <c r="BU4" s="4784"/>
      <c r="BV4" s="965"/>
      <c r="BW4" s="963"/>
      <c r="BX4" s="963"/>
      <c r="BY4" s="1298"/>
      <c r="BZ4" s="1316"/>
      <c r="CA4" s="951"/>
      <c r="DR4" s="951"/>
      <c r="DT4" s="1321"/>
      <c r="DU4" s="4774"/>
      <c r="DV4" s="4775"/>
      <c r="DW4" s="4775"/>
      <c r="DX4" s="4776"/>
      <c r="DY4" s="1302"/>
      <c r="DZ4" s="951"/>
    </row>
    <row r="5" spans="1:132" ht="12" customHeight="1" x14ac:dyDescent="0.2">
      <c r="A5" s="951"/>
      <c r="B5" s="951"/>
      <c r="C5" s="1321"/>
      <c r="D5" s="1460"/>
      <c r="E5" s="966"/>
      <c r="F5" s="4783"/>
      <c r="G5" s="4783"/>
      <c r="H5" s="4783"/>
      <c r="I5" s="4783"/>
      <c r="J5" s="4783"/>
      <c r="K5" s="4783"/>
      <c r="L5" s="4783"/>
      <c r="M5" s="4783"/>
      <c r="N5" s="4783"/>
      <c r="O5" s="4783"/>
      <c r="P5" s="4783"/>
      <c r="Q5" s="4783"/>
      <c r="R5" s="4783"/>
      <c r="S5" s="4783"/>
      <c r="T5" s="4783"/>
      <c r="U5" s="4783"/>
      <c r="V5" s="4783"/>
      <c r="W5" s="4783"/>
      <c r="X5" s="4783"/>
      <c r="Y5" s="4783"/>
      <c r="Z5" s="4783"/>
      <c r="AA5" s="4783"/>
      <c r="AB5" s="4783"/>
      <c r="AC5" s="4783"/>
      <c r="AD5" s="4783"/>
      <c r="AE5" s="4783"/>
      <c r="AF5" s="4783"/>
      <c r="AG5" s="4783"/>
      <c r="AH5" s="4783"/>
      <c r="AI5" s="4783"/>
      <c r="AJ5" s="4783"/>
      <c r="AK5" s="4783"/>
      <c r="AL5" s="4783"/>
      <c r="AM5" s="4783"/>
      <c r="AN5" s="4783"/>
      <c r="AO5" s="4783"/>
      <c r="AP5" s="4783"/>
      <c r="AQ5" s="4783"/>
      <c r="AR5" s="4783"/>
      <c r="AS5" s="4783"/>
      <c r="AT5" s="4783"/>
      <c r="AU5" s="4783"/>
      <c r="AV5" s="4783"/>
      <c r="AW5" s="4783"/>
      <c r="AX5" s="4783"/>
      <c r="AY5" s="4783"/>
      <c r="AZ5" s="4783"/>
      <c r="BA5" s="4783"/>
      <c r="BB5" s="4783"/>
      <c r="BC5" s="4783"/>
      <c r="BD5" s="4783"/>
      <c r="BE5" s="4783"/>
      <c r="BF5" s="4783"/>
      <c r="BG5" s="4783"/>
      <c r="BH5" s="4783"/>
      <c r="BI5" s="4783"/>
      <c r="BJ5" s="4783"/>
      <c r="BK5" s="4783"/>
      <c r="BL5" s="4783"/>
      <c r="BM5" s="4783"/>
      <c r="BN5" s="4783"/>
      <c r="BO5" s="4783"/>
      <c r="BP5" s="4783"/>
      <c r="BQ5" s="4783"/>
      <c r="BR5" s="4783"/>
      <c r="BS5" s="4783"/>
      <c r="BT5" s="4783"/>
      <c r="BU5" s="4784"/>
      <c r="BV5" s="965"/>
      <c r="BW5" s="963"/>
      <c r="BX5" s="963"/>
      <c r="BY5" s="1298"/>
      <c r="BZ5" s="1316"/>
      <c r="CA5" s="951"/>
      <c r="DR5" s="951"/>
      <c r="DT5" s="1335"/>
      <c r="DU5" s="4774"/>
      <c r="DV5" s="4775"/>
      <c r="DW5" s="4775"/>
      <c r="DX5" s="4776"/>
      <c r="DY5" s="1336"/>
      <c r="DZ5" s="951"/>
    </row>
    <row r="6" spans="1:132" ht="12" customHeight="1" thickBot="1" x14ac:dyDescent="0.25">
      <c r="A6" s="951"/>
      <c r="B6" s="951"/>
      <c r="C6" s="1321"/>
      <c r="D6" s="1461"/>
      <c r="E6" s="967"/>
      <c r="F6" s="4785"/>
      <c r="G6" s="4785"/>
      <c r="H6" s="4785"/>
      <c r="I6" s="4785"/>
      <c r="J6" s="4785"/>
      <c r="K6" s="4785"/>
      <c r="L6" s="4785"/>
      <c r="M6" s="4785"/>
      <c r="N6" s="4785"/>
      <c r="O6" s="4785"/>
      <c r="P6" s="4785"/>
      <c r="Q6" s="4785"/>
      <c r="R6" s="4785"/>
      <c r="S6" s="4785"/>
      <c r="T6" s="4785"/>
      <c r="U6" s="4785"/>
      <c r="V6" s="4785"/>
      <c r="W6" s="4785"/>
      <c r="X6" s="4785"/>
      <c r="Y6" s="4785"/>
      <c r="Z6" s="4785"/>
      <c r="AA6" s="4785"/>
      <c r="AB6" s="4785"/>
      <c r="AC6" s="4785"/>
      <c r="AD6" s="4785"/>
      <c r="AE6" s="4785"/>
      <c r="AF6" s="4785"/>
      <c r="AG6" s="4785"/>
      <c r="AH6" s="4785"/>
      <c r="AI6" s="4785"/>
      <c r="AJ6" s="4785"/>
      <c r="AK6" s="4785"/>
      <c r="AL6" s="4785"/>
      <c r="AM6" s="4785"/>
      <c r="AN6" s="4785"/>
      <c r="AO6" s="4785"/>
      <c r="AP6" s="4785"/>
      <c r="AQ6" s="4785"/>
      <c r="AR6" s="4785"/>
      <c r="AS6" s="4785"/>
      <c r="AT6" s="4785"/>
      <c r="AU6" s="4785"/>
      <c r="AV6" s="4785"/>
      <c r="AW6" s="4785"/>
      <c r="AX6" s="4785"/>
      <c r="AY6" s="4785"/>
      <c r="AZ6" s="4785"/>
      <c r="BA6" s="4785"/>
      <c r="BB6" s="4785"/>
      <c r="BC6" s="4785"/>
      <c r="BD6" s="4785"/>
      <c r="BE6" s="4785"/>
      <c r="BF6" s="4785"/>
      <c r="BG6" s="4785"/>
      <c r="BH6" s="4785"/>
      <c r="BI6" s="4785"/>
      <c r="BJ6" s="4785"/>
      <c r="BK6" s="4785"/>
      <c r="BL6" s="4785"/>
      <c r="BM6" s="4785"/>
      <c r="BN6" s="4785"/>
      <c r="BO6" s="4785"/>
      <c r="BP6" s="4785"/>
      <c r="BQ6" s="4785"/>
      <c r="BR6" s="4785"/>
      <c r="BS6" s="4785"/>
      <c r="BT6" s="4785"/>
      <c r="BU6" s="4786"/>
      <c r="BV6" s="965"/>
      <c r="BW6" s="963"/>
      <c r="BX6" s="963"/>
      <c r="BY6" s="1298"/>
      <c r="BZ6" s="1316"/>
      <c r="CA6" s="951"/>
      <c r="DR6" s="951"/>
      <c r="DT6" s="1335"/>
      <c r="DU6" s="4777"/>
      <c r="DV6" s="4778"/>
      <c r="DW6" s="4778"/>
      <c r="DX6" s="4779"/>
      <c r="DY6" s="1336"/>
      <c r="DZ6" s="951"/>
    </row>
    <row r="7" spans="1:132" ht="12" customHeight="1" x14ac:dyDescent="0.2">
      <c r="A7" s="951"/>
      <c r="B7" s="951"/>
      <c r="C7" s="4738"/>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38"/>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64" t="s">
        <v>3338</v>
      </c>
      <c r="X8" s="4764"/>
      <c r="Y8" s="4764"/>
      <c r="Z8" s="4764"/>
      <c r="AA8" s="4764"/>
      <c r="AB8" s="4764"/>
      <c r="AC8" s="4764"/>
      <c r="AD8" s="4764"/>
      <c r="AE8" s="4764"/>
      <c r="AF8" s="4764"/>
      <c r="AG8" s="4764"/>
      <c r="AH8" s="4764"/>
      <c r="AI8" s="4764"/>
      <c r="AJ8" s="4764"/>
      <c r="AK8" s="4764"/>
      <c r="AL8" s="4764"/>
      <c r="AM8" s="4764"/>
      <c r="AN8" s="4764"/>
      <c r="AO8" s="4764"/>
      <c r="AP8" s="4764"/>
      <c r="AQ8" s="4764"/>
      <c r="AR8" s="4764"/>
      <c r="AS8" s="4764"/>
      <c r="AT8" s="4764"/>
      <c r="AU8" s="4764"/>
      <c r="AV8" s="4764"/>
      <c r="AW8" s="4764"/>
      <c r="AX8" s="4764"/>
      <c r="AY8" s="4764"/>
      <c r="AZ8" s="4764"/>
      <c r="BA8" s="4764"/>
      <c r="BB8" s="4764"/>
      <c r="BC8" s="4764"/>
      <c r="BD8" s="4764"/>
      <c r="BE8" s="4764"/>
      <c r="BF8" s="4764"/>
      <c r="BG8" s="4764"/>
      <c r="BH8" s="4764"/>
      <c r="BI8" s="4764"/>
      <c r="BJ8" s="4764"/>
      <c r="BK8" s="4764" t="s">
        <v>3339</v>
      </c>
      <c r="BL8" s="4764"/>
      <c r="BM8" s="4765"/>
      <c r="BN8" s="981" t="s">
        <v>4534</v>
      </c>
      <c r="BO8" s="981" t="s">
        <v>4535</v>
      </c>
      <c r="BP8" s="981" t="s">
        <v>4536</v>
      </c>
      <c r="BQ8" s="981" t="s">
        <v>4537</v>
      </c>
      <c r="BR8" s="981" t="s">
        <v>4538</v>
      </c>
      <c r="BS8" s="982" t="s">
        <v>4539</v>
      </c>
      <c r="BT8" s="4762" t="s">
        <v>4540</v>
      </c>
      <c r="BU8" s="4763"/>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38"/>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38"/>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762" t="s">
        <v>4541</v>
      </c>
      <c r="BU10" s="4763"/>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78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38"/>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59" t="s">
        <v>4542</v>
      </c>
      <c r="U11" s="4760"/>
      <c r="V11" s="4760"/>
      <c r="W11" s="4760"/>
      <c r="X11" s="4760"/>
      <c r="Y11" s="4760"/>
      <c r="Z11" s="4760"/>
      <c r="AA11" s="4760"/>
      <c r="AB11" s="4760"/>
      <c r="AC11" s="4760"/>
      <c r="AD11" s="4760"/>
      <c r="AE11" s="4760"/>
      <c r="AF11" s="4760"/>
      <c r="AG11" s="4760"/>
      <c r="AH11" s="4760"/>
      <c r="AI11" s="4760"/>
      <c r="AJ11" s="4760"/>
      <c r="AK11" s="4760"/>
      <c r="AL11" s="4760"/>
      <c r="AM11" s="4760"/>
      <c r="AN11" s="4760"/>
      <c r="AO11" s="4760"/>
      <c r="AP11" s="4760"/>
      <c r="AQ11" s="4760"/>
      <c r="AR11" s="4760"/>
      <c r="AS11" s="4760"/>
      <c r="AT11" s="4760"/>
      <c r="AU11" s="4760"/>
      <c r="AV11" s="4760"/>
      <c r="AW11" s="4760"/>
      <c r="AX11" s="4760"/>
      <c r="AY11" s="4760"/>
      <c r="AZ11" s="4760"/>
      <c r="BA11" s="4760"/>
      <c r="BB11" s="4760"/>
      <c r="BC11" s="4760"/>
      <c r="BD11" s="4760"/>
      <c r="BE11" s="4760"/>
      <c r="BF11" s="4760"/>
      <c r="BG11" s="4760"/>
      <c r="BH11" s="4760"/>
      <c r="BI11" s="4760"/>
      <c r="BJ11" s="4760"/>
      <c r="BK11" s="4761"/>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76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69"/>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780"/>
      <c r="DY11" s="1336"/>
      <c r="DZ11" s="951"/>
      <c r="EA11" s="1482">
        <f t="shared" si="0"/>
        <v>1</v>
      </c>
    </row>
    <row r="12" spans="1:132" ht="12.75" customHeight="1" x14ac:dyDescent="0.2">
      <c r="A12" s="951"/>
      <c r="B12" s="951"/>
      <c r="C12" s="4738"/>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30"/>
      <c r="U12" s="4731"/>
      <c r="V12" s="1397" t="str">
        <f>IF(OR(V10=0,V10=""),"N/A",V10)</f>
        <v>N/A</v>
      </c>
      <c r="W12" s="4730" t="str">
        <f xml:space="preserve"> IF(OR(AF10=0,AF10=""),"N/A",W10)</f>
        <v>N/A</v>
      </c>
      <c r="X12" s="4732"/>
      <c r="Y12" s="4732"/>
      <c r="Z12" s="4732"/>
      <c r="AA12" s="4732"/>
      <c r="AB12" s="4732"/>
      <c r="AC12" s="4732"/>
      <c r="AD12" s="4732"/>
      <c r="AE12" s="4732"/>
      <c r="AF12" s="4731"/>
      <c r="AG12" s="4730" t="str">
        <f xml:space="preserve"> IF(OR(AP10="",AP10=0),"N/A",AG10)</f>
        <v>N/A</v>
      </c>
      <c r="AH12" s="4732"/>
      <c r="AI12" s="4732"/>
      <c r="AJ12" s="4732"/>
      <c r="AK12" s="4732"/>
      <c r="AL12" s="4732"/>
      <c r="AM12" s="4732"/>
      <c r="AN12" s="4732"/>
      <c r="AO12" s="4732"/>
      <c r="AP12" s="4731"/>
      <c r="AQ12" s="4730" t="str">
        <f xml:space="preserve"> IF(OR(AZ10="",AZ10=0),"N/A",AQ10)</f>
        <v>N/A</v>
      </c>
      <c r="AR12" s="4732"/>
      <c r="AS12" s="4732"/>
      <c r="AT12" s="4732"/>
      <c r="AU12" s="4732"/>
      <c r="AV12" s="4732"/>
      <c r="AW12" s="4732"/>
      <c r="AX12" s="4732"/>
      <c r="AY12" s="4732"/>
      <c r="AZ12" s="4731"/>
      <c r="BA12" s="4730" t="str">
        <f xml:space="preserve"> IF(OR(BJ10="",BJ10=0),"N/A",BA10)</f>
        <v>N/A</v>
      </c>
      <c r="BB12" s="4732"/>
      <c r="BC12" s="4732"/>
      <c r="BD12" s="4732"/>
      <c r="BE12" s="4732"/>
      <c r="BF12" s="4732"/>
      <c r="BG12" s="4732"/>
      <c r="BH12" s="4732"/>
      <c r="BI12" s="4732"/>
      <c r="BJ12" s="4731"/>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780"/>
      <c r="DY12" s="1336"/>
      <c r="DZ12" s="951"/>
      <c r="EA12" s="1482">
        <f t="shared" si="0"/>
        <v>1</v>
      </c>
    </row>
    <row r="13" spans="1:132" x14ac:dyDescent="0.2">
      <c r="A13" s="951"/>
      <c r="B13" s="951"/>
      <c r="C13" s="4738"/>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33" t="s">
        <v>4544</v>
      </c>
      <c r="U13" s="4734"/>
      <c r="V13" s="1403"/>
      <c r="W13" s="4735"/>
      <c r="X13" s="4736"/>
      <c r="Y13" s="4736"/>
      <c r="Z13" s="4736"/>
      <c r="AA13" s="4736"/>
      <c r="AB13" s="4736"/>
      <c r="AC13" s="4736"/>
      <c r="AD13" s="4736"/>
      <c r="AE13" s="4736"/>
      <c r="AF13" s="4737"/>
      <c r="AG13" s="4735"/>
      <c r="AH13" s="4736"/>
      <c r="AI13" s="4736"/>
      <c r="AJ13" s="4736"/>
      <c r="AK13" s="4736"/>
      <c r="AL13" s="4736"/>
      <c r="AM13" s="4736"/>
      <c r="AN13" s="4736"/>
      <c r="AO13" s="4736"/>
      <c r="AP13" s="4737"/>
      <c r="AQ13" s="4735"/>
      <c r="AR13" s="4736"/>
      <c r="AS13" s="4736"/>
      <c r="AT13" s="4736"/>
      <c r="AU13" s="4736"/>
      <c r="AV13" s="4736"/>
      <c r="AW13" s="4736"/>
      <c r="AX13" s="4736"/>
      <c r="AY13" s="4736"/>
      <c r="AZ13" s="4737"/>
      <c r="BA13" s="4735"/>
      <c r="BB13" s="4736"/>
      <c r="BC13" s="4736"/>
      <c r="BD13" s="4736"/>
      <c r="BE13" s="4736"/>
      <c r="BF13" s="4736"/>
      <c r="BG13" s="4736"/>
      <c r="BH13" s="4736"/>
      <c r="BI13" s="4736"/>
      <c r="BJ13" s="4737"/>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762" t="s">
        <v>4545</v>
      </c>
      <c r="BU13" s="4763"/>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780"/>
      <c r="DY13" s="1336"/>
      <c r="DZ13" s="951"/>
      <c r="EA13" s="1482">
        <f t="shared" si="0"/>
        <v>1</v>
      </c>
    </row>
    <row r="14" spans="1:132" x14ac:dyDescent="0.2">
      <c r="A14" s="951"/>
      <c r="B14" s="951"/>
      <c r="C14" s="4738"/>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54" t="s">
        <v>4546</v>
      </c>
      <c r="U14" s="4755"/>
      <c r="V14" s="1401"/>
      <c r="W14" s="4756"/>
      <c r="X14" s="4757"/>
      <c r="Y14" s="4757"/>
      <c r="Z14" s="4757"/>
      <c r="AA14" s="4757"/>
      <c r="AB14" s="4757"/>
      <c r="AC14" s="4757"/>
      <c r="AD14" s="4757"/>
      <c r="AE14" s="4757"/>
      <c r="AF14" s="4758"/>
      <c r="AG14" s="4756"/>
      <c r="AH14" s="4757"/>
      <c r="AI14" s="4757"/>
      <c r="AJ14" s="4757"/>
      <c r="AK14" s="4757"/>
      <c r="AL14" s="4757"/>
      <c r="AM14" s="4757"/>
      <c r="AN14" s="4757"/>
      <c r="AO14" s="4757"/>
      <c r="AP14" s="4758"/>
      <c r="AQ14" s="4756"/>
      <c r="AR14" s="4757"/>
      <c r="AS14" s="4757"/>
      <c r="AT14" s="4757"/>
      <c r="AU14" s="4757"/>
      <c r="AV14" s="4757"/>
      <c r="AW14" s="4757"/>
      <c r="AX14" s="4757"/>
      <c r="AY14" s="4757"/>
      <c r="AZ14" s="4758"/>
      <c r="BA14" s="4756"/>
      <c r="BB14" s="4757"/>
      <c r="BC14" s="4757"/>
      <c r="BD14" s="4757"/>
      <c r="BE14" s="4757"/>
      <c r="BF14" s="4757"/>
      <c r="BG14" s="4757"/>
      <c r="BH14" s="4757"/>
      <c r="BI14" s="4757"/>
      <c r="BJ14" s="4758"/>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766" t="s">
        <v>1690</v>
      </c>
      <c r="BU14" s="4767"/>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780"/>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38"/>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762" t="s">
        <v>4547</v>
      </c>
      <c r="BU15" s="4763"/>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38"/>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766" t="s">
        <v>4527</v>
      </c>
      <c r="BU16" s="4767"/>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38"/>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59" t="s">
        <v>4542</v>
      </c>
      <c r="U17" s="4760"/>
      <c r="V17" s="4760"/>
      <c r="W17" s="4760"/>
      <c r="X17" s="4760"/>
      <c r="Y17" s="4760"/>
      <c r="Z17" s="4760"/>
      <c r="AA17" s="4760"/>
      <c r="AB17" s="4760"/>
      <c r="AC17" s="4760"/>
      <c r="AD17" s="4760"/>
      <c r="AE17" s="4760"/>
      <c r="AF17" s="4760"/>
      <c r="AG17" s="4760"/>
      <c r="AH17" s="4760"/>
      <c r="AI17" s="4760"/>
      <c r="AJ17" s="4760"/>
      <c r="AK17" s="4760"/>
      <c r="AL17" s="4760"/>
      <c r="AM17" s="4760"/>
      <c r="AN17" s="4760"/>
      <c r="AO17" s="4760"/>
      <c r="AP17" s="4760"/>
      <c r="AQ17" s="4760"/>
      <c r="AR17" s="4760"/>
      <c r="AS17" s="4760"/>
      <c r="AT17" s="4760"/>
      <c r="AU17" s="4760"/>
      <c r="AV17" s="4760"/>
      <c r="AW17" s="4760"/>
      <c r="AX17" s="4760"/>
      <c r="AY17" s="4760"/>
      <c r="AZ17" s="4760"/>
      <c r="BA17" s="4760"/>
      <c r="BB17" s="4760"/>
      <c r="BC17" s="4760"/>
      <c r="BD17" s="4760"/>
      <c r="BE17" s="4760"/>
      <c r="BF17" s="4760"/>
      <c r="BG17" s="4760"/>
      <c r="BH17" s="4760"/>
      <c r="BI17" s="4760"/>
      <c r="BJ17" s="4760"/>
      <c r="BK17" s="4761"/>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762" t="s">
        <v>4548</v>
      </c>
      <c r="BU17" s="4763"/>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38"/>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30"/>
      <c r="U18" s="4731"/>
      <c r="V18" s="1397" t="str">
        <f>IF(OR(V16=0,V16=""),"N/A",V16)</f>
        <v>N/A</v>
      </c>
      <c r="W18" s="4730" t="str">
        <f xml:space="preserve"> IF(OR(AF16=0,AF16=""),"N/A",W16)</f>
        <v>N/A</v>
      </c>
      <c r="X18" s="4732"/>
      <c r="Y18" s="4732"/>
      <c r="Z18" s="4732"/>
      <c r="AA18" s="4732"/>
      <c r="AB18" s="4732"/>
      <c r="AC18" s="4732"/>
      <c r="AD18" s="4732"/>
      <c r="AE18" s="4732"/>
      <c r="AF18" s="4731"/>
      <c r="AG18" s="4730" t="str">
        <f xml:space="preserve"> IF(OR(AP16="",AP16=0),"N/A",AG16)</f>
        <v>N/A</v>
      </c>
      <c r="AH18" s="4732"/>
      <c r="AI18" s="4732"/>
      <c r="AJ18" s="4732"/>
      <c r="AK18" s="4732"/>
      <c r="AL18" s="4732"/>
      <c r="AM18" s="4732"/>
      <c r="AN18" s="4732"/>
      <c r="AO18" s="4732"/>
      <c r="AP18" s="4731"/>
      <c r="AQ18" s="4730" t="str">
        <f xml:space="preserve"> IF(OR(AZ16="",AZ16=0),"N/A",AQ16)</f>
        <v>N/A</v>
      </c>
      <c r="AR18" s="4732"/>
      <c r="AS18" s="4732"/>
      <c r="AT18" s="4732"/>
      <c r="AU18" s="4732"/>
      <c r="AV18" s="4732"/>
      <c r="AW18" s="4732"/>
      <c r="AX18" s="4732"/>
      <c r="AY18" s="4732"/>
      <c r="AZ18" s="4731"/>
      <c r="BA18" s="4730" t="str">
        <f xml:space="preserve"> IF(OR(BJ16="",BJ16=0),"N/A",BA16)</f>
        <v>N/A</v>
      </c>
      <c r="BB18" s="4732"/>
      <c r="BC18" s="4732"/>
      <c r="BD18" s="4732"/>
      <c r="BE18" s="4732"/>
      <c r="BF18" s="4732"/>
      <c r="BG18" s="4732"/>
      <c r="BH18" s="4732"/>
      <c r="BI18" s="4732"/>
      <c r="BJ18" s="4731"/>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766" t="s">
        <v>4521</v>
      </c>
      <c r="BU18" s="4767"/>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38"/>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33" t="s">
        <v>4544</v>
      </c>
      <c r="U19" s="4734"/>
      <c r="V19" s="1403"/>
      <c r="W19" s="4735"/>
      <c r="X19" s="4736"/>
      <c r="Y19" s="4736"/>
      <c r="Z19" s="4736"/>
      <c r="AA19" s="4736"/>
      <c r="AB19" s="4736"/>
      <c r="AC19" s="4736"/>
      <c r="AD19" s="4736"/>
      <c r="AE19" s="4736"/>
      <c r="AF19" s="4737"/>
      <c r="AG19" s="4735"/>
      <c r="AH19" s="4736"/>
      <c r="AI19" s="4736"/>
      <c r="AJ19" s="4736"/>
      <c r="AK19" s="4736"/>
      <c r="AL19" s="4736"/>
      <c r="AM19" s="4736"/>
      <c r="AN19" s="4736"/>
      <c r="AO19" s="4736"/>
      <c r="AP19" s="4737"/>
      <c r="AQ19" s="4735"/>
      <c r="AR19" s="4736"/>
      <c r="AS19" s="4736"/>
      <c r="AT19" s="4736"/>
      <c r="AU19" s="4736"/>
      <c r="AV19" s="4736"/>
      <c r="AW19" s="4736"/>
      <c r="AX19" s="4736"/>
      <c r="AY19" s="4736"/>
      <c r="AZ19" s="4737"/>
      <c r="BA19" s="4735"/>
      <c r="BB19" s="4736"/>
      <c r="BC19" s="4736"/>
      <c r="BD19" s="4736"/>
      <c r="BE19" s="4736"/>
      <c r="BF19" s="4736"/>
      <c r="BG19" s="4736"/>
      <c r="BH19" s="4736"/>
      <c r="BI19" s="4736"/>
      <c r="BJ19" s="4737"/>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740" t="s">
        <v>4549</v>
      </c>
      <c r="BU19" s="4741"/>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38"/>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54" t="s">
        <v>4546</v>
      </c>
      <c r="U20" s="4755"/>
      <c r="V20" s="1401"/>
      <c r="W20" s="4756"/>
      <c r="X20" s="4757"/>
      <c r="Y20" s="4757"/>
      <c r="Z20" s="4757"/>
      <c r="AA20" s="4757"/>
      <c r="AB20" s="4757"/>
      <c r="AC20" s="4757"/>
      <c r="AD20" s="4757"/>
      <c r="AE20" s="4757"/>
      <c r="AF20" s="4758"/>
      <c r="AG20" s="4756"/>
      <c r="AH20" s="4757"/>
      <c r="AI20" s="4757"/>
      <c r="AJ20" s="4757"/>
      <c r="AK20" s="4757"/>
      <c r="AL20" s="4757"/>
      <c r="AM20" s="4757"/>
      <c r="AN20" s="4757"/>
      <c r="AO20" s="4757"/>
      <c r="AP20" s="4758"/>
      <c r="AQ20" s="4756"/>
      <c r="AR20" s="4757"/>
      <c r="AS20" s="4757"/>
      <c r="AT20" s="4757"/>
      <c r="AU20" s="4757"/>
      <c r="AV20" s="4757"/>
      <c r="AW20" s="4757"/>
      <c r="AX20" s="4757"/>
      <c r="AY20" s="4757"/>
      <c r="AZ20" s="4758"/>
      <c r="BA20" s="4756"/>
      <c r="BB20" s="4757"/>
      <c r="BC20" s="4757"/>
      <c r="BD20" s="4757"/>
      <c r="BE20" s="4757"/>
      <c r="BF20" s="4757"/>
      <c r="BG20" s="4757"/>
      <c r="BH20" s="4757"/>
      <c r="BI20" s="4757"/>
      <c r="BJ20" s="4758"/>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39"/>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38"/>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39"/>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38"/>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39"/>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38"/>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59" t="s">
        <v>4542</v>
      </c>
      <c r="U23" s="4760"/>
      <c r="V23" s="4760"/>
      <c r="W23" s="4760"/>
      <c r="X23" s="4760"/>
      <c r="Y23" s="4760"/>
      <c r="Z23" s="4760"/>
      <c r="AA23" s="4760"/>
      <c r="AB23" s="4760"/>
      <c r="AC23" s="4760"/>
      <c r="AD23" s="4760"/>
      <c r="AE23" s="4760"/>
      <c r="AF23" s="4760"/>
      <c r="AG23" s="4760"/>
      <c r="AH23" s="4760"/>
      <c r="AI23" s="4760"/>
      <c r="AJ23" s="4760"/>
      <c r="AK23" s="4760"/>
      <c r="AL23" s="4760"/>
      <c r="AM23" s="4760"/>
      <c r="AN23" s="4760"/>
      <c r="AO23" s="4760"/>
      <c r="AP23" s="4760"/>
      <c r="AQ23" s="4760"/>
      <c r="AR23" s="4760"/>
      <c r="AS23" s="4760"/>
      <c r="AT23" s="4760"/>
      <c r="AU23" s="4760"/>
      <c r="AV23" s="4760"/>
      <c r="AW23" s="4760"/>
      <c r="AX23" s="4760"/>
      <c r="AY23" s="4760"/>
      <c r="AZ23" s="4760"/>
      <c r="BA23" s="4760"/>
      <c r="BB23" s="4760"/>
      <c r="BC23" s="4760"/>
      <c r="BD23" s="4760"/>
      <c r="BE23" s="4760"/>
      <c r="BF23" s="4760"/>
      <c r="BG23" s="4760"/>
      <c r="BH23" s="4760"/>
      <c r="BI23" s="4760"/>
      <c r="BJ23" s="4760"/>
      <c r="BK23" s="4761"/>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38"/>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30"/>
      <c r="U24" s="4731"/>
      <c r="V24" s="1397" t="str">
        <f>IF(OR(V22=0,V22=""),"N/A",V22)</f>
        <v>N/A</v>
      </c>
      <c r="W24" s="4730" t="str">
        <f xml:space="preserve"> IF(OR(AF22=0,AF22=""),"N/A",W22)</f>
        <v>N/A</v>
      </c>
      <c r="X24" s="4732"/>
      <c r="Y24" s="4732"/>
      <c r="Z24" s="4732"/>
      <c r="AA24" s="4732"/>
      <c r="AB24" s="4732"/>
      <c r="AC24" s="4732"/>
      <c r="AD24" s="4732"/>
      <c r="AE24" s="4732"/>
      <c r="AF24" s="4731"/>
      <c r="AG24" s="4730" t="str">
        <f xml:space="preserve"> IF(OR(AP22="",AP22=0),"N/A",AG22)</f>
        <v>N/A</v>
      </c>
      <c r="AH24" s="4732"/>
      <c r="AI24" s="4732"/>
      <c r="AJ24" s="4732"/>
      <c r="AK24" s="4732"/>
      <c r="AL24" s="4732"/>
      <c r="AM24" s="4732"/>
      <c r="AN24" s="4732"/>
      <c r="AO24" s="4732"/>
      <c r="AP24" s="4731"/>
      <c r="AQ24" s="4730" t="str">
        <f xml:space="preserve"> IF(OR(AZ22="",AZ22=0),"N/A",AQ22)</f>
        <v>N/A</v>
      </c>
      <c r="AR24" s="4732"/>
      <c r="AS24" s="4732"/>
      <c r="AT24" s="4732"/>
      <c r="AU24" s="4732"/>
      <c r="AV24" s="4732"/>
      <c r="AW24" s="4732"/>
      <c r="AX24" s="4732"/>
      <c r="AY24" s="4732"/>
      <c r="AZ24" s="4731"/>
      <c r="BA24" s="4730" t="str">
        <f xml:space="preserve"> IF(OR(BJ22="",BJ22=0),"N/A",BA22)</f>
        <v>N/A</v>
      </c>
      <c r="BB24" s="4732"/>
      <c r="BC24" s="4732"/>
      <c r="BD24" s="4732"/>
      <c r="BE24" s="4732"/>
      <c r="BF24" s="4732"/>
      <c r="BG24" s="4732"/>
      <c r="BH24" s="4732"/>
      <c r="BI24" s="4732"/>
      <c r="BJ24" s="4731"/>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38"/>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33" t="s">
        <v>4544</v>
      </c>
      <c r="U25" s="4734"/>
      <c r="V25" s="1403"/>
      <c r="W25" s="4735"/>
      <c r="X25" s="4736"/>
      <c r="Y25" s="4736"/>
      <c r="Z25" s="4736"/>
      <c r="AA25" s="4736"/>
      <c r="AB25" s="4736"/>
      <c r="AC25" s="4736"/>
      <c r="AD25" s="4736"/>
      <c r="AE25" s="4736"/>
      <c r="AF25" s="4737"/>
      <c r="AG25" s="4735"/>
      <c r="AH25" s="4736"/>
      <c r="AI25" s="4736"/>
      <c r="AJ25" s="4736"/>
      <c r="AK25" s="4736"/>
      <c r="AL25" s="4736"/>
      <c r="AM25" s="4736"/>
      <c r="AN25" s="4736"/>
      <c r="AO25" s="4736"/>
      <c r="AP25" s="4737"/>
      <c r="AQ25" s="4735"/>
      <c r="AR25" s="4736"/>
      <c r="AS25" s="4736"/>
      <c r="AT25" s="4736"/>
      <c r="AU25" s="4736"/>
      <c r="AV25" s="4736"/>
      <c r="AW25" s="4736"/>
      <c r="AX25" s="4736"/>
      <c r="AY25" s="4736"/>
      <c r="AZ25" s="4737"/>
      <c r="BA25" s="4735"/>
      <c r="BB25" s="4736"/>
      <c r="BC25" s="4736"/>
      <c r="BD25" s="4736"/>
      <c r="BE25" s="4736"/>
      <c r="BF25" s="4736"/>
      <c r="BG25" s="4736"/>
      <c r="BH25" s="4736"/>
      <c r="BI25" s="4736"/>
      <c r="BJ25" s="4737"/>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38"/>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54" t="s">
        <v>4546</v>
      </c>
      <c r="U26" s="4755"/>
      <c r="V26" s="1401"/>
      <c r="W26" s="4756"/>
      <c r="X26" s="4757"/>
      <c r="Y26" s="4757"/>
      <c r="Z26" s="4757"/>
      <c r="AA26" s="4757"/>
      <c r="AB26" s="4757"/>
      <c r="AC26" s="4757"/>
      <c r="AD26" s="4757"/>
      <c r="AE26" s="4757"/>
      <c r="AF26" s="4758"/>
      <c r="AG26" s="4756"/>
      <c r="AH26" s="4757"/>
      <c r="AI26" s="4757"/>
      <c r="AJ26" s="4757"/>
      <c r="AK26" s="4757"/>
      <c r="AL26" s="4757"/>
      <c r="AM26" s="4757"/>
      <c r="AN26" s="4757"/>
      <c r="AO26" s="4757"/>
      <c r="AP26" s="4758"/>
      <c r="AQ26" s="4756"/>
      <c r="AR26" s="4757"/>
      <c r="AS26" s="4757"/>
      <c r="AT26" s="4757"/>
      <c r="AU26" s="4757"/>
      <c r="AV26" s="4757"/>
      <c r="AW26" s="4757"/>
      <c r="AX26" s="4757"/>
      <c r="AY26" s="4757"/>
      <c r="AZ26" s="4758"/>
      <c r="BA26" s="4756"/>
      <c r="BB26" s="4757"/>
      <c r="BC26" s="4757"/>
      <c r="BD26" s="4757"/>
      <c r="BE26" s="4757"/>
      <c r="BF26" s="4757"/>
      <c r="BG26" s="4757"/>
      <c r="BH26" s="4757"/>
      <c r="BI26" s="4757"/>
      <c r="BJ26" s="4758"/>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38"/>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38"/>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38"/>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59" t="s">
        <v>4542</v>
      </c>
      <c r="U29" s="4760"/>
      <c r="V29" s="4760"/>
      <c r="W29" s="4760"/>
      <c r="X29" s="4760"/>
      <c r="Y29" s="4760"/>
      <c r="Z29" s="4760"/>
      <c r="AA29" s="4760"/>
      <c r="AB29" s="4760"/>
      <c r="AC29" s="4760"/>
      <c r="AD29" s="4760"/>
      <c r="AE29" s="4760"/>
      <c r="AF29" s="4760"/>
      <c r="AG29" s="4760"/>
      <c r="AH29" s="4760"/>
      <c r="AI29" s="4760"/>
      <c r="AJ29" s="4760"/>
      <c r="AK29" s="4760"/>
      <c r="AL29" s="4760"/>
      <c r="AM29" s="4760"/>
      <c r="AN29" s="4760"/>
      <c r="AO29" s="4760"/>
      <c r="AP29" s="4760"/>
      <c r="AQ29" s="4760"/>
      <c r="AR29" s="4760"/>
      <c r="AS29" s="4760"/>
      <c r="AT29" s="4760"/>
      <c r="AU29" s="4760"/>
      <c r="AV29" s="4760"/>
      <c r="AW29" s="4760"/>
      <c r="AX29" s="4760"/>
      <c r="AY29" s="4760"/>
      <c r="AZ29" s="4760"/>
      <c r="BA29" s="4760"/>
      <c r="BB29" s="4760"/>
      <c r="BC29" s="4760"/>
      <c r="BD29" s="4760"/>
      <c r="BE29" s="4760"/>
      <c r="BF29" s="4760"/>
      <c r="BG29" s="4760"/>
      <c r="BH29" s="4760"/>
      <c r="BI29" s="4760"/>
      <c r="BJ29" s="4760"/>
      <c r="BK29" s="4761"/>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38"/>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30"/>
      <c r="U30" s="4731"/>
      <c r="V30" s="1397" t="str">
        <f>IF(OR(V28=0,V28=""),"N/A",V28)</f>
        <v>N/A</v>
      </c>
      <c r="W30" s="4730" t="str">
        <f xml:space="preserve"> IF(OR(AF28=0,AF28=""),"N/A",W28)</f>
        <v>N/A</v>
      </c>
      <c r="X30" s="4732"/>
      <c r="Y30" s="4732"/>
      <c r="Z30" s="4732"/>
      <c r="AA30" s="4732"/>
      <c r="AB30" s="4732"/>
      <c r="AC30" s="4732"/>
      <c r="AD30" s="4732"/>
      <c r="AE30" s="4732"/>
      <c r="AF30" s="4731"/>
      <c r="AG30" s="4730" t="str">
        <f xml:space="preserve"> IF(OR(AP28="",AP28=0),"N/A",AG28)</f>
        <v>N/A</v>
      </c>
      <c r="AH30" s="4732"/>
      <c r="AI30" s="4732"/>
      <c r="AJ30" s="4732"/>
      <c r="AK30" s="4732"/>
      <c r="AL30" s="4732"/>
      <c r="AM30" s="4732"/>
      <c r="AN30" s="4732"/>
      <c r="AO30" s="4732"/>
      <c r="AP30" s="4731"/>
      <c r="AQ30" s="4730" t="str">
        <f xml:space="preserve"> IF(OR(AZ28="",AZ28=0),"N/A",AQ28)</f>
        <v>N/A</v>
      </c>
      <c r="AR30" s="4732"/>
      <c r="AS30" s="4732"/>
      <c r="AT30" s="4732"/>
      <c r="AU30" s="4732"/>
      <c r="AV30" s="4732"/>
      <c r="AW30" s="4732"/>
      <c r="AX30" s="4732"/>
      <c r="AY30" s="4732"/>
      <c r="AZ30" s="4731"/>
      <c r="BA30" s="4730" t="str">
        <f xml:space="preserve"> IF(OR(BJ28="",BJ28=0),"N/A",BA28)</f>
        <v>N/A</v>
      </c>
      <c r="BB30" s="4732"/>
      <c r="BC30" s="4732"/>
      <c r="BD30" s="4732"/>
      <c r="BE30" s="4732"/>
      <c r="BF30" s="4732"/>
      <c r="BG30" s="4732"/>
      <c r="BH30" s="4732"/>
      <c r="BI30" s="4732"/>
      <c r="BJ30" s="4731"/>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38"/>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33" t="s">
        <v>4544</v>
      </c>
      <c r="U31" s="4734"/>
      <c r="V31" s="1403"/>
      <c r="W31" s="4735"/>
      <c r="X31" s="4736"/>
      <c r="Y31" s="4736"/>
      <c r="Z31" s="4736"/>
      <c r="AA31" s="4736"/>
      <c r="AB31" s="4736"/>
      <c r="AC31" s="4736"/>
      <c r="AD31" s="4736"/>
      <c r="AE31" s="4736"/>
      <c r="AF31" s="4737"/>
      <c r="AG31" s="4735"/>
      <c r="AH31" s="4736"/>
      <c r="AI31" s="4736"/>
      <c r="AJ31" s="4736"/>
      <c r="AK31" s="4736"/>
      <c r="AL31" s="4736"/>
      <c r="AM31" s="4736"/>
      <c r="AN31" s="4736"/>
      <c r="AO31" s="4736"/>
      <c r="AP31" s="4737"/>
      <c r="AQ31" s="4735"/>
      <c r="AR31" s="4736"/>
      <c r="AS31" s="4736"/>
      <c r="AT31" s="4736"/>
      <c r="AU31" s="4736"/>
      <c r="AV31" s="4736"/>
      <c r="AW31" s="4736"/>
      <c r="AX31" s="4736"/>
      <c r="AY31" s="4736"/>
      <c r="AZ31" s="4737"/>
      <c r="BA31" s="4735"/>
      <c r="BB31" s="4736"/>
      <c r="BC31" s="4736"/>
      <c r="BD31" s="4736"/>
      <c r="BE31" s="4736"/>
      <c r="BF31" s="4736"/>
      <c r="BG31" s="4736"/>
      <c r="BH31" s="4736"/>
      <c r="BI31" s="4736"/>
      <c r="BJ31" s="4737"/>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38"/>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54" t="s">
        <v>4546</v>
      </c>
      <c r="U32" s="4755"/>
      <c r="V32" s="1401"/>
      <c r="W32" s="4756"/>
      <c r="X32" s="4757"/>
      <c r="Y32" s="4757"/>
      <c r="Z32" s="4757"/>
      <c r="AA32" s="4757"/>
      <c r="AB32" s="4757"/>
      <c r="AC32" s="4757"/>
      <c r="AD32" s="4757"/>
      <c r="AE32" s="4757"/>
      <c r="AF32" s="4758"/>
      <c r="AG32" s="4756"/>
      <c r="AH32" s="4757"/>
      <c r="AI32" s="4757"/>
      <c r="AJ32" s="4757"/>
      <c r="AK32" s="4757"/>
      <c r="AL32" s="4757"/>
      <c r="AM32" s="4757"/>
      <c r="AN32" s="4757"/>
      <c r="AO32" s="4757"/>
      <c r="AP32" s="4758"/>
      <c r="AQ32" s="4756"/>
      <c r="AR32" s="4757"/>
      <c r="AS32" s="4757"/>
      <c r="AT32" s="4757"/>
      <c r="AU32" s="4757"/>
      <c r="AV32" s="4757"/>
      <c r="AW32" s="4757"/>
      <c r="AX32" s="4757"/>
      <c r="AY32" s="4757"/>
      <c r="AZ32" s="4758"/>
      <c r="BA32" s="4756"/>
      <c r="BB32" s="4757"/>
      <c r="BC32" s="4757"/>
      <c r="BD32" s="4757"/>
      <c r="BE32" s="4757"/>
      <c r="BF32" s="4757"/>
      <c r="BG32" s="4757"/>
      <c r="BH32" s="4757"/>
      <c r="BI32" s="4757"/>
      <c r="BJ32" s="4758"/>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38"/>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38"/>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742"/>
      <c r="BV34" s="4742"/>
      <c r="BW34" s="4742"/>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38"/>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59" t="s">
        <v>4542</v>
      </c>
      <c r="U35" s="4760"/>
      <c r="V35" s="4760"/>
      <c r="W35" s="4760"/>
      <c r="X35" s="4760"/>
      <c r="Y35" s="4760"/>
      <c r="Z35" s="4760"/>
      <c r="AA35" s="4760"/>
      <c r="AB35" s="4760"/>
      <c r="AC35" s="4760"/>
      <c r="AD35" s="4760"/>
      <c r="AE35" s="4760"/>
      <c r="AF35" s="4760"/>
      <c r="AG35" s="4760"/>
      <c r="AH35" s="4760"/>
      <c r="AI35" s="4760"/>
      <c r="AJ35" s="4760"/>
      <c r="AK35" s="4760"/>
      <c r="AL35" s="4760"/>
      <c r="AM35" s="4760"/>
      <c r="AN35" s="4760"/>
      <c r="AO35" s="4760"/>
      <c r="AP35" s="4760"/>
      <c r="AQ35" s="4760"/>
      <c r="AR35" s="4760"/>
      <c r="AS35" s="4760"/>
      <c r="AT35" s="4760"/>
      <c r="AU35" s="4760"/>
      <c r="AV35" s="4760"/>
      <c r="AW35" s="4760"/>
      <c r="AX35" s="4760"/>
      <c r="AY35" s="4760"/>
      <c r="AZ35" s="4760"/>
      <c r="BA35" s="4760"/>
      <c r="BB35" s="4760"/>
      <c r="BC35" s="4760"/>
      <c r="BD35" s="4760"/>
      <c r="BE35" s="4760"/>
      <c r="BF35" s="4760"/>
      <c r="BG35" s="4760"/>
      <c r="BH35" s="4760"/>
      <c r="BI35" s="4760"/>
      <c r="BJ35" s="4760"/>
      <c r="BK35" s="4761"/>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38"/>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30"/>
      <c r="U36" s="4731"/>
      <c r="V36" s="1397" t="str">
        <f>IF(OR(V34=0,V34=""),"N/A",V34)</f>
        <v>N/A</v>
      </c>
      <c r="W36" s="4730" t="str">
        <f xml:space="preserve"> IF(OR(AF34=0,AF34=""),"N/A",W34)</f>
        <v>N/A</v>
      </c>
      <c r="X36" s="4732"/>
      <c r="Y36" s="4732"/>
      <c r="Z36" s="4732"/>
      <c r="AA36" s="4732"/>
      <c r="AB36" s="4732"/>
      <c r="AC36" s="4732"/>
      <c r="AD36" s="4732"/>
      <c r="AE36" s="4732"/>
      <c r="AF36" s="4731"/>
      <c r="AG36" s="4730" t="str">
        <f xml:space="preserve"> IF(OR(AP34="",AP34=0),"N/A",AG34)</f>
        <v>N/A</v>
      </c>
      <c r="AH36" s="4732"/>
      <c r="AI36" s="4732"/>
      <c r="AJ36" s="4732"/>
      <c r="AK36" s="4732"/>
      <c r="AL36" s="4732"/>
      <c r="AM36" s="4732"/>
      <c r="AN36" s="4732"/>
      <c r="AO36" s="4732"/>
      <c r="AP36" s="4731"/>
      <c r="AQ36" s="4730" t="str">
        <f xml:space="preserve"> IF(OR(AZ34="",AZ34=0),"N/A",AQ34)</f>
        <v>N/A</v>
      </c>
      <c r="AR36" s="4732"/>
      <c r="AS36" s="4732"/>
      <c r="AT36" s="4732"/>
      <c r="AU36" s="4732"/>
      <c r="AV36" s="4732"/>
      <c r="AW36" s="4732"/>
      <c r="AX36" s="4732"/>
      <c r="AY36" s="4732"/>
      <c r="AZ36" s="4731"/>
      <c r="BA36" s="4730" t="str">
        <f xml:space="preserve"> IF(OR(BJ34="",BJ34=0),"N/A",BA34)</f>
        <v>N/A</v>
      </c>
      <c r="BB36" s="4732"/>
      <c r="BC36" s="4732"/>
      <c r="BD36" s="4732"/>
      <c r="BE36" s="4732"/>
      <c r="BF36" s="4732"/>
      <c r="BG36" s="4732"/>
      <c r="BH36" s="4732"/>
      <c r="BI36" s="4732"/>
      <c r="BJ36" s="4731"/>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770"/>
      <c r="BV36" s="4770"/>
      <c r="BW36" s="4770"/>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38"/>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33" t="s">
        <v>4544</v>
      </c>
      <c r="U37" s="4734"/>
      <c r="V37" s="1403"/>
      <c r="W37" s="4735"/>
      <c r="X37" s="4736"/>
      <c r="Y37" s="4736"/>
      <c r="Z37" s="4736"/>
      <c r="AA37" s="4736"/>
      <c r="AB37" s="4736"/>
      <c r="AC37" s="4736"/>
      <c r="AD37" s="4736"/>
      <c r="AE37" s="4736"/>
      <c r="AF37" s="4737"/>
      <c r="AG37" s="4735"/>
      <c r="AH37" s="4736"/>
      <c r="AI37" s="4736"/>
      <c r="AJ37" s="4736"/>
      <c r="AK37" s="4736"/>
      <c r="AL37" s="4736"/>
      <c r="AM37" s="4736"/>
      <c r="AN37" s="4736"/>
      <c r="AO37" s="4736"/>
      <c r="AP37" s="4737"/>
      <c r="AQ37" s="4735"/>
      <c r="AR37" s="4736"/>
      <c r="AS37" s="4736"/>
      <c r="AT37" s="4736"/>
      <c r="AU37" s="4736"/>
      <c r="AV37" s="4736"/>
      <c r="AW37" s="4736"/>
      <c r="AX37" s="4736"/>
      <c r="AY37" s="4736"/>
      <c r="AZ37" s="4737"/>
      <c r="BA37" s="4735"/>
      <c r="BB37" s="4736"/>
      <c r="BC37" s="4736"/>
      <c r="BD37" s="4736"/>
      <c r="BE37" s="4736"/>
      <c r="BF37" s="4736"/>
      <c r="BG37" s="4736"/>
      <c r="BH37" s="4736"/>
      <c r="BI37" s="4736"/>
      <c r="BJ37" s="4737"/>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38"/>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48" t="s">
        <v>4546</v>
      </c>
      <c r="U38" s="4749"/>
      <c r="V38" s="1406"/>
      <c r="W38" s="4750"/>
      <c r="X38" s="4751"/>
      <c r="Y38" s="4751"/>
      <c r="Z38" s="4751"/>
      <c r="AA38" s="4751"/>
      <c r="AB38" s="4751"/>
      <c r="AC38" s="4751"/>
      <c r="AD38" s="4751"/>
      <c r="AE38" s="4751"/>
      <c r="AF38" s="4752"/>
      <c r="AG38" s="4750"/>
      <c r="AH38" s="4751"/>
      <c r="AI38" s="4751"/>
      <c r="AJ38" s="4751"/>
      <c r="AK38" s="4751"/>
      <c r="AL38" s="4751"/>
      <c r="AM38" s="4751"/>
      <c r="AN38" s="4751"/>
      <c r="AO38" s="4751"/>
      <c r="AP38" s="4752"/>
      <c r="AQ38" s="4750"/>
      <c r="AR38" s="4751"/>
      <c r="AS38" s="4751"/>
      <c r="AT38" s="4751"/>
      <c r="AU38" s="4751"/>
      <c r="AV38" s="4751"/>
      <c r="AW38" s="4751"/>
      <c r="AX38" s="4751"/>
      <c r="AY38" s="4751"/>
      <c r="AZ38" s="4752"/>
      <c r="BA38" s="4750"/>
      <c r="BB38" s="4751"/>
      <c r="BC38" s="4751"/>
      <c r="BD38" s="4751"/>
      <c r="BE38" s="4751"/>
      <c r="BF38" s="4751"/>
      <c r="BG38" s="4751"/>
      <c r="BH38" s="4751"/>
      <c r="BI38" s="4751"/>
      <c r="BJ38" s="4752"/>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38"/>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53"/>
      <c r="BL39" s="4753"/>
      <c r="BM39" s="4741"/>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740" t="s">
        <v>4555</v>
      </c>
      <c r="BU39" s="4741"/>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38"/>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43" t="str">
        <f>IF(OR(E40='Tablas Técnicas'!A$678,E40='Tablas Técnicas'!A$679,E41='Tablas Técnicas'!A$678,E41='Tablas Técnicas'!A$679,E42='Tablas Técnicas'!A$678,E42='Tablas Técnicas'!A$679),"Selecciona la atadura elemental:","")</f>
        <v/>
      </c>
      <c r="AH40" s="4744"/>
      <c r="AI40" s="4744"/>
      <c r="AJ40" s="4744"/>
      <c r="AK40" s="4744"/>
      <c r="AL40" s="4744"/>
      <c r="AM40" s="4744"/>
      <c r="AN40" s="4744"/>
      <c r="AO40" s="4744"/>
      <c r="AP40" s="4744"/>
      <c r="AQ40" s="4744"/>
      <c r="AR40" s="4744"/>
      <c r="AS40" s="4744"/>
      <c r="AT40" s="4744"/>
      <c r="AU40" s="4744"/>
      <c r="AV40" s="4744"/>
      <c r="AW40" s="4744"/>
      <c r="AX40" s="4744"/>
      <c r="AY40" s="4744"/>
      <c r="AZ40" s="4744"/>
      <c r="BA40" s="4744"/>
      <c r="BB40" s="4744"/>
      <c r="BC40" s="4744"/>
      <c r="BD40" s="4744"/>
      <c r="BE40" s="4744"/>
      <c r="BF40" s="4744"/>
      <c r="BG40" s="4744"/>
      <c r="BH40" s="4744"/>
      <c r="BI40" s="4744"/>
      <c r="BJ40" s="4744"/>
      <c r="BK40" s="4745"/>
      <c r="BL40" s="1453"/>
      <c r="BM40" s="1453"/>
      <c r="BN40" s="1018"/>
      <c r="BO40" s="1018"/>
      <c r="BP40" s="1050"/>
      <c r="BQ40" s="1018"/>
      <c r="BR40" s="1018"/>
      <c r="BS40" s="1018"/>
      <c r="BT40" s="4746">
        <f>D8</f>
        <v>1</v>
      </c>
      <c r="BU40" s="4747"/>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38"/>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38"/>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38"/>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38"/>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38"/>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64" t="s">
        <v>3338</v>
      </c>
      <c r="X45" s="4764"/>
      <c r="Y45" s="4764"/>
      <c r="Z45" s="4764"/>
      <c r="AA45" s="4764"/>
      <c r="AB45" s="4764"/>
      <c r="AC45" s="4764"/>
      <c r="AD45" s="4764"/>
      <c r="AE45" s="4764"/>
      <c r="AF45" s="4764"/>
      <c r="AG45" s="4764"/>
      <c r="AH45" s="4764"/>
      <c r="AI45" s="4764"/>
      <c r="AJ45" s="4764"/>
      <c r="AK45" s="4764"/>
      <c r="AL45" s="4764"/>
      <c r="AM45" s="4764"/>
      <c r="AN45" s="4764"/>
      <c r="AO45" s="4764"/>
      <c r="AP45" s="4764"/>
      <c r="AQ45" s="4764"/>
      <c r="AR45" s="4764"/>
      <c r="AS45" s="4764"/>
      <c r="AT45" s="4764"/>
      <c r="AU45" s="4764"/>
      <c r="AV45" s="4764"/>
      <c r="AW45" s="4764"/>
      <c r="AX45" s="4764"/>
      <c r="AY45" s="4764"/>
      <c r="AZ45" s="4764"/>
      <c r="BA45" s="4764"/>
      <c r="BB45" s="4764"/>
      <c r="BC45" s="4764"/>
      <c r="BD45" s="4764"/>
      <c r="BE45" s="4764"/>
      <c r="BF45" s="4764"/>
      <c r="BG45" s="4764"/>
      <c r="BH45" s="4764"/>
      <c r="BI45" s="4764"/>
      <c r="BJ45" s="4764"/>
      <c r="BK45" s="4764" t="s">
        <v>3339</v>
      </c>
      <c r="BL45" s="4764"/>
      <c r="BM45" s="4765"/>
      <c r="BN45" s="981" t="s">
        <v>4534</v>
      </c>
      <c r="BO45" s="981" t="s">
        <v>4535</v>
      </c>
      <c r="BP45" s="981" t="s">
        <v>4536</v>
      </c>
      <c r="BQ45" s="981" t="s">
        <v>4537</v>
      </c>
      <c r="BR45" s="981" t="s">
        <v>4538</v>
      </c>
      <c r="BS45" s="982" t="s">
        <v>4539</v>
      </c>
      <c r="BT45" s="4762" t="s">
        <v>4540</v>
      </c>
      <c r="BU45" s="4763"/>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38"/>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38"/>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762" t="s">
        <v>4541</v>
      </c>
      <c r="BU47" s="4763"/>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78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38"/>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59" t="s">
        <v>4542</v>
      </c>
      <c r="U48" s="4760"/>
      <c r="V48" s="4760"/>
      <c r="W48" s="4760"/>
      <c r="X48" s="4760"/>
      <c r="Y48" s="4760"/>
      <c r="Z48" s="4760"/>
      <c r="AA48" s="4760"/>
      <c r="AB48" s="4760"/>
      <c r="AC48" s="4760"/>
      <c r="AD48" s="4760"/>
      <c r="AE48" s="4760"/>
      <c r="AF48" s="4760"/>
      <c r="AG48" s="4760"/>
      <c r="AH48" s="4760"/>
      <c r="AI48" s="4760"/>
      <c r="AJ48" s="4760"/>
      <c r="AK48" s="4760"/>
      <c r="AL48" s="4760"/>
      <c r="AM48" s="4760"/>
      <c r="AN48" s="4760"/>
      <c r="AO48" s="4760"/>
      <c r="AP48" s="4760"/>
      <c r="AQ48" s="4760"/>
      <c r="AR48" s="4760"/>
      <c r="AS48" s="4760"/>
      <c r="AT48" s="4760"/>
      <c r="AU48" s="4760"/>
      <c r="AV48" s="4760"/>
      <c r="AW48" s="4760"/>
      <c r="AX48" s="4760"/>
      <c r="AY48" s="4760"/>
      <c r="AZ48" s="4760"/>
      <c r="BA48" s="4760"/>
      <c r="BB48" s="4760"/>
      <c r="BC48" s="4760"/>
      <c r="BD48" s="4760"/>
      <c r="BE48" s="4760"/>
      <c r="BF48" s="4760"/>
      <c r="BG48" s="4760"/>
      <c r="BH48" s="4760"/>
      <c r="BI48" s="4760"/>
      <c r="BJ48" s="4760"/>
      <c r="BK48" s="4761"/>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76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69"/>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780"/>
      <c r="DY48" s="1336"/>
      <c r="DZ48" s="951"/>
      <c r="EA48" s="1482">
        <f t="shared" si="0"/>
        <v>1</v>
      </c>
    </row>
    <row r="49" spans="1:131" ht="11.25" customHeight="1" x14ac:dyDescent="0.2">
      <c r="A49" s="951"/>
      <c r="B49" s="951"/>
      <c r="C49" s="4738"/>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30"/>
      <c r="U49" s="4731"/>
      <c r="V49" s="3043" t="str">
        <f>IF(OR(V47=0,V47=""),"N/A",V47)</f>
        <v>N/A</v>
      </c>
      <c r="W49" s="4730" t="str">
        <f xml:space="preserve"> IF(OR(AF47=0,AF47=""),"N/A",W47)</f>
        <v>N/A</v>
      </c>
      <c r="X49" s="4732"/>
      <c r="Y49" s="4732"/>
      <c r="Z49" s="4732"/>
      <c r="AA49" s="4732"/>
      <c r="AB49" s="4732"/>
      <c r="AC49" s="4732"/>
      <c r="AD49" s="4732"/>
      <c r="AE49" s="4732"/>
      <c r="AF49" s="4731"/>
      <c r="AG49" s="4730" t="str">
        <f xml:space="preserve"> IF(OR(AP47="",AP47=0),"N/A",AG47)</f>
        <v>N/A</v>
      </c>
      <c r="AH49" s="4732"/>
      <c r="AI49" s="4732"/>
      <c r="AJ49" s="4732"/>
      <c r="AK49" s="4732"/>
      <c r="AL49" s="4732"/>
      <c r="AM49" s="4732"/>
      <c r="AN49" s="4732"/>
      <c r="AO49" s="4732"/>
      <c r="AP49" s="4731"/>
      <c r="AQ49" s="4730" t="str">
        <f xml:space="preserve"> IF(OR(AZ47="",AZ47=0),"N/A",AQ47)</f>
        <v>N/A</v>
      </c>
      <c r="AR49" s="4732"/>
      <c r="AS49" s="4732"/>
      <c r="AT49" s="4732"/>
      <c r="AU49" s="4732"/>
      <c r="AV49" s="4732"/>
      <c r="AW49" s="4732"/>
      <c r="AX49" s="4732"/>
      <c r="AY49" s="4732"/>
      <c r="AZ49" s="4731"/>
      <c r="BA49" s="4730" t="str">
        <f xml:space="preserve"> IF(OR(BJ47="",BJ47=0),"N/A",BA47)</f>
        <v>N/A</v>
      </c>
      <c r="BB49" s="4732"/>
      <c r="BC49" s="4732"/>
      <c r="BD49" s="4732"/>
      <c r="BE49" s="4732"/>
      <c r="BF49" s="4732"/>
      <c r="BG49" s="4732"/>
      <c r="BH49" s="4732"/>
      <c r="BI49" s="4732"/>
      <c r="BJ49" s="4731"/>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780"/>
      <c r="DY49" s="1336"/>
      <c r="DZ49" s="951"/>
      <c r="EA49" s="1482">
        <f t="shared" si="0"/>
        <v>1</v>
      </c>
    </row>
    <row r="50" spans="1:131" x14ac:dyDescent="0.2">
      <c r="A50" s="951"/>
      <c r="B50" s="951"/>
      <c r="C50" s="4738"/>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33" t="s">
        <v>4544</v>
      </c>
      <c r="U50" s="4734"/>
      <c r="V50" s="3039"/>
      <c r="W50" s="4735"/>
      <c r="X50" s="4736"/>
      <c r="Y50" s="4736"/>
      <c r="Z50" s="4736"/>
      <c r="AA50" s="4736"/>
      <c r="AB50" s="4736"/>
      <c r="AC50" s="4736"/>
      <c r="AD50" s="4736"/>
      <c r="AE50" s="4736"/>
      <c r="AF50" s="4737"/>
      <c r="AG50" s="4735"/>
      <c r="AH50" s="4736"/>
      <c r="AI50" s="4736"/>
      <c r="AJ50" s="4736"/>
      <c r="AK50" s="4736"/>
      <c r="AL50" s="4736"/>
      <c r="AM50" s="4736"/>
      <c r="AN50" s="4736"/>
      <c r="AO50" s="4736"/>
      <c r="AP50" s="4737"/>
      <c r="AQ50" s="4735"/>
      <c r="AR50" s="4736"/>
      <c r="AS50" s="4736"/>
      <c r="AT50" s="4736"/>
      <c r="AU50" s="4736"/>
      <c r="AV50" s="4736"/>
      <c r="AW50" s="4736"/>
      <c r="AX50" s="4736"/>
      <c r="AY50" s="4736"/>
      <c r="AZ50" s="4737"/>
      <c r="BA50" s="4735"/>
      <c r="BB50" s="4736"/>
      <c r="BC50" s="4736"/>
      <c r="BD50" s="4736"/>
      <c r="BE50" s="4736"/>
      <c r="BF50" s="4736"/>
      <c r="BG50" s="4736"/>
      <c r="BH50" s="4736"/>
      <c r="BI50" s="4736"/>
      <c r="BJ50" s="4737"/>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762" t="s">
        <v>4545</v>
      </c>
      <c r="BU50" s="4763"/>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780"/>
      <c r="DY50" s="1336"/>
      <c r="DZ50" s="951"/>
      <c r="EA50" s="1482">
        <f t="shared" si="0"/>
        <v>1</v>
      </c>
    </row>
    <row r="51" spans="1:131" x14ac:dyDescent="0.2">
      <c r="A51" s="951"/>
      <c r="B51" s="951"/>
      <c r="C51" s="4738"/>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54" t="s">
        <v>4546</v>
      </c>
      <c r="U51" s="4755"/>
      <c r="V51" s="3046"/>
      <c r="W51" s="4756"/>
      <c r="X51" s="4757"/>
      <c r="Y51" s="4757"/>
      <c r="Z51" s="4757"/>
      <c r="AA51" s="4757"/>
      <c r="AB51" s="4757"/>
      <c r="AC51" s="4757"/>
      <c r="AD51" s="4757"/>
      <c r="AE51" s="4757"/>
      <c r="AF51" s="4758"/>
      <c r="AG51" s="4756"/>
      <c r="AH51" s="4757"/>
      <c r="AI51" s="4757"/>
      <c r="AJ51" s="4757"/>
      <c r="AK51" s="4757"/>
      <c r="AL51" s="4757"/>
      <c r="AM51" s="4757"/>
      <c r="AN51" s="4757"/>
      <c r="AO51" s="4757"/>
      <c r="AP51" s="4758"/>
      <c r="AQ51" s="4756"/>
      <c r="AR51" s="4757"/>
      <c r="AS51" s="4757"/>
      <c r="AT51" s="4757"/>
      <c r="AU51" s="4757"/>
      <c r="AV51" s="4757"/>
      <c r="AW51" s="4757"/>
      <c r="AX51" s="4757"/>
      <c r="AY51" s="4757"/>
      <c r="AZ51" s="4758"/>
      <c r="BA51" s="4756"/>
      <c r="BB51" s="4757"/>
      <c r="BC51" s="4757"/>
      <c r="BD51" s="4757"/>
      <c r="BE51" s="4757"/>
      <c r="BF51" s="4757"/>
      <c r="BG51" s="4757"/>
      <c r="BH51" s="4757"/>
      <c r="BI51" s="4757"/>
      <c r="BJ51" s="4758"/>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766" t="s">
        <v>1690</v>
      </c>
      <c r="BU51" s="4767"/>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780"/>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38"/>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762" t="s">
        <v>4547</v>
      </c>
      <c r="BU52" s="4763"/>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38"/>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766" t="s">
        <v>4527</v>
      </c>
      <c r="BU53" s="4767"/>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38"/>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59" t="s">
        <v>4542</v>
      </c>
      <c r="U54" s="4760"/>
      <c r="V54" s="4760"/>
      <c r="W54" s="4760"/>
      <c r="X54" s="4760"/>
      <c r="Y54" s="4760"/>
      <c r="Z54" s="4760"/>
      <c r="AA54" s="4760"/>
      <c r="AB54" s="4760"/>
      <c r="AC54" s="4760"/>
      <c r="AD54" s="4760"/>
      <c r="AE54" s="4760"/>
      <c r="AF54" s="4760"/>
      <c r="AG54" s="4760"/>
      <c r="AH54" s="4760"/>
      <c r="AI54" s="4760"/>
      <c r="AJ54" s="4760"/>
      <c r="AK54" s="4760"/>
      <c r="AL54" s="4760"/>
      <c r="AM54" s="4760"/>
      <c r="AN54" s="4760"/>
      <c r="AO54" s="4760"/>
      <c r="AP54" s="4760"/>
      <c r="AQ54" s="4760"/>
      <c r="AR54" s="4760"/>
      <c r="AS54" s="4760"/>
      <c r="AT54" s="4760"/>
      <c r="AU54" s="4760"/>
      <c r="AV54" s="4760"/>
      <c r="AW54" s="4760"/>
      <c r="AX54" s="4760"/>
      <c r="AY54" s="4760"/>
      <c r="AZ54" s="4760"/>
      <c r="BA54" s="4760"/>
      <c r="BB54" s="4760"/>
      <c r="BC54" s="4760"/>
      <c r="BD54" s="4760"/>
      <c r="BE54" s="4760"/>
      <c r="BF54" s="4760"/>
      <c r="BG54" s="4760"/>
      <c r="BH54" s="4760"/>
      <c r="BI54" s="4760"/>
      <c r="BJ54" s="4760"/>
      <c r="BK54" s="4761"/>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762" t="s">
        <v>4548</v>
      </c>
      <c r="BU54" s="4763"/>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38"/>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30"/>
      <c r="U55" s="4731"/>
      <c r="V55" s="3043" t="str">
        <f>IF(OR(V53=0,V53=""),"N/A",V53)</f>
        <v>N/A</v>
      </c>
      <c r="W55" s="4730" t="str">
        <f xml:space="preserve"> IF(OR(AF53=0,AF53=""),"N/A",W53)</f>
        <v>N/A</v>
      </c>
      <c r="X55" s="4732"/>
      <c r="Y55" s="4732"/>
      <c r="Z55" s="4732"/>
      <c r="AA55" s="4732"/>
      <c r="AB55" s="4732"/>
      <c r="AC55" s="4732"/>
      <c r="AD55" s="4732"/>
      <c r="AE55" s="4732"/>
      <c r="AF55" s="4731"/>
      <c r="AG55" s="4730" t="str">
        <f xml:space="preserve"> IF(OR(AP53="",AP53=0),"N/A",AG53)</f>
        <v>N/A</v>
      </c>
      <c r="AH55" s="4732"/>
      <c r="AI55" s="4732"/>
      <c r="AJ55" s="4732"/>
      <c r="AK55" s="4732"/>
      <c r="AL55" s="4732"/>
      <c r="AM55" s="4732"/>
      <c r="AN55" s="4732"/>
      <c r="AO55" s="4732"/>
      <c r="AP55" s="4731"/>
      <c r="AQ55" s="4730" t="str">
        <f xml:space="preserve"> IF(OR(AZ53="",AZ53=0),"N/A",AQ53)</f>
        <v>N/A</v>
      </c>
      <c r="AR55" s="4732"/>
      <c r="AS55" s="4732"/>
      <c r="AT55" s="4732"/>
      <c r="AU55" s="4732"/>
      <c r="AV55" s="4732"/>
      <c r="AW55" s="4732"/>
      <c r="AX55" s="4732"/>
      <c r="AY55" s="4732"/>
      <c r="AZ55" s="4731"/>
      <c r="BA55" s="4730" t="str">
        <f xml:space="preserve"> IF(OR(BJ53="",BJ53=0),"N/A",BA53)</f>
        <v>N/A</v>
      </c>
      <c r="BB55" s="4732"/>
      <c r="BC55" s="4732"/>
      <c r="BD55" s="4732"/>
      <c r="BE55" s="4732"/>
      <c r="BF55" s="4732"/>
      <c r="BG55" s="4732"/>
      <c r="BH55" s="4732"/>
      <c r="BI55" s="4732"/>
      <c r="BJ55" s="4731"/>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766" t="s">
        <v>4521</v>
      </c>
      <c r="BU55" s="4767"/>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38"/>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33" t="s">
        <v>4544</v>
      </c>
      <c r="U56" s="4734"/>
      <c r="V56" s="3039"/>
      <c r="W56" s="4735"/>
      <c r="X56" s="4736"/>
      <c r="Y56" s="4736"/>
      <c r="Z56" s="4736"/>
      <c r="AA56" s="4736"/>
      <c r="AB56" s="4736"/>
      <c r="AC56" s="4736"/>
      <c r="AD56" s="4736"/>
      <c r="AE56" s="4736"/>
      <c r="AF56" s="4737"/>
      <c r="AG56" s="4735"/>
      <c r="AH56" s="4736"/>
      <c r="AI56" s="4736"/>
      <c r="AJ56" s="4736"/>
      <c r="AK56" s="4736"/>
      <c r="AL56" s="4736"/>
      <c r="AM56" s="4736"/>
      <c r="AN56" s="4736"/>
      <c r="AO56" s="4736"/>
      <c r="AP56" s="4737"/>
      <c r="AQ56" s="4735"/>
      <c r="AR56" s="4736"/>
      <c r="AS56" s="4736"/>
      <c r="AT56" s="4736"/>
      <c r="AU56" s="4736"/>
      <c r="AV56" s="4736"/>
      <c r="AW56" s="4736"/>
      <c r="AX56" s="4736"/>
      <c r="AY56" s="4736"/>
      <c r="AZ56" s="4737"/>
      <c r="BA56" s="4735"/>
      <c r="BB56" s="4736"/>
      <c r="BC56" s="4736"/>
      <c r="BD56" s="4736"/>
      <c r="BE56" s="4736"/>
      <c r="BF56" s="4736"/>
      <c r="BG56" s="4736"/>
      <c r="BH56" s="4736"/>
      <c r="BI56" s="4736"/>
      <c r="BJ56" s="4737"/>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740" t="s">
        <v>4549</v>
      </c>
      <c r="BU56" s="4741"/>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38"/>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54" t="s">
        <v>4546</v>
      </c>
      <c r="U57" s="4755"/>
      <c r="V57" s="3046"/>
      <c r="W57" s="4756"/>
      <c r="X57" s="4757"/>
      <c r="Y57" s="4757"/>
      <c r="Z57" s="4757"/>
      <c r="AA57" s="4757"/>
      <c r="AB57" s="4757"/>
      <c r="AC57" s="4757"/>
      <c r="AD57" s="4757"/>
      <c r="AE57" s="4757"/>
      <c r="AF57" s="4758"/>
      <c r="AG57" s="4756"/>
      <c r="AH57" s="4757"/>
      <c r="AI57" s="4757"/>
      <c r="AJ57" s="4757"/>
      <c r="AK57" s="4757"/>
      <c r="AL57" s="4757"/>
      <c r="AM57" s="4757"/>
      <c r="AN57" s="4757"/>
      <c r="AO57" s="4757"/>
      <c r="AP57" s="4758"/>
      <c r="AQ57" s="4756"/>
      <c r="AR57" s="4757"/>
      <c r="AS57" s="4757"/>
      <c r="AT57" s="4757"/>
      <c r="AU57" s="4757"/>
      <c r="AV57" s="4757"/>
      <c r="AW57" s="4757"/>
      <c r="AX57" s="4757"/>
      <c r="AY57" s="4757"/>
      <c r="AZ57" s="4758"/>
      <c r="BA57" s="4756"/>
      <c r="BB57" s="4757"/>
      <c r="BC57" s="4757"/>
      <c r="BD57" s="4757"/>
      <c r="BE57" s="4757"/>
      <c r="BF57" s="4757"/>
      <c r="BG57" s="4757"/>
      <c r="BH57" s="4757"/>
      <c r="BI57" s="4757"/>
      <c r="BJ57" s="4758"/>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39"/>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38"/>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39"/>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38"/>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39"/>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38"/>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59" t="s">
        <v>4542</v>
      </c>
      <c r="U60" s="4760"/>
      <c r="V60" s="4760"/>
      <c r="W60" s="4760"/>
      <c r="X60" s="4760"/>
      <c r="Y60" s="4760"/>
      <c r="Z60" s="4760"/>
      <c r="AA60" s="4760"/>
      <c r="AB60" s="4760"/>
      <c r="AC60" s="4760"/>
      <c r="AD60" s="4760"/>
      <c r="AE60" s="4760"/>
      <c r="AF60" s="4760"/>
      <c r="AG60" s="4760"/>
      <c r="AH60" s="4760"/>
      <c r="AI60" s="4760"/>
      <c r="AJ60" s="4760"/>
      <c r="AK60" s="4760"/>
      <c r="AL60" s="4760"/>
      <c r="AM60" s="4760"/>
      <c r="AN60" s="4760"/>
      <c r="AO60" s="4760"/>
      <c r="AP60" s="4760"/>
      <c r="AQ60" s="4760"/>
      <c r="AR60" s="4760"/>
      <c r="AS60" s="4760"/>
      <c r="AT60" s="4760"/>
      <c r="AU60" s="4760"/>
      <c r="AV60" s="4760"/>
      <c r="AW60" s="4760"/>
      <c r="AX60" s="4760"/>
      <c r="AY60" s="4760"/>
      <c r="AZ60" s="4760"/>
      <c r="BA60" s="4760"/>
      <c r="BB60" s="4760"/>
      <c r="BC60" s="4760"/>
      <c r="BD60" s="4760"/>
      <c r="BE60" s="4760"/>
      <c r="BF60" s="4760"/>
      <c r="BG60" s="4760"/>
      <c r="BH60" s="4760"/>
      <c r="BI60" s="4760"/>
      <c r="BJ60" s="4760"/>
      <c r="BK60" s="4761"/>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38"/>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30"/>
      <c r="U61" s="4731"/>
      <c r="V61" s="3043" t="str">
        <f>IF(OR(V59=0,V59=""),"N/A",V59)</f>
        <v>N/A</v>
      </c>
      <c r="W61" s="4730" t="str">
        <f xml:space="preserve"> IF(OR(AF59=0,AF59=""),"N/A",W59)</f>
        <v>N/A</v>
      </c>
      <c r="X61" s="4732"/>
      <c r="Y61" s="4732"/>
      <c r="Z61" s="4732"/>
      <c r="AA61" s="4732"/>
      <c r="AB61" s="4732"/>
      <c r="AC61" s="4732"/>
      <c r="AD61" s="4732"/>
      <c r="AE61" s="4732"/>
      <c r="AF61" s="4731"/>
      <c r="AG61" s="4730" t="str">
        <f xml:space="preserve"> IF(OR(AP59="",AP59=0),"N/A",AG59)</f>
        <v>N/A</v>
      </c>
      <c r="AH61" s="4732"/>
      <c r="AI61" s="4732"/>
      <c r="AJ61" s="4732"/>
      <c r="AK61" s="4732"/>
      <c r="AL61" s="4732"/>
      <c r="AM61" s="4732"/>
      <c r="AN61" s="4732"/>
      <c r="AO61" s="4732"/>
      <c r="AP61" s="4731"/>
      <c r="AQ61" s="4730" t="str">
        <f xml:space="preserve"> IF(OR(AZ59="",AZ59=0),"N/A",AQ59)</f>
        <v>N/A</v>
      </c>
      <c r="AR61" s="4732"/>
      <c r="AS61" s="4732"/>
      <c r="AT61" s="4732"/>
      <c r="AU61" s="4732"/>
      <c r="AV61" s="4732"/>
      <c r="AW61" s="4732"/>
      <c r="AX61" s="4732"/>
      <c r="AY61" s="4732"/>
      <c r="AZ61" s="4731"/>
      <c r="BA61" s="4730" t="str">
        <f xml:space="preserve"> IF(OR(BJ59="",BJ59=0),"N/A",BA59)</f>
        <v>N/A</v>
      </c>
      <c r="BB61" s="4732"/>
      <c r="BC61" s="4732"/>
      <c r="BD61" s="4732"/>
      <c r="BE61" s="4732"/>
      <c r="BF61" s="4732"/>
      <c r="BG61" s="4732"/>
      <c r="BH61" s="4732"/>
      <c r="BI61" s="4732"/>
      <c r="BJ61" s="4731"/>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38"/>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33" t="s">
        <v>4544</v>
      </c>
      <c r="U62" s="4734"/>
      <c r="V62" s="3039"/>
      <c r="W62" s="4735"/>
      <c r="X62" s="4736"/>
      <c r="Y62" s="4736"/>
      <c r="Z62" s="4736"/>
      <c r="AA62" s="4736"/>
      <c r="AB62" s="4736"/>
      <c r="AC62" s="4736"/>
      <c r="AD62" s="4736"/>
      <c r="AE62" s="4736"/>
      <c r="AF62" s="4737"/>
      <c r="AG62" s="4735"/>
      <c r="AH62" s="4736"/>
      <c r="AI62" s="4736"/>
      <c r="AJ62" s="4736"/>
      <c r="AK62" s="4736"/>
      <c r="AL62" s="4736"/>
      <c r="AM62" s="4736"/>
      <c r="AN62" s="4736"/>
      <c r="AO62" s="4736"/>
      <c r="AP62" s="4737"/>
      <c r="AQ62" s="4735"/>
      <c r="AR62" s="4736"/>
      <c r="AS62" s="4736"/>
      <c r="AT62" s="4736"/>
      <c r="AU62" s="4736"/>
      <c r="AV62" s="4736"/>
      <c r="AW62" s="4736"/>
      <c r="AX62" s="4736"/>
      <c r="AY62" s="4736"/>
      <c r="AZ62" s="4737"/>
      <c r="BA62" s="4735"/>
      <c r="BB62" s="4736"/>
      <c r="BC62" s="4736"/>
      <c r="BD62" s="4736"/>
      <c r="BE62" s="4736"/>
      <c r="BF62" s="4736"/>
      <c r="BG62" s="4736"/>
      <c r="BH62" s="4736"/>
      <c r="BI62" s="4736"/>
      <c r="BJ62" s="4737"/>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38"/>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54" t="s">
        <v>4546</v>
      </c>
      <c r="U63" s="4755"/>
      <c r="V63" s="3046"/>
      <c r="W63" s="4756"/>
      <c r="X63" s="4757"/>
      <c r="Y63" s="4757"/>
      <c r="Z63" s="4757"/>
      <c r="AA63" s="4757"/>
      <c r="AB63" s="4757"/>
      <c r="AC63" s="4757"/>
      <c r="AD63" s="4757"/>
      <c r="AE63" s="4757"/>
      <c r="AF63" s="4758"/>
      <c r="AG63" s="4756"/>
      <c r="AH63" s="4757"/>
      <c r="AI63" s="4757"/>
      <c r="AJ63" s="4757"/>
      <c r="AK63" s="4757"/>
      <c r="AL63" s="4757"/>
      <c r="AM63" s="4757"/>
      <c r="AN63" s="4757"/>
      <c r="AO63" s="4757"/>
      <c r="AP63" s="4758"/>
      <c r="AQ63" s="4756"/>
      <c r="AR63" s="4757"/>
      <c r="AS63" s="4757"/>
      <c r="AT63" s="4757"/>
      <c r="AU63" s="4757"/>
      <c r="AV63" s="4757"/>
      <c r="AW63" s="4757"/>
      <c r="AX63" s="4757"/>
      <c r="AY63" s="4757"/>
      <c r="AZ63" s="4758"/>
      <c r="BA63" s="4756"/>
      <c r="BB63" s="4757"/>
      <c r="BC63" s="4757"/>
      <c r="BD63" s="4757"/>
      <c r="BE63" s="4757"/>
      <c r="BF63" s="4757"/>
      <c r="BG63" s="4757"/>
      <c r="BH63" s="4757"/>
      <c r="BI63" s="4757"/>
      <c r="BJ63" s="4758"/>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38"/>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38"/>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38"/>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59" t="s">
        <v>4542</v>
      </c>
      <c r="U66" s="4760"/>
      <c r="V66" s="4760"/>
      <c r="W66" s="4760"/>
      <c r="X66" s="4760"/>
      <c r="Y66" s="4760"/>
      <c r="Z66" s="4760"/>
      <c r="AA66" s="4760"/>
      <c r="AB66" s="4760"/>
      <c r="AC66" s="4760"/>
      <c r="AD66" s="4760"/>
      <c r="AE66" s="4760"/>
      <c r="AF66" s="4760"/>
      <c r="AG66" s="4760"/>
      <c r="AH66" s="4760"/>
      <c r="AI66" s="4760"/>
      <c r="AJ66" s="4760"/>
      <c r="AK66" s="4760"/>
      <c r="AL66" s="4760"/>
      <c r="AM66" s="4760"/>
      <c r="AN66" s="4760"/>
      <c r="AO66" s="4760"/>
      <c r="AP66" s="4760"/>
      <c r="AQ66" s="4760"/>
      <c r="AR66" s="4760"/>
      <c r="AS66" s="4760"/>
      <c r="AT66" s="4760"/>
      <c r="AU66" s="4760"/>
      <c r="AV66" s="4760"/>
      <c r="AW66" s="4760"/>
      <c r="AX66" s="4760"/>
      <c r="AY66" s="4760"/>
      <c r="AZ66" s="4760"/>
      <c r="BA66" s="4760"/>
      <c r="BB66" s="4760"/>
      <c r="BC66" s="4760"/>
      <c r="BD66" s="4760"/>
      <c r="BE66" s="4760"/>
      <c r="BF66" s="4760"/>
      <c r="BG66" s="4760"/>
      <c r="BH66" s="4760"/>
      <c r="BI66" s="4760"/>
      <c r="BJ66" s="4760"/>
      <c r="BK66" s="4761"/>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38"/>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30"/>
      <c r="U67" s="4731"/>
      <c r="V67" s="3043" t="str">
        <f>IF(OR(V65=0,V65=""),"N/A",V65)</f>
        <v>N/A</v>
      </c>
      <c r="W67" s="4730" t="str">
        <f xml:space="preserve"> IF(OR(AF65=0,AF65=""),"N/A",W65)</f>
        <v>N/A</v>
      </c>
      <c r="X67" s="4732"/>
      <c r="Y67" s="4732"/>
      <c r="Z67" s="4732"/>
      <c r="AA67" s="4732"/>
      <c r="AB67" s="4732"/>
      <c r="AC67" s="4732"/>
      <c r="AD67" s="4732"/>
      <c r="AE67" s="4732"/>
      <c r="AF67" s="4731"/>
      <c r="AG67" s="4730" t="str">
        <f xml:space="preserve"> IF(OR(AP65="",AP65=0),"N/A",AG65)</f>
        <v>N/A</v>
      </c>
      <c r="AH67" s="4732"/>
      <c r="AI67" s="4732"/>
      <c r="AJ67" s="4732"/>
      <c r="AK67" s="4732"/>
      <c r="AL67" s="4732"/>
      <c r="AM67" s="4732"/>
      <c r="AN67" s="4732"/>
      <c r="AO67" s="4732"/>
      <c r="AP67" s="4731"/>
      <c r="AQ67" s="4730" t="str">
        <f xml:space="preserve"> IF(OR(AZ65="",AZ65=0),"N/A",AQ65)</f>
        <v>N/A</v>
      </c>
      <c r="AR67" s="4732"/>
      <c r="AS67" s="4732"/>
      <c r="AT67" s="4732"/>
      <c r="AU67" s="4732"/>
      <c r="AV67" s="4732"/>
      <c r="AW67" s="4732"/>
      <c r="AX67" s="4732"/>
      <c r="AY67" s="4732"/>
      <c r="AZ67" s="4731"/>
      <c r="BA67" s="4730" t="str">
        <f xml:space="preserve"> IF(OR(BJ65="",BJ65=0),"N/A",BA65)</f>
        <v>N/A</v>
      </c>
      <c r="BB67" s="4732"/>
      <c r="BC67" s="4732"/>
      <c r="BD67" s="4732"/>
      <c r="BE67" s="4732"/>
      <c r="BF67" s="4732"/>
      <c r="BG67" s="4732"/>
      <c r="BH67" s="4732"/>
      <c r="BI67" s="4732"/>
      <c r="BJ67" s="4731"/>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38"/>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33" t="s">
        <v>4544</v>
      </c>
      <c r="U68" s="4734"/>
      <c r="V68" s="3039"/>
      <c r="W68" s="4735"/>
      <c r="X68" s="4736"/>
      <c r="Y68" s="4736"/>
      <c r="Z68" s="4736"/>
      <c r="AA68" s="4736"/>
      <c r="AB68" s="4736"/>
      <c r="AC68" s="4736"/>
      <c r="AD68" s="4736"/>
      <c r="AE68" s="4736"/>
      <c r="AF68" s="4737"/>
      <c r="AG68" s="4735"/>
      <c r="AH68" s="4736"/>
      <c r="AI68" s="4736"/>
      <c r="AJ68" s="4736"/>
      <c r="AK68" s="4736"/>
      <c r="AL68" s="4736"/>
      <c r="AM68" s="4736"/>
      <c r="AN68" s="4736"/>
      <c r="AO68" s="4736"/>
      <c r="AP68" s="4737"/>
      <c r="AQ68" s="4735"/>
      <c r="AR68" s="4736"/>
      <c r="AS68" s="4736"/>
      <c r="AT68" s="4736"/>
      <c r="AU68" s="4736"/>
      <c r="AV68" s="4736"/>
      <c r="AW68" s="4736"/>
      <c r="AX68" s="4736"/>
      <c r="AY68" s="4736"/>
      <c r="AZ68" s="4737"/>
      <c r="BA68" s="4735"/>
      <c r="BB68" s="4736"/>
      <c r="BC68" s="4736"/>
      <c r="BD68" s="4736"/>
      <c r="BE68" s="4736"/>
      <c r="BF68" s="4736"/>
      <c r="BG68" s="4736"/>
      <c r="BH68" s="4736"/>
      <c r="BI68" s="4736"/>
      <c r="BJ68" s="4737"/>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38"/>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54" t="s">
        <v>4546</v>
      </c>
      <c r="U69" s="4755"/>
      <c r="V69" s="3046"/>
      <c r="W69" s="4756"/>
      <c r="X69" s="4757"/>
      <c r="Y69" s="4757"/>
      <c r="Z69" s="4757"/>
      <c r="AA69" s="4757"/>
      <c r="AB69" s="4757"/>
      <c r="AC69" s="4757"/>
      <c r="AD69" s="4757"/>
      <c r="AE69" s="4757"/>
      <c r="AF69" s="4758"/>
      <c r="AG69" s="4756"/>
      <c r="AH69" s="4757"/>
      <c r="AI69" s="4757"/>
      <c r="AJ69" s="4757"/>
      <c r="AK69" s="4757"/>
      <c r="AL69" s="4757"/>
      <c r="AM69" s="4757"/>
      <c r="AN69" s="4757"/>
      <c r="AO69" s="4757"/>
      <c r="AP69" s="4758"/>
      <c r="AQ69" s="4756"/>
      <c r="AR69" s="4757"/>
      <c r="AS69" s="4757"/>
      <c r="AT69" s="4757"/>
      <c r="AU69" s="4757"/>
      <c r="AV69" s="4757"/>
      <c r="AW69" s="4757"/>
      <c r="AX69" s="4757"/>
      <c r="AY69" s="4757"/>
      <c r="AZ69" s="4758"/>
      <c r="BA69" s="4756"/>
      <c r="BB69" s="4757"/>
      <c r="BC69" s="4757"/>
      <c r="BD69" s="4757"/>
      <c r="BE69" s="4757"/>
      <c r="BF69" s="4757"/>
      <c r="BG69" s="4757"/>
      <c r="BH69" s="4757"/>
      <c r="BI69" s="4757"/>
      <c r="BJ69" s="4758"/>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38"/>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38"/>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742"/>
      <c r="BV71" s="4742"/>
      <c r="BW71" s="4742"/>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38"/>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59" t="s">
        <v>4542</v>
      </c>
      <c r="U72" s="4760"/>
      <c r="V72" s="4760"/>
      <c r="W72" s="4760"/>
      <c r="X72" s="4760"/>
      <c r="Y72" s="4760"/>
      <c r="Z72" s="4760"/>
      <c r="AA72" s="4760"/>
      <c r="AB72" s="4760"/>
      <c r="AC72" s="4760"/>
      <c r="AD72" s="4760"/>
      <c r="AE72" s="4760"/>
      <c r="AF72" s="4760"/>
      <c r="AG72" s="4760"/>
      <c r="AH72" s="4760"/>
      <c r="AI72" s="4760"/>
      <c r="AJ72" s="4760"/>
      <c r="AK72" s="4760"/>
      <c r="AL72" s="4760"/>
      <c r="AM72" s="4760"/>
      <c r="AN72" s="4760"/>
      <c r="AO72" s="4760"/>
      <c r="AP72" s="4760"/>
      <c r="AQ72" s="4760"/>
      <c r="AR72" s="4760"/>
      <c r="AS72" s="4760"/>
      <c r="AT72" s="4760"/>
      <c r="AU72" s="4760"/>
      <c r="AV72" s="4760"/>
      <c r="AW72" s="4760"/>
      <c r="AX72" s="4760"/>
      <c r="AY72" s="4760"/>
      <c r="AZ72" s="4760"/>
      <c r="BA72" s="4760"/>
      <c r="BB72" s="4760"/>
      <c r="BC72" s="4760"/>
      <c r="BD72" s="4760"/>
      <c r="BE72" s="4760"/>
      <c r="BF72" s="4760"/>
      <c r="BG72" s="4760"/>
      <c r="BH72" s="4760"/>
      <c r="BI72" s="4760"/>
      <c r="BJ72" s="4760"/>
      <c r="BK72" s="4761"/>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38"/>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30"/>
      <c r="U73" s="4731"/>
      <c r="V73" s="3043" t="str">
        <f>IF(OR(V71=0,V71=""),"N/A",V71)</f>
        <v>N/A</v>
      </c>
      <c r="W73" s="4730" t="str">
        <f xml:space="preserve"> IF(OR(AF71=0,AF71=""),"N/A",W71)</f>
        <v>N/A</v>
      </c>
      <c r="X73" s="4732"/>
      <c r="Y73" s="4732"/>
      <c r="Z73" s="4732"/>
      <c r="AA73" s="4732"/>
      <c r="AB73" s="4732"/>
      <c r="AC73" s="4732"/>
      <c r="AD73" s="4732"/>
      <c r="AE73" s="4732"/>
      <c r="AF73" s="4731"/>
      <c r="AG73" s="4730" t="str">
        <f xml:space="preserve"> IF(OR(AP71="",AP71=0),"N/A",AG71)</f>
        <v>N/A</v>
      </c>
      <c r="AH73" s="4732"/>
      <c r="AI73" s="4732"/>
      <c r="AJ73" s="4732"/>
      <c r="AK73" s="4732"/>
      <c r="AL73" s="4732"/>
      <c r="AM73" s="4732"/>
      <c r="AN73" s="4732"/>
      <c r="AO73" s="4732"/>
      <c r="AP73" s="4731"/>
      <c r="AQ73" s="4730" t="str">
        <f xml:space="preserve"> IF(OR(AZ71="",AZ71=0),"N/A",AQ71)</f>
        <v>N/A</v>
      </c>
      <c r="AR73" s="4732"/>
      <c r="AS73" s="4732"/>
      <c r="AT73" s="4732"/>
      <c r="AU73" s="4732"/>
      <c r="AV73" s="4732"/>
      <c r="AW73" s="4732"/>
      <c r="AX73" s="4732"/>
      <c r="AY73" s="4732"/>
      <c r="AZ73" s="4731"/>
      <c r="BA73" s="4730" t="str">
        <f xml:space="preserve"> IF(OR(BJ71="",BJ71=0),"N/A",BA71)</f>
        <v>N/A</v>
      </c>
      <c r="BB73" s="4732"/>
      <c r="BC73" s="4732"/>
      <c r="BD73" s="4732"/>
      <c r="BE73" s="4732"/>
      <c r="BF73" s="4732"/>
      <c r="BG73" s="4732"/>
      <c r="BH73" s="4732"/>
      <c r="BI73" s="4732"/>
      <c r="BJ73" s="4731"/>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770"/>
      <c r="BV73" s="4770"/>
      <c r="BW73" s="4770"/>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38"/>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33" t="s">
        <v>4544</v>
      </c>
      <c r="U74" s="4734"/>
      <c r="V74" s="3039"/>
      <c r="W74" s="4735"/>
      <c r="X74" s="4736"/>
      <c r="Y74" s="4736"/>
      <c r="Z74" s="4736"/>
      <c r="AA74" s="4736"/>
      <c r="AB74" s="4736"/>
      <c r="AC74" s="4736"/>
      <c r="AD74" s="4736"/>
      <c r="AE74" s="4736"/>
      <c r="AF74" s="4737"/>
      <c r="AG74" s="4735"/>
      <c r="AH74" s="4736"/>
      <c r="AI74" s="4736"/>
      <c r="AJ74" s="4736"/>
      <c r="AK74" s="4736"/>
      <c r="AL74" s="4736"/>
      <c r="AM74" s="4736"/>
      <c r="AN74" s="4736"/>
      <c r="AO74" s="4736"/>
      <c r="AP74" s="4737"/>
      <c r="AQ74" s="4735"/>
      <c r="AR74" s="4736"/>
      <c r="AS74" s="4736"/>
      <c r="AT74" s="4736"/>
      <c r="AU74" s="4736"/>
      <c r="AV74" s="4736"/>
      <c r="AW74" s="4736"/>
      <c r="AX74" s="4736"/>
      <c r="AY74" s="4736"/>
      <c r="AZ74" s="4737"/>
      <c r="BA74" s="4735"/>
      <c r="BB74" s="4736"/>
      <c r="BC74" s="4736"/>
      <c r="BD74" s="4736"/>
      <c r="BE74" s="4736"/>
      <c r="BF74" s="4736"/>
      <c r="BG74" s="4736"/>
      <c r="BH74" s="4736"/>
      <c r="BI74" s="4736"/>
      <c r="BJ74" s="4737"/>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38"/>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48" t="s">
        <v>4546</v>
      </c>
      <c r="U75" s="4749"/>
      <c r="V75" s="3049"/>
      <c r="W75" s="4750"/>
      <c r="X75" s="4751"/>
      <c r="Y75" s="4751"/>
      <c r="Z75" s="4751"/>
      <c r="AA75" s="4751"/>
      <c r="AB75" s="4751"/>
      <c r="AC75" s="4751"/>
      <c r="AD75" s="4751"/>
      <c r="AE75" s="4751"/>
      <c r="AF75" s="4752"/>
      <c r="AG75" s="4750"/>
      <c r="AH75" s="4751"/>
      <c r="AI75" s="4751"/>
      <c r="AJ75" s="4751"/>
      <c r="AK75" s="4751"/>
      <c r="AL75" s="4751"/>
      <c r="AM75" s="4751"/>
      <c r="AN75" s="4751"/>
      <c r="AO75" s="4751"/>
      <c r="AP75" s="4752"/>
      <c r="AQ75" s="4750"/>
      <c r="AR75" s="4751"/>
      <c r="AS75" s="4751"/>
      <c r="AT75" s="4751"/>
      <c r="AU75" s="4751"/>
      <c r="AV75" s="4751"/>
      <c r="AW75" s="4751"/>
      <c r="AX75" s="4751"/>
      <c r="AY75" s="4751"/>
      <c r="AZ75" s="4752"/>
      <c r="BA75" s="4750"/>
      <c r="BB75" s="4751"/>
      <c r="BC75" s="4751"/>
      <c r="BD75" s="4751"/>
      <c r="BE75" s="4751"/>
      <c r="BF75" s="4751"/>
      <c r="BG75" s="4751"/>
      <c r="BH75" s="4751"/>
      <c r="BI75" s="4751"/>
      <c r="BJ75" s="4752"/>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38"/>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53"/>
      <c r="BL76" s="4753"/>
      <c r="BM76" s="4741"/>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740" t="s">
        <v>4555</v>
      </c>
      <c r="BU76" s="4741"/>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38"/>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43" t="str">
        <f>IF(OR(E77='Tablas Técnicas'!A$678,E77='Tablas Técnicas'!A$679,E78='Tablas Técnicas'!A$678,E78='Tablas Técnicas'!A$679,E79='Tablas Técnicas'!A$678,E79='Tablas Técnicas'!A$679),"Selecciona la atadura elemental:","")</f>
        <v/>
      </c>
      <c r="AH77" s="4744"/>
      <c r="AI77" s="4744"/>
      <c r="AJ77" s="4744"/>
      <c r="AK77" s="4744"/>
      <c r="AL77" s="4744"/>
      <c r="AM77" s="4744"/>
      <c r="AN77" s="4744"/>
      <c r="AO77" s="4744"/>
      <c r="AP77" s="4744"/>
      <c r="AQ77" s="4744"/>
      <c r="AR77" s="4744"/>
      <c r="AS77" s="4744"/>
      <c r="AT77" s="4744"/>
      <c r="AU77" s="4744"/>
      <c r="AV77" s="4744"/>
      <c r="AW77" s="4744"/>
      <c r="AX77" s="4744"/>
      <c r="AY77" s="4744"/>
      <c r="AZ77" s="4744"/>
      <c r="BA77" s="4744"/>
      <c r="BB77" s="4744"/>
      <c r="BC77" s="4744"/>
      <c r="BD77" s="4744"/>
      <c r="BE77" s="4744"/>
      <c r="BF77" s="4744"/>
      <c r="BG77" s="4744"/>
      <c r="BH77" s="4744"/>
      <c r="BI77" s="4744"/>
      <c r="BJ77" s="4744"/>
      <c r="BK77" s="4745"/>
      <c r="BL77" s="1453"/>
      <c r="BM77" s="1453"/>
      <c r="BN77" s="1018"/>
      <c r="BO77" s="1018"/>
      <c r="BP77" s="1050"/>
      <c r="BQ77" s="1018"/>
      <c r="BR77" s="1018"/>
      <c r="BS77" s="1018"/>
      <c r="BT77" s="4746">
        <f>D45</f>
        <v>1</v>
      </c>
      <c r="BU77" s="4747"/>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38"/>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38"/>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38"/>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38"/>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38"/>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64" t="s">
        <v>3338</v>
      </c>
      <c r="X82" s="4764"/>
      <c r="Y82" s="4764"/>
      <c r="Z82" s="4764"/>
      <c r="AA82" s="4764"/>
      <c r="AB82" s="4764"/>
      <c r="AC82" s="4764"/>
      <c r="AD82" s="4764"/>
      <c r="AE82" s="4764"/>
      <c r="AF82" s="4764"/>
      <c r="AG82" s="4764"/>
      <c r="AH82" s="4764"/>
      <c r="AI82" s="4764"/>
      <c r="AJ82" s="4764"/>
      <c r="AK82" s="4764"/>
      <c r="AL82" s="4764"/>
      <c r="AM82" s="4764"/>
      <c r="AN82" s="4764"/>
      <c r="AO82" s="4764"/>
      <c r="AP82" s="4764"/>
      <c r="AQ82" s="4764"/>
      <c r="AR82" s="4764"/>
      <c r="AS82" s="4764"/>
      <c r="AT82" s="4764"/>
      <c r="AU82" s="4764"/>
      <c r="AV82" s="4764"/>
      <c r="AW82" s="4764"/>
      <c r="AX82" s="4764"/>
      <c r="AY82" s="4764"/>
      <c r="AZ82" s="4764"/>
      <c r="BA82" s="4764"/>
      <c r="BB82" s="4764"/>
      <c r="BC82" s="4764"/>
      <c r="BD82" s="4764"/>
      <c r="BE82" s="4764"/>
      <c r="BF82" s="4764"/>
      <c r="BG82" s="4764"/>
      <c r="BH82" s="4764"/>
      <c r="BI82" s="4764"/>
      <c r="BJ82" s="4764"/>
      <c r="BK82" s="4764" t="s">
        <v>3339</v>
      </c>
      <c r="BL82" s="4764"/>
      <c r="BM82" s="4765"/>
      <c r="BN82" s="981" t="s">
        <v>4534</v>
      </c>
      <c r="BO82" s="981" t="s">
        <v>4535</v>
      </c>
      <c r="BP82" s="981" t="s">
        <v>4536</v>
      </c>
      <c r="BQ82" s="981" t="s">
        <v>4537</v>
      </c>
      <c r="BR82" s="981" t="s">
        <v>4538</v>
      </c>
      <c r="BS82" s="982" t="s">
        <v>4539</v>
      </c>
      <c r="BT82" s="4762" t="s">
        <v>4540</v>
      </c>
      <c r="BU82" s="4763"/>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38"/>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38"/>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762" t="s">
        <v>4541</v>
      </c>
      <c r="BU84" s="4763"/>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78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38"/>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59" t="s">
        <v>4542</v>
      </c>
      <c r="U85" s="4760"/>
      <c r="V85" s="4760"/>
      <c r="W85" s="4760"/>
      <c r="X85" s="4760"/>
      <c r="Y85" s="4760"/>
      <c r="Z85" s="4760"/>
      <c r="AA85" s="4760"/>
      <c r="AB85" s="4760"/>
      <c r="AC85" s="4760"/>
      <c r="AD85" s="4760"/>
      <c r="AE85" s="4760"/>
      <c r="AF85" s="4760"/>
      <c r="AG85" s="4760"/>
      <c r="AH85" s="4760"/>
      <c r="AI85" s="4760"/>
      <c r="AJ85" s="4760"/>
      <c r="AK85" s="4760"/>
      <c r="AL85" s="4760"/>
      <c r="AM85" s="4760"/>
      <c r="AN85" s="4760"/>
      <c r="AO85" s="4760"/>
      <c r="AP85" s="4760"/>
      <c r="AQ85" s="4760"/>
      <c r="AR85" s="4760"/>
      <c r="AS85" s="4760"/>
      <c r="AT85" s="4760"/>
      <c r="AU85" s="4760"/>
      <c r="AV85" s="4760"/>
      <c r="AW85" s="4760"/>
      <c r="AX85" s="4760"/>
      <c r="AY85" s="4760"/>
      <c r="AZ85" s="4760"/>
      <c r="BA85" s="4760"/>
      <c r="BB85" s="4760"/>
      <c r="BC85" s="4760"/>
      <c r="BD85" s="4760"/>
      <c r="BE85" s="4760"/>
      <c r="BF85" s="4760"/>
      <c r="BG85" s="4760"/>
      <c r="BH85" s="4760"/>
      <c r="BI85" s="4760"/>
      <c r="BJ85" s="4760"/>
      <c r="BK85" s="4761"/>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76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69"/>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780"/>
      <c r="DY85" s="1336"/>
      <c r="DZ85" s="951"/>
      <c r="EA85" s="1482">
        <f t="shared" si="1"/>
        <v>1</v>
      </c>
    </row>
    <row r="86" spans="1:132" x14ac:dyDescent="0.2">
      <c r="A86" s="951"/>
      <c r="B86" s="951"/>
      <c r="C86" s="4738"/>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30"/>
      <c r="U86" s="4731"/>
      <c r="V86" s="3043" t="str">
        <f>IF(OR(V84=0,V84=""),"N/A",V84)</f>
        <v>N/A</v>
      </c>
      <c r="W86" s="4730" t="str">
        <f xml:space="preserve"> IF(OR(AF84=0,AF84=""),"N/A",W84)</f>
        <v>N/A</v>
      </c>
      <c r="X86" s="4732"/>
      <c r="Y86" s="4732"/>
      <c r="Z86" s="4732"/>
      <c r="AA86" s="4732"/>
      <c r="AB86" s="4732"/>
      <c r="AC86" s="4732"/>
      <c r="AD86" s="4732"/>
      <c r="AE86" s="4732"/>
      <c r="AF86" s="4731"/>
      <c r="AG86" s="4730" t="str">
        <f xml:space="preserve"> IF(OR(AP84="",AP84=0),"N/A",AG84)</f>
        <v>N/A</v>
      </c>
      <c r="AH86" s="4732"/>
      <c r="AI86" s="4732"/>
      <c r="AJ86" s="4732"/>
      <c r="AK86" s="4732"/>
      <c r="AL86" s="4732"/>
      <c r="AM86" s="4732"/>
      <c r="AN86" s="4732"/>
      <c r="AO86" s="4732"/>
      <c r="AP86" s="4731"/>
      <c r="AQ86" s="4730" t="str">
        <f xml:space="preserve"> IF(OR(AZ84="",AZ84=0),"N/A",AQ84)</f>
        <v>N/A</v>
      </c>
      <c r="AR86" s="4732"/>
      <c r="AS86" s="4732"/>
      <c r="AT86" s="4732"/>
      <c r="AU86" s="4732"/>
      <c r="AV86" s="4732"/>
      <c r="AW86" s="4732"/>
      <c r="AX86" s="4732"/>
      <c r="AY86" s="4732"/>
      <c r="AZ86" s="4731"/>
      <c r="BA86" s="4730" t="str">
        <f xml:space="preserve"> IF(OR(BJ84="",BJ84=0),"N/A",BA84)</f>
        <v>N/A</v>
      </c>
      <c r="BB86" s="4732"/>
      <c r="BC86" s="4732"/>
      <c r="BD86" s="4732"/>
      <c r="BE86" s="4732"/>
      <c r="BF86" s="4732"/>
      <c r="BG86" s="4732"/>
      <c r="BH86" s="4732"/>
      <c r="BI86" s="4732"/>
      <c r="BJ86" s="4731"/>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780"/>
      <c r="DY86" s="1336"/>
      <c r="DZ86" s="951"/>
      <c r="EA86" s="1482">
        <f t="shared" si="1"/>
        <v>1</v>
      </c>
    </row>
    <row r="87" spans="1:132" x14ac:dyDescent="0.2">
      <c r="A87" s="951"/>
      <c r="B87" s="951"/>
      <c r="C87" s="4738"/>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33" t="s">
        <v>4544</v>
      </c>
      <c r="U87" s="4734"/>
      <c r="V87" s="3039"/>
      <c r="W87" s="4735"/>
      <c r="X87" s="4736"/>
      <c r="Y87" s="4736"/>
      <c r="Z87" s="4736"/>
      <c r="AA87" s="4736"/>
      <c r="AB87" s="4736"/>
      <c r="AC87" s="4736"/>
      <c r="AD87" s="4736"/>
      <c r="AE87" s="4736"/>
      <c r="AF87" s="4737"/>
      <c r="AG87" s="4735"/>
      <c r="AH87" s="4736"/>
      <c r="AI87" s="4736"/>
      <c r="AJ87" s="4736"/>
      <c r="AK87" s="4736"/>
      <c r="AL87" s="4736"/>
      <c r="AM87" s="4736"/>
      <c r="AN87" s="4736"/>
      <c r="AO87" s="4736"/>
      <c r="AP87" s="4737"/>
      <c r="AQ87" s="4735"/>
      <c r="AR87" s="4736"/>
      <c r="AS87" s="4736"/>
      <c r="AT87" s="4736"/>
      <c r="AU87" s="4736"/>
      <c r="AV87" s="4736"/>
      <c r="AW87" s="4736"/>
      <c r="AX87" s="4736"/>
      <c r="AY87" s="4736"/>
      <c r="AZ87" s="4737"/>
      <c r="BA87" s="4735"/>
      <c r="BB87" s="4736"/>
      <c r="BC87" s="4736"/>
      <c r="BD87" s="4736"/>
      <c r="BE87" s="4736"/>
      <c r="BF87" s="4736"/>
      <c r="BG87" s="4736"/>
      <c r="BH87" s="4736"/>
      <c r="BI87" s="4736"/>
      <c r="BJ87" s="4737"/>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762" t="s">
        <v>4545</v>
      </c>
      <c r="BU87" s="4763"/>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780"/>
      <c r="DY87" s="1336"/>
      <c r="DZ87" s="951"/>
      <c r="EA87" s="1482">
        <f t="shared" si="1"/>
        <v>1</v>
      </c>
    </row>
    <row r="88" spans="1:132" x14ac:dyDescent="0.2">
      <c r="A88" s="951"/>
      <c r="B88" s="951"/>
      <c r="C88" s="4738"/>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54" t="s">
        <v>4546</v>
      </c>
      <c r="U88" s="4755"/>
      <c r="V88" s="3046"/>
      <c r="W88" s="4756"/>
      <c r="X88" s="4757"/>
      <c r="Y88" s="4757"/>
      <c r="Z88" s="4757"/>
      <c r="AA88" s="4757"/>
      <c r="AB88" s="4757"/>
      <c r="AC88" s="4757"/>
      <c r="AD88" s="4757"/>
      <c r="AE88" s="4757"/>
      <c r="AF88" s="4758"/>
      <c r="AG88" s="4756"/>
      <c r="AH88" s="4757"/>
      <c r="AI88" s="4757"/>
      <c r="AJ88" s="4757"/>
      <c r="AK88" s="4757"/>
      <c r="AL88" s="4757"/>
      <c r="AM88" s="4757"/>
      <c r="AN88" s="4757"/>
      <c r="AO88" s="4757"/>
      <c r="AP88" s="4758"/>
      <c r="AQ88" s="4756"/>
      <c r="AR88" s="4757"/>
      <c r="AS88" s="4757"/>
      <c r="AT88" s="4757"/>
      <c r="AU88" s="4757"/>
      <c r="AV88" s="4757"/>
      <c r="AW88" s="4757"/>
      <c r="AX88" s="4757"/>
      <c r="AY88" s="4757"/>
      <c r="AZ88" s="4758"/>
      <c r="BA88" s="4756"/>
      <c r="BB88" s="4757"/>
      <c r="BC88" s="4757"/>
      <c r="BD88" s="4757"/>
      <c r="BE88" s="4757"/>
      <c r="BF88" s="4757"/>
      <c r="BG88" s="4757"/>
      <c r="BH88" s="4757"/>
      <c r="BI88" s="4757"/>
      <c r="BJ88" s="4758"/>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766" t="s">
        <v>1690</v>
      </c>
      <c r="BU88" s="4767"/>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780"/>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38"/>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762" t="s">
        <v>4547</v>
      </c>
      <c r="BU89" s="4763"/>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38"/>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766" t="s">
        <v>4527</v>
      </c>
      <c r="BU90" s="4767"/>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38"/>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59" t="s">
        <v>4542</v>
      </c>
      <c r="U91" s="4760"/>
      <c r="V91" s="4760"/>
      <c r="W91" s="4760"/>
      <c r="X91" s="4760"/>
      <c r="Y91" s="4760"/>
      <c r="Z91" s="4760"/>
      <c r="AA91" s="4760"/>
      <c r="AB91" s="4760"/>
      <c r="AC91" s="4760"/>
      <c r="AD91" s="4760"/>
      <c r="AE91" s="4760"/>
      <c r="AF91" s="4760"/>
      <c r="AG91" s="4760"/>
      <c r="AH91" s="4760"/>
      <c r="AI91" s="4760"/>
      <c r="AJ91" s="4760"/>
      <c r="AK91" s="4760"/>
      <c r="AL91" s="4760"/>
      <c r="AM91" s="4760"/>
      <c r="AN91" s="4760"/>
      <c r="AO91" s="4760"/>
      <c r="AP91" s="4760"/>
      <c r="AQ91" s="4760"/>
      <c r="AR91" s="4760"/>
      <c r="AS91" s="4760"/>
      <c r="AT91" s="4760"/>
      <c r="AU91" s="4760"/>
      <c r="AV91" s="4760"/>
      <c r="AW91" s="4760"/>
      <c r="AX91" s="4760"/>
      <c r="AY91" s="4760"/>
      <c r="AZ91" s="4760"/>
      <c r="BA91" s="4760"/>
      <c r="BB91" s="4760"/>
      <c r="BC91" s="4760"/>
      <c r="BD91" s="4760"/>
      <c r="BE91" s="4760"/>
      <c r="BF91" s="4760"/>
      <c r="BG91" s="4760"/>
      <c r="BH91" s="4760"/>
      <c r="BI91" s="4760"/>
      <c r="BJ91" s="4760"/>
      <c r="BK91" s="4761"/>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762" t="s">
        <v>4548</v>
      </c>
      <c r="BU91" s="4763"/>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38"/>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30"/>
      <c r="U92" s="4731"/>
      <c r="V92" s="3043" t="str">
        <f>IF(OR(V90=0,V90=""),"N/A",V90)</f>
        <v>N/A</v>
      </c>
      <c r="W92" s="4730" t="str">
        <f xml:space="preserve"> IF(OR(AF90=0,AF90=""),"N/A",W90)</f>
        <v>N/A</v>
      </c>
      <c r="X92" s="4732"/>
      <c r="Y92" s="4732"/>
      <c r="Z92" s="4732"/>
      <c r="AA92" s="4732"/>
      <c r="AB92" s="4732"/>
      <c r="AC92" s="4732"/>
      <c r="AD92" s="4732"/>
      <c r="AE92" s="4732"/>
      <c r="AF92" s="4731"/>
      <c r="AG92" s="4730" t="str">
        <f xml:space="preserve"> IF(OR(AP90="",AP90=0),"N/A",AG90)</f>
        <v>N/A</v>
      </c>
      <c r="AH92" s="4732"/>
      <c r="AI92" s="4732"/>
      <c r="AJ92" s="4732"/>
      <c r="AK92" s="4732"/>
      <c r="AL92" s="4732"/>
      <c r="AM92" s="4732"/>
      <c r="AN92" s="4732"/>
      <c r="AO92" s="4732"/>
      <c r="AP92" s="4731"/>
      <c r="AQ92" s="4730" t="str">
        <f xml:space="preserve"> IF(OR(AZ90="",AZ90=0),"N/A",AQ90)</f>
        <v>N/A</v>
      </c>
      <c r="AR92" s="4732"/>
      <c r="AS92" s="4732"/>
      <c r="AT92" s="4732"/>
      <c r="AU92" s="4732"/>
      <c r="AV92" s="4732"/>
      <c r="AW92" s="4732"/>
      <c r="AX92" s="4732"/>
      <c r="AY92" s="4732"/>
      <c r="AZ92" s="4731"/>
      <c r="BA92" s="4730" t="str">
        <f xml:space="preserve"> IF(OR(BJ90="",BJ90=0),"N/A",BA90)</f>
        <v>N/A</v>
      </c>
      <c r="BB92" s="4732"/>
      <c r="BC92" s="4732"/>
      <c r="BD92" s="4732"/>
      <c r="BE92" s="4732"/>
      <c r="BF92" s="4732"/>
      <c r="BG92" s="4732"/>
      <c r="BH92" s="4732"/>
      <c r="BI92" s="4732"/>
      <c r="BJ92" s="4731"/>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766" t="s">
        <v>4521</v>
      </c>
      <c r="BU92" s="4767"/>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38"/>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33" t="s">
        <v>4544</v>
      </c>
      <c r="U93" s="4734"/>
      <c r="V93" s="3039"/>
      <c r="W93" s="4735"/>
      <c r="X93" s="4736"/>
      <c r="Y93" s="4736"/>
      <c r="Z93" s="4736"/>
      <c r="AA93" s="4736"/>
      <c r="AB93" s="4736"/>
      <c r="AC93" s="4736"/>
      <c r="AD93" s="4736"/>
      <c r="AE93" s="4736"/>
      <c r="AF93" s="4737"/>
      <c r="AG93" s="4735"/>
      <c r="AH93" s="4736"/>
      <c r="AI93" s="4736"/>
      <c r="AJ93" s="4736"/>
      <c r="AK93" s="4736"/>
      <c r="AL93" s="4736"/>
      <c r="AM93" s="4736"/>
      <c r="AN93" s="4736"/>
      <c r="AO93" s="4736"/>
      <c r="AP93" s="4737"/>
      <c r="AQ93" s="4735"/>
      <c r="AR93" s="4736"/>
      <c r="AS93" s="4736"/>
      <c r="AT93" s="4736"/>
      <c r="AU93" s="4736"/>
      <c r="AV93" s="4736"/>
      <c r="AW93" s="4736"/>
      <c r="AX93" s="4736"/>
      <c r="AY93" s="4736"/>
      <c r="AZ93" s="4737"/>
      <c r="BA93" s="4735"/>
      <c r="BB93" s="4736"/>
      <c r="BC93" s="4736"/>
      <c r="BD93" s="4736"/>
      <c r="BE93" s="4736"/>
      <c r="BF93" s="4736"/>
      <c r="BG93" s="4736"/>
      <c r="BH93" s="4736"/>
      <c r="BI93" s="4736"/>
      <c r="BJ93" s="4737"/>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740" t="s">
        <v>4549</v>
      </c>
      <c r="BU93" s="4741"/>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38"/>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54" t="s">
        <v>4546</v>
      </c>
      <c r="U94" s="4755"/>
      <c r="V94" s="3046"/>
      <c r="W94" s="4756"/>
      <c r="X94" s="4757"/>
      <c r="Y94" s="4757"/>
      <c r="Z94" s="4757"/>
      <c r="AA94" s="4757"/>
      <c r="AB94" s="4757"/>
      <c r="AC94" s="4757"/>
      <c r="AD94" s="4757"/>
      <c r="AE94" s="4757"/>
      <c r="AF94" s="4758"/>
      <c r="AG94" s="4756"/>
      <c r="AH94" s="4757"/>
      <c r="AI94" s="4757"/>
      <c r="AJ94" s="4757"/>
      <c r="AK94" s="4757"/>
      <c r="AL94" s="4757"/>
      <c r="AM94" s="4757"/>
      <c r="AN94" s="4757"/>
      <c r="AO94" s="4757"/>
      <c r="AP94" s="4758"/>
      <c r="AQ94" s="4756"/>
      <c r="AR94" s="4757"/>
      <c r="AS94" s="4757"/>
      <c r="AT94" s="4757"/>
      <c r="AU94" s="4757"/>
      <c r="AV94" s="4757"/>
      <c r="AW94" s="4757"/>
      <c r="AX94" s="4757"/>
      <c r="AY94" s="4757"/>
      <c r="AZ94" s="4758"/>
      <c r="BA94" s="4756"/>
      <c r="BB94" s="4757"/>
      <c r="BC94" s="4757"/>
      <c r="BD94" s="4757"/>
      <c r="BE94" s="4757"/>
      <c r="BF94" s="4757"/>
      <c r="BG94" s="4757"/>
      <c r="BH94" s="4757"/>
      <c r="BI94" s="4757"/>
      <c r="BJ94" s="4758"/>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39"/>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38"/>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39"/>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38"/>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39"/>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38"/>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59" t="s">
        <v>4542</v>
      </c>
      <c r="U97" s="4760"/>
      <c r="V97" s="4760"/>
      <c r="W97" s="4760"/>
      <c r="X97" s="4760"/>
      <c r="Y97" s="4760"/>
      <c r="Z97" s="4760"/>
      <c r="AA97" s="4760"/>
      <c r="AB97" s="4760"/>
      <c r="AC97" s="4760"/>
      <c r="AD97" s="4760"/>
      <c r="AE97" s="4760"/>
      <c r="AF97" s="4760"/>
      <c r="AG97" s="4760"/>
      <c r="AH97" s="4760"/>
      <c r="AI97" s="4760"/>
      <c r="AJ97" s="4760"/>
      <c r="AK97" s="4760"/>
      <c r="AL97" s="4760"/>
      <c r="AM97" s="4760"/>
      <c r="AN97" s="4760"/>
      <c r="AO97" s="4760"/>
      <c r="AP97" s="4760"/>
      <c r="AQ97" s="4760"/>
      <c r="AR97" s="4760"/>
      <c r="AS97" s="4760"/>
      <c r="AT97" s="4760"/>
      <c r="AU97" s="4760"/>
      <c r="AV97" s="4760"/>
      <c r="AW97" s="4760"/>
      <c r="AX97" s="4760"/>
      <c r="AY97" s="4760"/>
      <c r="AZ97" s="4760"/>
      <c r="BA97" s="4760"/>
      <c r="BB97" s="4760"/>
      <c r="BC97" s="4760"/>
      <c r="BD97" s="4760"/>
      <c r="BE97" s="4760"/>
      <c r="BF97" s="4760"/>
      <c r="BG97" s="4760"/>
      <c r="BH97" s="4760"/>
      <c r="BI97" s="4760"/>
      <c r="BJ97" s="4760"/>
      <c r="BK97" s="4761"/>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38"/>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30"/>
      <c r="U98" s="4731"/>
      <c r="V98" s="3043" t="str">
        <f>IF(OR(V96=0,V96=""),"N/A",V96)</f>
        <v>N/A</v>
      </c>
      <c r="W98" s="4730" t="str">
        <f xml:space="preserve"> IF(OR(AF96=0,AF96=""),"N/A",W96)</f>
        <v>N/A</v>
      </c>
      <c r="X98" s="4732"/>
      <c r="Y98" s="4732"/>
      <c r="Z98" s="4732"/>
      <c r="AA98" s="4732"/>
      <c r="AB98" s="4732"/>
      <c r="AC98" s="4732"/>
      <c r="AD98" s="4732"/>
      <c r="AE98" s="4732"/>
      <c r="AF98" s="4731"/>
      <c r="AG98" s="4730" t="str">
        <f xml:space="preserve"> IF(OR(AP96="",AP96=0),"N/A",AG96)</f>
        <v>N/A</v>
      </c>
      <c r="AH98" s="4732"/>
      <c r="AI98" s="4732"/>
      <c r="AJ98" s="4732"/>
      <c r="AK98" s="4732"/>
      <c r="AL98" s="4732"/>
      <c r="AM98" s="4732"/>
      <c r="AN98" s="4732"/>
      <c r="AO98" s="4732"/>
      <c r="AP98" s="4731"/>
      <c r="AQ98" s="4730" t="str">
        <f xml:space="preserve"> IF(OR(AZ96="",AZ96=0),"N/A",AQ96)</f>
        <v>N/A</v>
      </c>
      <c r="AR98" s="4732"/>
      <c r="AS98" s="4732"/>
      <c r="AT98" s="4732"/>
      <c r="AU98" s="4732"/>
      <c r="AV98" s="4732"/>
      <c r="AW98" s="4732"/>
      <c r="AX98" s="4732"/>
      <c r="AY98" s="4732"/>
      <c r="AZ98" s="4731"/>
      <c r="BA98" s="4730" t="str">
        <f xml:space="preserve"> IF(OR(BJ96="",BJ96=0),"N/A",BA96)</f>
        <v>N/A</v>
      </c>
      <c r="BB98" s="4732"/>
      <c r="BC98" s="4732"/>
      <c r="BD98" s="4732"/>
      <c r="BE98" s="4732"/>
      <c r="BF98" s="4732"/>
      <c r="BG98" s="4732"/>
      <c r="BH98" s="4732"/>
      <c r="BI98" s="4732"/>
      <c r="BJ98" s="4731"/>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38"/>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33" t="s">
        <v>4544</v>
      </c>
      <c r="U99" s="4734"/>
      <c r="V99" s="3039"/>
      <c r="W99" s="4735"/>
      <c r="X99" s="4736"/>
      <c r="Y99" s="4736"/>
      <c r="Z99" s="4736"/>
      <c r="AA99" s="4736"/>
      <c r="AB99" s="4736"/>
      <c r="AC99" s="4736"/>
      <c r="AD99" s="4736"/>
      <c r="AE99" s="4736"/>
      <c r="AF99" s="4737"/>
      <c r="AG99" s="4735"/>
      <c r="AH99" s="4736"/>
      <c r="AI99" s="4736"/>
      <c r="AJ99" s="4736"/>
      <c r="AK99" s="4736"/>
      <c r="AL99" s="4736"/>
      <c r="AM99" s="4736"/>
      <c r="AN99" s="4736"/>
      <c r="AO99" s="4736"/>
      <c r="AP99" s="4737"/>
      <c r="AQ99" s="4735"/>
      <c r="AR99" s="4736"/>
      <c r="AS99" s="4736"/>
      <c r="AT99" s="4736"/>
      <c r="AU99" s="4736"/>
      <c r="AV99" s="4736"/>
      <c r="AW99" s="4736"/>
      <c r="AX99" s="4736"/>
      <c r="AY99" s="4736"/>
      <c r="AZ99" s="4737"/>
      <c r="BA99" s="4735"/>
      <c r="BB99" s="4736"/>
      <c r="BC99" s="4736"/>
      <c r="BD99" s="4736"/>
      <c r="BE99" s="4736"/>
      <c r="BF99" s="4736"/>
      <c r="BG99" s="4736"/>
      <c r="BH99" s="4736"/>
      <c r="BI99" s="4736"/>
      <c r="BJ99" s="4737"/>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38"/>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54" t="s">
        <v>4546</v>
      </c>
      <c r="U100" s="4755"/>
      <c r="V100" s="3046"/>
      <c r="W100" s="4756"/>
      <c r="X100" s="4757"/>
      <c r="Y100" s="4757"/>
      <c r="Z100" s="4757"/>
      <c r="AA100" s="4757"/>
      <c r="AB100" s="4757"/>
      <c r="AC100" s="4757"/>
      <c r="AD100" s="4757"/>
      <c r="AE100" s="4757"/>
      <c r="AF100" s="4758"/>
      <c r="AG100" s="4756"/>
      <c r="AH100" s="4757"/>
      <c r="AI100" s="4757"/>
      <c r="AJ100" s="4757"/>
      <c r="AK100" s="4757"/>
      <c r="AL100" s="4757"/>
      <c r="AM100" s="4757"/>
      <c r="AN100" s="4757"/>
      <c r="AO100" s="4757"/>
      <c r="AP100" s="4758"/>
      <c r="AQ100" s="4756"/>
      <c r="AR100" s="4757"/>
      <c r="AS100" s="4757"/>
      <c r="AT100" s="4757"/>
      <c r="AU100" s="4757"/>
      <c r="AV100" s="4757"/>
      <c r="AW100" s="4757"/>
      <c r="AX100" s="4757"/>
      <c r="AY100" s="4757"/>
      <c r="AZ100" s="4758"/>
      <c r="BA100" s="4756"/>
      <c r="BB100" s="4757"/>
      <c r="BC100" s="4757"/>
      <c r="BD100" s="4757"/>
      <c r="BE100" s="4757"/>
      <c r="BF100" s="4757"/>
      <c r="BG100" s="4757"/>
      <c r="BH100" s="4757"/>
      <c r="BI100" s="4757"/>
      <c r="BJ100" s="4758"/>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38"/>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38"/>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38"/>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59" t="s">
        <v>4542</v>
      </c>
      <c r="U103" s="4760"/>
      <c r="V103" s="4760"/>
      <c r="W103" s="4760"/>
      <c r="X103" s="4760"/>
      <c r="Y103" s="4760"/>
      <c r="Z103" s="4760"/>
      <c r="AA103" s="4760"/>
      <c r="AB103" s="4760"/>
      <c r="AC103" s="4760"/>
      <c r="AD103" s="4760"/>
      <c r="AE103" s="4760"/>
      <c r="AF103" s="4760"/>
      <c r="AG103" s="4760"/>
      <c r="AH103" s="4760"/>
      <c r="AI103" s="4760"/>
      <c r="AJ103" s="4760"/>
      <c r="AK103" s="4760"/>
      <c r="AL103" s="4760"/>
      <c r="AM103" s="4760"/>
      <c r="AN103" s="4760"/>
      <c r="AO103" s="4760"/>
      <c r="AP103" s="4760"/>
      <c r="AQ103" s="4760"/>
      <c r="AR103" s="4760"/>
      <c r="AS103" s="4760"/>
      <c r="AT103" s="4760"/>
      <c r="AU103" s="4760"/>
      <c r="AV103" s="4760"/>
      <c r="AW103" s="4760"/>
      <c r="AX103" s="4760"/>
      <c r="AY103" s="4760"/>
      <c r="AZ103" s="4760"/>
      <c r="BA103" s="4760"/>
      <c r="BB103" s="4760"/>
      <c r="BC103" s="4760"/>
      <c r="BD103" s="4760"/>
      <c r="BE103" s="4760"/>
      <c r="BF103" s="4760"/>
      <c r="BG103" s="4760"/>
      <c r="BH103" s="4760"/>
      <c r="BI103" s="4760"/>
      <c r="BJ103" s="4760"/>
      <c r="BK103" s="4761"/>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38"/>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30"/>
      <c r="U104" s="4731"/>
      <c r="V104" s="3043" t="str">
        <f>IF(OR(V102=0,V102=""),"N/A",V102)</f>
        <v>N/A</v>
      </c>
      <c r="W104" s="4730" t="str">
        <f xml:space="preserve"> IF(OR(AF102=0,AF102=""),"N/A",W102)</f>
        <v>N/A</v>
      </c>
      <c r="X104" s="4732"/>
      <c r="Y104" s="4732"/>
      <c r="Z104" s="4732"/>
      <c r="AA104" s="4732"/>
      <c r="AB104" s="4732"/>
      <c r="AC104" s="4732"/>
      <c r="AD104" s="4732"/>
      <c r="AE104" s="4732"/>
      <c r="AF104" s="4731"/>
      <c r="AG104" s="4730" t="str">
        <f xml:space="preserve"> IF(OR(AP102="",AP102=0),"N/A",AG102)</f>
        <v>N/A</v>
      </c>
      <c r="AH104" s="4732"/>
      <c r="AI104" s="4732"/>
      <c r="AJ104" s="4732"/>
      <c r="AK104" s="4732"/>
      <c r="AL104" s="4732"/>
      <c r="AM104" s="4732"/>
      <c r="AN104" s="4732"/>
      <c r="AO104" s="4732"/>
      <c r="AP104" s="4731"/>
      <c r="AQ104" s="4730" t="str">
        <f xml:space="preserve"> IF(OR(AZ102="",AZ102=0),"N/A",AQ102)</f>
        <v>N/A</v>
      </c>
      <c r="AR104" s="4732"/>
      <c r="AS104" s="4732"/>
      <c r="AT104" s="4732"/>
      <c r="AU104" s="4732"/>
      <c r="AV104" s="4732"/>
      <c r="AW104" s="4732"/>
      <c r="AX104" s="4732"/>
      <c r="AY104" s="4732"/>
      <c r="AZ104" s="4731"/>
      <c r="BA104" s="4730" t="str">
        <f xml:space="preserve"> IF(OR(BJ102="",BJ102=0),"N/A",BA102)</f>
        <v>N/A</v>
      </c>
      <c r="BB104" s="4732"/>
      <c r="BC104" s="4732"/>
      <c r="BD104" s="4732"/>
      <c r="BE104" s="4732"/>
      <c r="BF104" s="4732"/>
      <c r="BG104" s="4732"/>
      <c r="BH104" s="4732"/>
      <c r="BI104" s="4732"/>
      <c r="BJ104" s="4731"/>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38"/>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33" t="s">
        <v>4544</v>
      </c>
      <c r="U105" s="4734"/>
      <c r="V105" s="3039"/>
      <c r="W105" s="4735"/>
      <c r="X105" s="4736"/>
      <c r="Y105" s="4736"/>
      <c r="Z105" s="4736"/>
      <c r="AA105" s="4736"/>
      <c r="AB105" s="4736"/>
      <c r="AC105" s="4736"/>
      <c r="AD105" s="4736"/>
      <c r="AE105" s="4736"/>
      <c r="AF105" s="4737"/>
      <c r="AG105" s="4735"/>
      <c r="AH105" s="4736"/>
      <c r="AI105" s="4736"/>
      <c r="AJ105" s="4736"/>
      <c r="AK105" s="4736"/>
      <c r="AL105" s="4736"/>
      <c r="AM105" s="4736"/>
      <c r="AN105" s="4736"/>
      <c r="AO105" s="4736"/>
      <c r="AP105" s="4737"/>
      <c r="AQ105" s="4735"/>
      <c r="AR105" s="4736"/>
      <c r="AS105" s="4736"/>
      <c r="AT105" s="4736"/>
      <c r="AU105" s="4736"/>
      <c r="AV105" s="4736"/>
      <c r="AW105" s="4736"/>
      <c r="AX105" s="4736"/>
      <c r="AY105" s="4736"/>
      <c r="AZ105" s="4737"/>
      <c r="BA105" s="4735"/>
      <c r="BB105" s="4736"/>
      <c r="BC105" s="4736"/>
      <c r="BD105" s="4736"/>
      <c r="BE105" s="4736"/>
      <c r="BF105" s="4736"/>
      <c r="BG105" s="4736"/>
      <c r="BH105" s="4736"/>
      <c r="BI105" s="4736"/>
      <c r="BJ105" s="4737"/>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38"/>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54" t="s">
        <v>4546</v>
      </c>
      <c r="U106" s="4755"/>
      <c r="V106" s="3046"/>
      <c r="W106" s="4756"/>
      <c r="X106" s="4757"/>
      <c r="Y106" s="4757"/>
      <c r="Z106" s="4757"/>
      <c r="AA106" s="4757"/>
      <c r="AB106" s="4757"/>
      <c r="AC106" s="4757"/>
      <c r="AD106" s="4757"/>
      <c r="AE106" s="4757"/>
      <c r="AF106" s="4758"/>
      <c r="AG106" s="4756"/>
      <c r="AH106" s="4757"/>
      <c r="AI106" s="4757"/>
      <c r="AJ106" s="4757"/>
      <c r="AK106" s="4757"/>
      <c r="AL106" s="4757"/>
      <c r="AM106" s="4757"/>
      <c r="AN106" s="4757"/>
      <c r="AO106" s="4757"/>
      <c r="AP106" s="4758"/>
      <c r="AQ106" s="4756"/>
      <c r="AR106" s="4757"/>
      <c r="AS106" s="4757"/>
      <c r="AT106" s="4757"/>
      <c r="AU106" s="4757"/>
      <c r="AV106" s="4757"/>
      <c r="AW106" s="4757"/>
      <c r="AX106" s="4757"/>
      <c r="AY106" s="4757"/>
      <c r="AZ106" s="4758"/>
      <c r="BA106" s="4756"/>
      <c r="BB106" s="4757"/>
      <c r="BC106" s="4757"/>
      <c r="BD106" s="4757"/>
      <c r="BE106" s="4757"/>
      <c r="BF106" s="4757"/>
      <c r="BG106" s="4757"/>
      <c r="BH106" s="4757"/>
      <c r="BI106" s="4757"/>
      <c r="BJ106" s="4758"/>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38"/>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38"/>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742"/>
      <c r="BV108" s="4742"/>
      <c r="BW108" s="4742"/>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38"/>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59" t="s">
        <v>4542</v>
      </c>
      <c r="U109" s="4760"/>
      <c r="V109" s="4760"/>
      <c r="W109" s="4760"/>
      <c r="X109" s="4760"/>
      <c r="Y109" s="4760"/>
      <c r="Z109" s="4760"/>
      <c r="AA109" s="4760"/>
      <c r="AB109" s="4760"/>
      <c r="AC109" s="4760"/>
      <c r="AD109" s="4760"/>
      <c r="AE109" s="4760"/>
      <c r="AF109" s="4760"/>
      <c r="AG109" s="4760"/>
      <c r="AH109" s="4760"/>
      <c r="AI109" s="4760"/>
      <c r="AJ109" s="4760"/>
      <c r="AK109" s="4760"/>
      <c r="AL109" s="4760"/>
      <c r="AM109" s="4760"/>
      <c r="AN109" s="4760"/>
      <c r="AO109" s="4760"/>
      <c r="AP109" s="4760"/>
      <c r="AQ109" s="4760"/>
      <c r="AR109" s="4760"/>
      <c r="AS109" s="4760"/>
      <c r="AT109" s="4760"/>
      <c r="AU109" s="4760"/>
      <c r="AV109" s="4760"/>
      <c r="AW109" s="4760"/>
      <c r="AX109" s="4760"/>
      <c r="AY109" s="4760"/>
      <c r="AZ109" s="4760"/>
      <c r="BA109" s="4760"/>
      <c r="BB109" s="4760"/>
      <c r="BC109" s="4760"/>
      <c r="BD109" s="4760"/>
      <c r="BE109" s="4760"/>
      <c r="BF109" s="4760"/>
      <c r="BG109" s="4760"/>
      <c r="BH109" s="4760"/>
      <c r="BI109" s="4760"/>
      <c r="BJ109" s="4760"/>
      <c r="BK109" s="4761"/>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38"/>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30"/>
      <c r="U110" s="4731"/>
      <c r="V110" s="3043" t="str">
        <f>IF(OR(V108=0,V108=""),"N/A",V108)</f>
        <v>N/A</v>
      </c>
      <c r="W110" s="4730" t="str">
        <f xml:space="preserve"> IF(OR(AF108=0,AF108=""),"N/A",W108)</f>
        <v>N/A</v>
      </c>
      <c r="X110" s="4732"/>
      <c r="Y110" s="4732"/>
      <c r="Z110" s="4732"/>
      <c r="AA110" s="4732"/>
      <c r="AB110" s="4732"/>
      <c r="AC110" s="4732"/>
      <c r="AD110" s="4732"/>
      <c r="AE110" s="4732"/>
      <c r="AF110" s="4731"/>
      <c r="AG110" s="4730" t="str">
        <f xml:space="preserve"> IF(OR(AP108="",AP108=0),"N/A",AG108)</f>
        <v>N/A</v>
      </c>
      <c r="AH110" s="4732"/>
      <c r="AI110" s="4732"/>
      <c r="AJ110" s="4732"/>
      <c r="AK110" s="4732"/>
      <c r="AL110" s="4732"/>
      <c r="AM110" s="4732"/>
      <c r="AN110" s="4732"/>
      <c r="AO110" s="4732"/>
      <c r="AP110" s="4731"/>
      <c r="AQ110" s="4730" t="str">
        <f xml:space="preserve"> IF(OR(AZ108="",AZ108=0),"N/A",AQ108)</f>
        <v>N/A</v>
      </c>
      <c r="AR110" s="4732"/>
      <c r="AS110" s="4732"/>
      <c r="AT110" s="4732"/>
      <c r="AU110" s="4732"/>
      <c r="AV110" s="4732"/>
      <c r="AW110" s="4732"/>
      <c r="AX110" s="4732"/>
      <c r="AY110" s="4732"/>
      <c r="AZ110" s="4731"/>
      <c r="BA110" s="4730" t="str">
        <f xml:space="preserve"> IF(OR(BJ108="",BJ108=0),"N/A",BA108)</f>
        <v>N/A</v>
      </c>
      <c r="BB110" s="4732"/>
      <c r="BC110" s="4732"/>
      <c r="BD110" s="4732"/>
      <c r="BE110" s="4732"/>
      <c r="BF110" s="4732"/>
      <c r="BG110" s="4732"/>
      <c r="BH110" s="4732"/>
      <c r="BI110" s="4732"/>
      <c r="BJ110" s="4731"/>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770"/>
      <c r="BV110" s="4770"/>
      <c r="BW110" s="4770"/>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38"/>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33" t="s">
        <v>4544</v>
      </c>
      <c r="U111" s="4734"/>
      <c r="V111" s="3039"/>
      <c r="W111" s="4735"/>
      <c r="X111" s="4736"/>
      <c r="Y111" s="4736"/>
      <c r="Z111" s="4736"/>
      <c r="AA111" s="4736"/>
      <c r="AB111" s="4736"/>
      <c r="AC111" s="4736"/>
      <c r="AD111" s="4736"/>
      <c r="AE111" s="4736"/>
      <c r="AF111" s="4737"/>
      <c r="AG111" s="4735"/>
      <c r="AH111" s="4736"/>
      <c r="AI111" s="4736"/>
      <c r="AJ111" s="4736"/>
      <c r="AK111" s="4736"/>
      <c r="AL111" s="4736"/>
      <c r="AM111" s="4736"/>
      <c r="AN111" s="4736"/>
      <c r="AO111" s="4736"/>
      <c r="AP111" s="4737"/>
      <c r="AQ111" s="4735"/>
      <c r="AR111" s="4736"/>
      <c r="AS111" s="4736"/>
      <c r="AT111" s="4736"/>
      <c r="AU111" s="4736"/>
      <c r="AV111" s="4736"/>
      <c r="AW111" s="4736"/>
      <c r="AX111" s="4736"/>
      <c r="AY111" s="4736"/>
      <c r="AZ111" s="4737"/>
      <c r="BA111" s="4735"/>
      <c r="BB111" s="4736"/>
      <c r="BC111" s="4736"/>
      <c r="BD111" s="4736"/>
      <c r="BE111" s="4736"/>
      <c r="BF111" s="4736"/>
      <c r="BG111" s="4736"/>
      <c r="BH111" s="4736"/>
      <c r="BI111" s="4736"/>
      <c r="BJ111" s="4737"/>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38"/>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48" t="s">
        <v>4546</v>
      </c>
      <c r="U112" s="4749"/>
      <c r="V112" s="3049"/>
      <c r="W112" s="4750"/>
      <c r="X112" s="4751"/>
      <c r="Y112" s="4751"/>
      <c r="Z112" s="4751"/>
      <c r="AA112" s="4751"/>
      <c r="AB112" s="4751"/>
      <c r="AC112" s="4751"/>
      <c r="AD112" s="4751"/>
      <c r="AE112" s="4751"/>
      <c r="AF112" s="4752"/>
      <c r="AG112" s="4750"/>
      <c r="AH112" s="4751"/>
      <c r="AI112" s="4751"/>
      <c r="AJ112" s="4751"/>
      <c r="AK112" s="4751"/>
      <c r="AL112" s="4751"/>
      <c r="AM112" s="4751"/>
      <c r="AN112" s="4751"/>
      <c r="AO112" s="4751"/>
      <c r="AP112" s="4752"/>
      <c r="AQ112" s="4750"/>
      <c r="AR112" s="4751"/>
      <c r="AS112" s="4751"/>
      <c r="AT112" s="4751"/>
      <c r="AU112" s="4751"/>
      <c r="AV112" s="4751"/>
      <c r="AW112" s="4751"/>
      <c r="AX112" s="4751"/>
      <c r="AY112" s="4751"/>
      <c r="AZ112" s="4752"/>
      <c r="BA112" s="4750"/>
      <c r="BB112" s="4751"/>
      <c r="BC112" s="4751"/>
      <c r="BD112" s="4751"/>
      <c r="BE112" s="4751"/>
      <c r="BF112" s="4751"/>
      <c r="BG112" s="4751"/>
      <c r="BH112" s="4751"/>
      <c r="BI112" s="4751"/>
      <c r="BJ112" s="4752"/>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38"/>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53"/>
      <c r="BL113" s="4753"/>
      <c r="BM113" s="4741"/>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740" t="s">
        <v>4555</v>
      </c>
      <c r="BU113" s="4741"/>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38"/>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43" t="str">
        <f>IF(OR(E114='Tablas Técnicas'!A$678,E114='Tablas Técnicas'!A$679,E115='Tablas Técnicas'!A$678,E115='Tablas Técnicas'!A$679,E116='Tablas Técnicas'!A$678,E116='Tablas Técnicas'!A$679),"Selecciona la atadura elemental:","")</f>
        <v/>
      </c>
      <c r="AH114" s="4744"/>
      <c r="AI114" s="4744"/>
      <c r="AJ114" s="4744"/>
      <c r="AK114" s="4744"/>
      <c r="AL114" s="4744"/>
      <c r="AM114" s="4744"/>
      <c r="AN114" s="4744"/>
      <c r="AO114" s="4744"/>
      <c r="AP114" s="4744"/>
      <c r="AQ114" s="4744"/>
      <c r="AR114" s="4744"/>
      <c r="AS114" s="4744"/>
      <c r="AT114" s="4744"/>
      <c r="AU114" s="4744"/>
      <c r="AV114" s="4744"/>
      <c r="AW114" s="4744"/>
      <c r="AX114" s="4744"/>
      <c r="AY114" s="4744"/>
      <c r="AZ114" s="4744"/>
      <c r="BA114" s="4744"/>
      <c r="BB114" s="4744"/>
      <c r="BC114" s="4744"/>
      <c r="BD114" s="4744"/>
      <c r="BE114" s="4744"/>
      <c r="BF114" s="4744"/>
      <c r="BG114" s="4744"/>
      <c r="BH114" s="4744"/>
      <c r="BI114" s="4744"/>
      <c r="BJ114" s="4744"/>
      <c r="BK114" s="4745"/>
      <c r="BL114" s="1453"/>
      <c r="BM114" s="1453"/>
      <c r="BN114" s="1018"/>
      <c r="BO114" s="1018"/>
      <c r="BP114" s="1050"/>
      <c r="BQ114" s="1018"/>
      <c r="BR114" s="1018"/>
      <c r="BS114" s="1018"/>
      <c r="BT114" s="4746">
        <f>D82</f>
        <v>1</v>
      </c>
      <c r="BU114" s="4747"/>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38"/>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38"/>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38"/>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38"/>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38"/>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64" t="s">
        <v>3338</v>
      </c>
      <c r="X119" s="4764"/>
      <c r="Y119" s="4764"/>
      <c r="Z119" s="4764"/>
      <c r="AA119" s="4764"/>
      <c r="AB119" s="4764"/>
      <c r="AC119" s="4764"/>
      <c r="AD119" s="4764"/>
      <c r="AE119" s="4764"/>
      <c r="AF119" s="4764"/>
      <c r="AG119" s="4764"/>
      <c r="AH119" s="4764"/>
      <c r="AI119" s="4764"/>
      <c r="AJ119" s="4764"/>
      <c r="AK119" s="4764"/>
      <c r="AL119" s="4764"/>
      <c r="AM119" s="4764"/>
      <c r="AN119" s="4764"/>
      <c r="AO119" s="4764"/>
      <c r="AP119" s="4764"/>
      <c r="AQ119" s="4764"/>
      <c r="AR119" s="4764"/>
      <c r="AS119" s="4764"/>
      <c r="AT119" s="4764"/>
      <c r="AU119" s="4764"/>
      <c r="AV119" s="4764"/>
      <c r="AW119" s="4764"/>
      <c r="AX119" s="4764"/>
      <c r="AY119" s="4764"/>
      <c r="AZ119" s="4764"/>
      <c r="BA119" s="4764"/>
      <c r="BB119" s="4764"/>
      <c r="BC119" s="4764"/>
      <c r="BD119" s="4764"/>
      <c r="BE119" s="4764"/>
      <c r="BF119" s="4764"/>
      <c r="BG119" s="4764"/>
      <c r="BH119" s="4764"/>
      <c r="BI119" s="4764"/>
      <c r="BJ119" s="4764"/>
      <c r="BK119" s="4764" t="s">
        <v>3339</v>
      </c>
      <c r="BL119" s="4764"/>
      <c r="BM119" s="4765"/>
      <c r="BN119" s="981" t="s">
        <v>4534</v>
      </c>
      <c r="BO119" s="981" t="s">
        <v>4535</v>
      </c>
      <c r="BP119" s="981" t="s">
        <v>4536</v>
      </c>
      <c r="BQ119" s="981" t="s">
        <v>4537</v>
      </c>
      <c r="BR119" s="981" t="s">
        <v>4538</v>
      </c>
      <c r="BS119" s="982" t="s">
        <v>4539</v>
      </c>
      <c r="BT119" s="4762" t="s">
        <v>4540</v>
      </c>
      <c r="BU119" s="4763"/>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38"/>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38"/>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762" t="s">
        <v>4541</v>
      </c>
      <c r="BU121" s="4763"/>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78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38"/>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59" t="s">
        <v>4542</v>
      </c>
      <c r="U122" s="4760"/>
      <c r="V122" s="4760"/>
      <c r="W122" s="4760"/>
      <c r="X122" s="4760"/>
      <c r="Y122" s="4760"/>
      <c r="Z122" s="4760"/>
      <c r="AA122" s="4760"/>
      <c r="AB122" s="4760"/>
      <c r="AC122" s="4760"/>
      <c r="AD122" s="4760"/>
      <c r="AE122" s="4760"/>
      <c r="AF122" s="4760"/>
      <c r="AG122" s="4760"/>
      <c r="AH122" s="4760"/>
      <c r="AI122" s="4760"/>
      <c r="AJ122" s="4760"/>
      <c r="AK122" s="4760"/>
      <c r="AL122" s="4760"/>
      <c r="AM122" s="4760"/>
      <c r="AN122" s="4760"/>
      <c r="AO122" s="4760"/>
      <c r="AP122" s="4760"/>
      <c r="AQ122" s="4760"/>
      <c r="AR122" s="4760"/>
      <c r="AS122" s="4760"/>
      <c r="AT122" s="4760"/>
      <c r="AU122" s="4760"/>
      <c r="AV122" s="4760"/>
      <c r="AW122" s="4760"/>
      <c r="AX122" s="4760"/>
      <c r="AY122" s="4760"/>
      <c r="AZ122" s="4760"/>
      <c r="BA122" s="4760"/>
      <c r="BB122" s="4760"/>
      <c r="BC122" s="4760"/>
      <c r="BD122" s="4760"/>
      <c r="BE122" s="4760"/>
      <c r="BF122" s="4760"/>
      <c r="BG122" s="4760"/>
      <c r="BH122" s="4760"/>
      <c r="BI122" s="4760"/>
      <c r="BJ122" s="4760"/>
      <c r="BK122" s="4761"/>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76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69"/>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780"/>
      <c r="DY122" s="1336"/>
      <c r="DZ122" s="951"/>
      <c r="EA122" s="1482">
        <f t="shared" si="1"/>
        <v>1</v>
      </c>
    </row>
    <row r="123" spans="1:132" x14ac:dyDescent="0.2">
      <c r="A123" s="951"/>
      <c r="B123" s="951"/>
      <c r="C123" s="4738"/>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30"/>
      <c r="U123" s="4731"/>
      <c r="V123" s="3043" t="str">
        <f>IF(OR(V121=0,V121=""),"N/A",V121)</f>
        <v>N/A</v>
      </c>
      <c r="W123" s="4730" t="str">
        <f xml:space="preserve"> IF(OR(AF121=0,AF121=""),"N/A",W121)</f>
        <v>N/A</v>
      </c>
      <c r="X123" s="4732"/>
      <c r="Y123" s="4732"/>
      <c r="Z123" s="4732"/>
      <c r="AA123" s="4732"/>
      <c r="AB123" s="4732"/>
      <c r="AC123" s="4732"/>
      <c r="AD123" s="4732"/>
      <c r="AE123" s="4732"/>
      <c r="AF123" s="4731"/>
      <c r="AG123" s="4730" t="str">
        <f xml:space="preserve"> IF(OR(AP121="",AP121=0),"N/A",AG121)</f>
        <v>N/A</v>
      </c>
      <c r="AH123" s="4732"/>
      <c r="AI123" s="4732"/>
      <c r="AJ123" s="4732"/>
      <c r="AK123" s="4732"/>
      <c r="AL123" s="4732"/>
      <c r="AM123" s="4732"/>
      <c r="AN123" s="4732"/>
      <c r="AO123" s="4732"/>
      <c r="AP123" s="4731"/>
      <c r="AQ123" s="4730" t="str">
        <f xml:space="preserve"> IF(OR(AZ121="",AZ121=0),"N/A",AQ121)</f>
        <v>N/A</v>
      </c>
      <c r="AR123" s="4732"/>
      <c r="AS123" s="4732"/>
      <c r="AT123" s="4732"/>
      <c r="AU123" s="4732"/>
      <c r="AV123" s="4732"/>
      <c r="AW123" s="4732"/>
      <c r="AX123" s="4732"/>
      <c r="AY123" s="4732"/>
      <c r="AZ123" s="4731"/>
      <c r="BA123" s="4730" t="str">
        <f xml:space="preserve"> IF(OR(BJ121="",BJ121=0),"N/A",BA121)</f>
        <v>N/A</v>
      </c>
      <c r="BB123" s="4732"/>
      <c r="BC123" s="4732"/>
      <c r="BD123" s="4732"/>
      <c r="BE123" s="4732"/>
      <c r="BF123" s="4732"/>
      <c r="BG123" s="4732"/>
      <c r="BH123" s="4732"/>
      <c r="BI123" s="4732"/>
      <c r="BJ123" s="4731"/>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780"/>
      <c r="DY123" s="1336"/>
      <c r="DZ123" s="951"/>
      <c r="EA123" s="1482">
        <f t="shared" si="1"/>
        <v>1</v>
      </c>
    </row>
    <row r="124" spans="1:132" x14ac:dyDescent="0.2">
      <c r="A124" s="951"/>
      <c r="B124" s="951"/>
      <c r="C124" s="4738"/>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33" t="s">
        <v>4544</v>
      </c>
      <c r="U124" s="4734"/>
      <c r="V124" s="3039"/>
      <c r="W124" s="4735"/>
      <c r="X124" s="4736"/>
      <c r="Y124" s="4736"/>
      <c r="Z124" s="4736"/>
      <c r="AA124" s="4736"/>
      <c r="AB124" s="4736"/>
      <c r="AC124" s="4736"/>
      <c r="AD124" s="4736"/>
      <c r="AE124" s="4736"/>
      <c r="AF124" s="4737"/>
      <c r="AG124" s="4735"/>
      <c r="AH124" s="4736"/>
      <c r="AI124" s="4736"/>
      <c r="AJ124" s="4736"/>
      <c r="AK124" s="4736"/>
      <c r="AL124" s="4736"/>
      <c r="AM124" s="4736"/>
      <c r="AN124" s="4736"/>
      <c r="AO124" s="4736"/>
      <c r="AP124" s="4737"/>
      <c r="AQ124" s="4735"/>
      <c r="AR124" s="4736"/>
      <c r="AS124" s="4736"/>
      <c r="AT124" s="4736"/>
      <c r="AU124" s="4736"/>
      <c r="AV124" s="4736"/>
      <c r="AW124" s="4736"/>
      <c r="AX124" s="4736"/>
      <c r="AY124" s="4736"/>
      <c r="AZ124" s="4737"/>
      <c r="BA124" s="4735"/>
      <c r="BB124" s="4736"/>
      <c r="BC124" s="4736"/>
      <c r="BD124" s="4736"/>
      <c r="BE124" s="4736"/>
      <c r="BF124" s="4736"/>
      <c r="BG124" s="4736"/>
      <c r="BH124" s="4736"/>
      <c r="BI124" s="4736"/>
      <c r="BJ124" s="4737"/>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762" t="s">
        <v>4545</v>
      </c>
      <c r="BU124" s="4763"/>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780"/>
      <c r="DY124" s="1336"/>
      <c r="DZ124" s="951"/>
      <c r="EA124" s="1482">
        <f t="shared" si="1"/>
        <v>1</v>
      </c>
    </row>
    <row r="125" spans="1:132" s="1025" customFormat="1" x14ac:dyDescent="0.2">
      <c r="A125" s="951"/>
      <c r="B125" s="951"/>
      <c r="C125" s="4738"/>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54" t="s">
        <v>4546</v>
      </c>
      <c r="U125" s="4755"/>
      <c r="V125" s="3046"/>
      <c r="W125" s="4756"/>
      <c r="X125" s="4757"/>
      <c r="Y125" s="4757"/>
      <c r="Z125" s="4757"/>
      <c r="AA125" s="4757"/>
      <c r="AB125" s="4757"/>
      <c r="AC125" s="4757"/>
      <c r="AD125" s="4757"/>
      <c r="AE125" s="4757"/>
      <c r="AF125" s="4758"/>
      <c r="AG125" s="4756"/>
      <c r="AH125" s="4757"/>
      <c r="AI125" s="4757"/>
      <c r="AJ125" s="4757"/>
      <c r="AK125" s="4757"/>
      <c r="AL125" s="4757"/>
      <c r="AM125" s="4757"/>
      <c r="AN125" s="4757"/>
      <c r="AO125" s="4757"/>
      <c r="AP125" s="4758"/>
      <c r="AQ125" s="4756"/>
      <c r="AR125" s="4757"/>
      <c r="AS125" s="4757"/>
      <c r="AT125" s="4757"/>
      <c r="AU125" s="4757"/>
      <c r="AV125" s="4757"/>
      <c r="AW125" s="4757"/>
      <c r="AX125" s="4757"/>
      <c r="AY125" s="4757"/>
      <c r="AZ125" s="4758"/>
      <c r="BA125" s="4756"/>
      <c r="BB125" s="4757"/>
      <c r="BC125" s="4757"/>
      <c r="BD125" s="4757"/>
      <c r="BE125" s="4757"/>
      <c r="BF125" s="4757"/>
      <c r="BG125" s="4757"/>
      <c r="BH125" s="4757"/>
      <c r="BI125" s="4757"/>
      <c r="BJ125" s="4758"/>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766" t="s">
        <v>1690</v>
      </c>
      <c r="BU125" s="4767"/>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780"/>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38"/>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762" t="s">
        <v>4547</v>
      </c>
      <c r="BU126" s="4763"/>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38"/>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766" t="s">
        <v>4527</v>
      </c>
      <c r="BU127" s="4767"/>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38"/>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59" t="s">
        <v>4542</v>
      </c>
      <c r="U128" s="4760"/>
      <c r="V128" s="4760"/>
      <c r="W128" s="4760"/>
      <c r="X128" s="4760"/>
      <c r="Y128" s="4760"/>
      <c r="Z128" s="4760"/>
      <c r="AA128" s="4760"/>
      <c r="AB128" s="4760"/>
      <c r="AC128" s="4760"/>
      <c r="AD128" s="4760"/>
      <c r="AE128" s="4760"/>
      <c r="AF128" s="4760"/>
      <c r="AG128" s="4760"/>
      <c r="AH128" s="4760"/>
      <c r="AI128" s="4760"/>
      <c r="AJ128" s="4760"/>
      <c r="AK128" s="4760"/>
      <c r="AL128" s="4760"/>
      <c r="AM128" s="4760"/>
      <c r="AN128" s="4760"/>
      <c r="AO128" s="4760"/>
      <c r="AP128" s="4760"/>
      <c r="AQ128" s="4760"/>
      <c r="AR128" s="4760"/>
      <c r="AS128" s="4760"/>
      <c r="AT128" s="4760"/>
      <c r="AU128" s="4760"/>
      <c r="AV128" s="4760"/>
      <c r="AW128" s="4760"/>
      <c r="AX128" s="4760"/>
      <c r="AY128" s="4760"/>
      <c r="AZ128" s="4760"/>
      <c r="BA128" s="4760"/>
      <c r="BB128" s="4760"/>
      <c r="BC128" s="4760"/>
      <c r="BD128" s="4760"/>
      <c r="BE128" s="4760"/>
      <c r="BF128" s="4760"/>
      <c r="BG128" s="4760"/>
      <c r="BH128" s="4760"/>
      <c r="BI128" s="4760"/>
      <c r="BJ128" s="4760"/>
      <c r="BK128" s="4761"/>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762" t="s">
        <v>4548</v>
      </c>
      <c r="BU128" s="4763"/>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38"/>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30"/>
      <c r="U129" s="4731"/>
      <c r="V129" s="3043" t="str">
        <f>IF(OR(V127=0,V127=""),"N/A",V127)</f>
        <v>N/A</v>
      </c>
      <c r="W129" s="4730" t="str">
        <f xml:space="preserve"> IF(OR(AF127=0,AF127=""),"N/A",W127)</f>
        <v>N/A</v>
      </c>
      <c r="X129" s="4732"/>
      <c r="Y129" s="4732"/>
      <c r="Z129" s="4732"/>
      <c r="AA129" s="4732"/>
      <c r="AB129" s="4732"/>
      <c r="AC129" s="4732"/>
      <c r="AD129" s="4732"/>
      <c r="AE129" s="4732"/>
      <c r="AF129" s="4731"/>
      <c r="AG129" s="4730" t="str">
        <f xml:space="preserve"> IF(OR(AP127="",AP127=0),"N/A",AG127)</f>
        <v>N/A</v>
      </c>
      <c r="AH129" s="4732"/>
      <c r="AI129" s="4732"/>
      <c r="AJ129" s="4732"/>
      <c r="AK129" s="4732"/>
      <c r="AL129" s="4732"/>
      <c r="AM129" s="4732"/>
      <c r="AN129" s="4732"/>
      <c r="AO129" s="4732"/>
      <c r="AP129" s="4731"/>
      <c r="AQ129" s="4730" t="str">
        <f xml:space="preserve"> IF(OR(AZ127="",AZ127=0),"N/A",AQ127)</f>
        <v>N/A</v>
      </c>
      <c r="AR129" s="4732"/>
      <c r="AS129" s="4732"/>
      <c r="AT129" s="4732"/>
      <c r="AU129" s="4732"/>
      <c r="AV129" s="4732"/>
      <c r="AW129" s="4732"/>
      <c r="AX129" s="4732"/>
      <c r="AY129" s="4732"/>
      <c r="AZ129" s="4731"/>
      <c r="BA129" s="4730" t="str">
        <f xml:space="preserve"> IF(OR(BJ127="",BJ127=0),"N/A",BA127)</f>
        <v>N/A</v>
      </c>
      <c r="BB129" s="4732"/>
      <c r="BC129" s="4732"/>
      <c r="BD129" s="4732"/>
      <c r="BE129" s="4732"/>
      <c r="BF129" s="4732"/>
      <c r="BG129" s="4732"/>
      <c r="BH129" s="4732"/>
      <c r="BI129" s="4732"/>
      <c r="BJ129" s="4731"/>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766" t="s">
        <v>4521</v>
      </c>
      <c r="BU129" s="4767"/>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38"/>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33" t="s">
        <v>4544</v>
      </c>
      <c r="U130" s="4734"/>
      <c r="V130" s="3039"/>
      <c r="W130" s="4735"/>
      <c r="X130" s="4736"/>
      <c r="Y130" s="4736"/>
      <c r="Z130" s="4736"/>
      <c r="AA130" s="4736"/>
      <c r="AB130" s="4736"/>
      <c r="AC130" s="4736"/>
      <c r="AD130" s="4736"/>
      <c r="AE130" s="4736"/>
      <c r="AF130" s="4737"/>
      <c r="AG130" s="4735"/>
      <c r="AH130" s="4736"/>
      <c r="AI130" s="4736"/>
      <c r="AJ130" s="4736"/>
      <c r="AK130" s="4736"/>
      <c r="AL130" s="4736"/>
      <c r="AM130" s="4736"/>
      <c r="AN130" s="4736"/>
      <c r="AO130" s="4736"/>
      <c r="AP130" s="4737"/>
      <c r="AQ130" s="4735"/>
      <c r="AR130" s="4736"/>
      <c r="AS130" s="4736"/>
      <c r="AT130" s="4736"/>
      <c r="AU130" s="4736"/>
      <c r="AV130" s="4736"/>
      <c r="AW130" s="4736"/>
      <c r="AX130" s="4736"/>
      <c r="AY130" s="4736"/>
      <c r="AZ130" s="4737"/>
      <c r="BA130" s="4735"/>
      <c r="BB130" s="4736"/>
      <c r="BC130" s="4736"/>
      <c r="BD130" s="4736"/>
      <c r="BE130" s="4736"/>
      <c r="BF130" s="4736"/>
      <c r="BG130" s="4736"/>
      <c r="BH130" s="4736"/>
      <c r="BI130" s="4736"/>
      <c r="BJ130" s="4737"/>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740" t="s">
        <v>4549</v>
      </c>
      <c r="BU130" s="4741"/>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38"/>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54" t="s">
        <v>4546</v>
      </c>
      <c r="U131" s="4755"/>
      <c r="V131" s="3046"/>
      <c r="W131" s="4756"/>
      <c r="X131" s="4757"/>
      <c r="Y131" s="4757"/>
      <c r="Z131" s="4757"/>
      <c r="AA131" s="4757"/>
      <c r="AB131" s="4757"/>
      <c r="AC131" s="4757"/>
      <c r="AD131" s="4757"/>
      <c r="AE131" s="4757"/>
      <c r="AF131" s="4758"/>
      <c r="AG131" s="4756"/>
      <c r="AH131" s="4757"/>
      <c r="AI131" s="4757"/>
      <c r="AJ131" s="4757"/>
      <c r="AK131" s="4757"/>
      <c r="AL131" s="4757"/>
      <c r="AM131" s="4757"/>
      <c r="AN131" s="4757"/>
      <c r="AO131" s="4757"/>
      <c r="AP131" s="4758"/>
      <c r="AQ131" s="4756"/>
      <c r="AR131" s="4757"/>
      <c r="AS131" s="4757"/>
      <c r="AT131" s="4757"/>
      <c r="AU131" s="4757"/>
      <c r="AV131" s="4757"/>
      <c r="AW131" s="4757"/>
      <c r="AX131" s="4757"/>
      <c r="AY131" s="4757"/>
      <c r="AZ131" s="4758"/>
      <c r="BA131" s="4756"/>
      <c r="BB131" s="4757"/>
      <c r="BC131" s="4757"/>
      <c r="BD131" s="4757"/>
      <c r="BE131" s="4757"/>
      <c r="BF131" s="4757"/>
      <c r="BG131" s="4757"/>
      <c r="BH131" s="4757"/>
      <c r="BI131" s="4757"/>
      <c r="BJ131" s="4758"/>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39"/>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38"/>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39"/>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38"/>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39"/>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38"/>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59" t="s">
        <v>4542</v>
      </c>
      <c r="U134" s="4760"/>
      <c r="V134" s="4760"/>
      <c r="W134" s="4760"/>
      <c r="X134" s="4760"/>
      <c r="Y134" s="4760"/>
      <c r="Z134" s="4760"/>
      <c r="AA134" s="4760"/>
      <c r="AB134" s="4760"/>
      <c r="AC134" s="4760"/>
      <c r="AD134" s="4760"/>
      <c r="AE134" s="4760"/>
      <c r="AF134" s="4760"/>
      <c r="AG134" s="4760"/>
      <c r="AH134" s="4760"/>
      <c r="AI134" s="4760"/>
      <c r="AJ134" s="4760"/>
      <c r="AK134" s="4760"/>
      <c r="AL134" s="4760"/>
      <c r="AM134" s="4760"/>
      <c r="AN134" s="4760"/>
      <c r="AO134" s="4760"/>
      <c r="AP134" s="4760"/>
      <c r="AQ134" s="4760"/>
      <c r="AR134" s="4760"/>
      <c r="AS134" s="4760"/>
      <c r="AT134" s="4760"/>
      <c r="AU134" s="4760"/>
      <c r="AV134" s="4760"/>
      <c r="AW134" s="4760"/>
      <c r="AX134" s="4760"/>
      <c r="AY134" s="4760"/>
      <c r="AZ134" s="4760"/>
      <c r="BA134" s="4760"/>
      <c r="BB134" s="4760"/>
      <c r="BC134" s="4760"/>
      <c r="BD134" s="4760"/>
      <c r="BE134" s="4760"/>
      <c r="BF134" s="4760"/>
      <c r="BG134" s="4760"/>
      <c r="BH134" s="4760"/>
      <c r="BI134" s="4760"/>
      <c r="BJ134" s="4760"/>
      <c r="BK134" s="4761"/>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38"/>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30"/>
      <c r="U135" s="4731"/>
      <c r="V135" s="3043" t="str">
        <f>IF(OR(V133=0,V133=""),"N/A",V133)</f>
        <v>N/A</v>
      </c>
      <c r="W135" s="4730" t="str">
        <f xml:space="preserve"> IF(OR(AF133=0,AF133=""),"N/A",W133)</f>
        <v>N/A</v>
      </c>
      <c r="X135" s="4732"/>
      <c r="Y135" s="4732"/>
      <c r="Z135" s="4732"/>
      <c r="AA135" s="4732"/>
      <c r="AB135" s="4732"/>
      <c r="AC135" s="4732"/>
      <c r="AD135" s="4732"/>
      <c r="AE135" s="4732"/>
      <c r="AF135" s="4731"/>
      <c r="AG135" s="4730" t="str">
        <f xml:space="preserve"> IF(OR(AP133="",AP133=0),"N/A",AG133)</f>
        <v>N/A</v>
      </c>
      <c r="AH135" s="4732"/>
      <c r="AI135" s="4732"/>
      <c r="AJ135" s="4732"/>
      <c r="AK135" s="4732"/>
      <c r="AL135" s="4732"/>
      <c r="AM135" s="4732"/>
      <c r="AN135" s="4732"/>
      <c r="AO135" s="4732"/>
      <c r="AP135" s="4731"/>
      <c r="AQ135" s="4730" t="str">
        <f xml:space="preserve"> IF(OR(AZ133="",AZ133=0),"N/A",AQ133)</f>
        <v>N/A</v>
      </c>
      <c r="AR135" s="4732"/>
      <c r="AS135" s="4732"/>
      <c r="AT135" s="4732"/>
      <c r="AU135" s="4732"/>
      <c r="AV135" s="4732"/>
      <c r="AW135" s="4732"/>
      <c r="AX135" s="4732"/>
      <c r="AY135" s="4732"/>
      <c r="AZ135" s="4731"/>
      <c r="BA135" s="4730" t="str">
        <f xml:space="preserve"> IF(OR(BJ133="",BJ133=0),"N/A",BA133)</f>
        <v>N/A</v>
      </c>
      <c r="BB135" s="4732"/>
      <c r="BC135" s="4732"/>
      <c r="BD135" s="4732"/>
      <c r="BE135" s="4732"/>
      <c r="BF135" s="4732"/>
      <c r="BG135" s="4732"/>
      <c r="BH135" s="4732"/>
      <c r="BI135" s="4732"/>
      <c r="BJ135" s="4731"/>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38"/>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33" t="s">
        <v>4544</v>
      </c>
      <c r="U136" s="4734"/>
      <c r="V136" s="3039"/>
      <c r="W136" s="4735"/>
      <c r="X136" s="4736"/>
      <c r="Y136" s="4736"/>
      <c r="Z136" s="4736"/>
      <c r="AA136" s="4736"/>
      <c r="AB136" s="4736"/>
      <c r="AC136" s="4736"/>
      <c r="AD136" s="4736"/>
      <c r="AE136" s="4736"/>
      <c r="AF136" s="4737"/>
      <c r="AG136" s="4735"/>
      <c r="AH136" s="4736"/>
      <c r="AI136" s="4736"/>
      <c r="AJ136" s="4736"/>
      <c r="AK136" s="4736"/>
      <c r="AL136" s="4736"/>
      <c r="AM136" s="4736"/>
      <c r="AN136" s="4736"/>
      <c r="AO136" s="4736"/>
      <c r="AP136" s="4737"/>
      <c r="AQ136" s="4735"/>
      <c r="AR136" s="4736"/>
      <c r="AS136" s="4736"/>
      <c r="AT136" s="4736"/>
      <c r="AU136" s="4736"/>
      <c r="AV136" s="4736"/>
      <c r="AW136" s="4736"/>
      <c r="AX136" s="4736"/>
      <c r="AY136" s="4736"/>
      <c r="AZ136" s="4737"/>
      <c r="BA136" s="4735"/>
      <c r="BB136" s="4736"/>
      <c r="BC136" s="4736"/>
      <c r="BD136" s="4736"/>
      <c r="BE136" s="4736"/>
      <c r="BF136" s="4736"/>
      <c r="BG136" s="4736"/>
      <c r="BH136" s="4736"/>
      <c r="BI136" s="4736"/>
      <c r="BJ136" s="4737"/>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38"/>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54" t="s">
        <v>4546</v>
      </c>
      <c r="U137" s="4755"/>
      <c r="V137" s="3046"/>
      <c r="W137" s="4756"/>
      <c r="X137" s="4757"/>
      <c r="Y137" s="4757"/>
      <c r="Z137" s="4757"/>
      <c r="AA137" s="4757"/>
      <c r="AB137" s="4757"/>
      <c r="AC137" s="4757"/>
      <c r="AD137" s="4757"/>
      <c r="AE137" s="4757"/>
      <c r="AF137" s="4758"/>
      <c r="AG137" s="4756"/>
      <c r="AH137" s="4757"/>
      <c r="AI137" s="4757"/>
      <c r="AJ137" s="4757"/>
      <c r="AK137" s="4757"/>
      <c r="AL137" s="4757"/>
      <c r="AM137" s="4757"/>
      <c r="AN137" s="4757"/>
      <c r="AO137" s="4757"/>
      <c r="AP137" s="4758"/>
      <c r="AQ137" s="4756"/>
      <c r="AR137" s="4757"/>
      <c r="AS137" s="4757"/>
      <c r="AT137" s="4757"/>
      <c r="AU137" s="4757"/>
      <c r="AV137" s="4757"/>
      <c r="AW137" s="4757"/>
      <c r="AX137" s="4757"/>
      <c r="AY137" s="4757"/>
      <c r="AZ137" s="4758"/>
      <c r="BA137" s="4756"/>
      <c r="BB137" s="4757"/>
      <c r="BC137" s="4757"/>
      <c r="BD137" s="4757"/>
      <c r="BE137" s="4757"/>
      <c r="BF137" s="4757"/>
      <c r="BG137" s="4757"/>
      <c r="BH137" s="4757"/>
      <c r="BI137" s="4757"/>
      <c r="BJ137" s="4758"/>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38"/>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38"/>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38"/>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59" t="s">
        <v>4542</v>
      </c>
      <c r="U140" s="4760"/>
      <c r="V140" s="4760"/>
      <c r="W140" s="4760"/>
      <c r="X140" s="4760"/>
      <c r="Y140" s="4760"/>
      <c r="Z140" s="4760"/>
      <c r="AA140" s="4760"/>
      <c r="AB140" s="4760"/>
      <c r="AC140" s="4760"/>
      <c r="AD140" s="4760"/>
      <c r="AE140" s="4760"/>
      <c r="AF140" s="4760"/>
      <c r="AG140" s="4760"/>
      <c r="AH140" s="4760"/>
      <c r="AI140" s="4760"/>
      <c r="AJ140" s="4760"/>
      <c r="AK140" s="4760"/>
      <c r="AL140" s="4760"/>
      <c r="AM140" s="4760"/>
      <c r="AN140" s="4760"/>
      <c r="AO140" s="4760"/>
      <c r="AP140" s="4760"/>
      <c r="AQ140" s="4760"/>
      <c r="AR140" s="4760"/>
      <c r="AS140" s="4760"/>
      <c r="AT140" s="4760"/>
      <c r="AU140" s="4760"/>
      <c r="AV140" s="4760"/>
      <c r="AW140" s="4760"/>
      <c r="AX140" s="4760"/>
      <c r="AY140" s="4760"/>
      <c r="AZ140" s="4760"/>
      <c r="BA140" s="4760"/>
      <c r="BB140" s="4760"/>
      <c r="BC140" s="4760"/>
      <c r="BD140" s="4760"/>
      <c r="BE140" s="4760"/>
      <c r="BF140" s="4760"/>
      <c r="BG140" s="4760"/>
      <c r="BH140" s="4760"/>
      <c r="BI140" s="4760"/>
      <c r="BJ140" s="4760"/>
      <c r="BK140" s="4761"/>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38"/>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30"/>
      <c r="U141" s="4731"/>
      <c r="V141" s="3043" t="str">
        <f>IF(OR(V139=0,V139=""),"N/A",V139)</f>
        <v>N/A</v>
      </c>
      <c r="W141" s="4730" t="str">
        <f xml:space="preserve"> IF(OR(AF139=0,AF139=""),"N/A",W139)</f>
        <v>N/A</v>
      </c>
      <c r="X141" s="4732"/>
      <c r="Y141" s="4732"/>
      <c r="Z141" s="4732"/>
      <c r="AA141" s="4732"/>
      <c r="AB141" s="4732"/>
      <c r="AC141" s="4732"/>
      <c r="AD141" s="4732"/>
      <c r="AE141" s="4732"/>
      <c r="AF141" s="4731"/>
      <c r="AG141" s="4730" t="str">
        <f xml:space="preserve"> IF(OR(AP139="",AP139=0),"N/A",AG139)</f>
        <v>N/A</v>
      </c>
      <c r="AH141" s="4732"/>
      <c r="AI141" s="4732"/>
      <c r="AJ141" s="4732"/>
      <c r="AK141" s="4732"/>
      <c r="AL141" s="4732"/>
      <c r="AM141" s="4732"/>
      <c r="AN141" s="4732"/>
      <c r="AO141" s="4732"/>
      <c r="AP141" s="4731"/>
      <c r="AQ141" s="4730" t="str">
        <f xml:space="preserve"> IF(OR(AZ139="",AZ139=0),"N/A",AQ139)</f>
        <v>N/A</v>
      </c>
      <c r="AR141" s="4732"/>
      <c r="AS141" s="4732"/>
      <c r="AT141" s="4732"/>
      <c r="AU141" s="4732"/>
      <c r="AV141" s="4732"/>
      <c r="AW141" s="4732"/>
      <c r="AX141" s="4732"/>
      <c r="AY141" s="4732"/>
      <c r="AZ141" s="4731"/>
      <c r="BA141" s="4730" t="str">
        <f xml:space="preserve"> IF(OR(BJ139="",BJ139=0),"N/A",BA139)</f>
        <v>N/A</v>
      </c>
      <c r="BB141" s="4732"/>
      <c r="BC141" s="4732"/>
      <c r="BD141" s="4732"/>
      <c r="BE141" s="4732"/>
      <c r="BF141" s="4732"/>
      <c r="BG141" s="4732"/>
      <c r="BH141" s="4732"/>
      <c r="BI141" s="4732"/>
      <c r="BJ141" s="4731"/>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38"/>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33" t="s">
        <v>4544</v>
      </c>
      <c r="U142" s="4734"/>
      <c r="V142" s="3039"/>
      <c r="W142" s="4735"/>
      <c r="X142" s="4736"/>
      <c r="Y142" s="4736"/>
      <c r="Z142" s="4736"/>
      <c r="AA142" s="4736"/>
      <c r="AB142" s="4736"/>
      <c r="AC142" s="4736"/>
      <c r="AD142" s="4736"/>
      <c r="AE142" s="4736"/>
      <c r="AF142" s="4737"/>
      <c r="AG142" s="4735"/>
      <c r="AH142" s="4736"/>
      <c r="AI142" s="4736"/>
      <c r="AJ142" s="4736"/>
      <c r="AK142" s="4736"/>
      <c r="AL142" s="4736"/>
      <c r="AM142" s="4736"/>
      <c r="AN142" s="4736"/>
      <c r="AO142" s="4736"/>
      <c r="AP142" s="4737"/>
      <c r="AQ142" s="4735"/>
      <c r="AR142" s="4736"/>
      <c r="AS142" s="4736"/>
      <c r="AT142" s="4736"/>
      <c r="AU142" s="4736"/>
      <c r="AV142" s="4736"/>
      <c r="AW142" s="4736"/>
      <c r="AX142" s="4736"/>
      <c r="AY142" s="4736"/>
      <c r="AZ142" s="4737"/>
      <c r="BA142" s="4735"/>
      <c r="BB142" s="4736"/>
      <c r="BC142" s="4736"/>
      <c r="BD142" s="4736"/>
      <c r="BE142" s="4736"/>
      <c r="BF142" s="4736"/>
      <c r="BG142" s="4736"/>
      <c r="BH142" s="4736"/>
      <c r="BI142" s="4736"/>
      <c r="BJ142" s="4737"/>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38"/>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54" t="s">
        <v>4546</v>
      </c>
      <c r="U143" s="4755"/>
      <c r="V143" s="3046"/>
      <c r="W143" s="4756"/>
      <c r="X143" s="4757"/>
      <c r="Y143" s="4757"/>
      <c r="Z143" s="4757"/>
      <c r="AA143" s="4757"/>
      <c r="AB143" s="4757"/>
      <c r="AC143" s="4757"/>
      <c r="AD143" s="4757"/>
      <c r="AE143" s="4757"/>
      <c r="AF143" s="4758"/>
      <c r="AG143" s="4756"/>
      <c r="AH143" s="4757"/>
      <c r="AI143" s="4757"/>
      <c r="AJ143" s="4757"/>
      <c r="AK143" s="4757"/>
      <c r="AL143" s="4757"/>
      <c r="AM143" s="4757"/>
      <c r="AN143" s="4757"/>
      <c r="AO143" s="4757"/>
      <c r="AP143" s="4758"/>
      <c r="AQ143" s="4756"/>
      <c r="AR143" s="4757"/>
      <c r="AS143" s="4757"/>
      <c r="AT143" s="4757"/>
      <c r="AU143" s="4757"/>
      <c r="AV143" s="4757"/>
      <c r="AW143" s="4757"/>
      <c r="AX143" s="4757"/>
      <c r="AY143" s="4757"/>
      <c r="AZ143" s="4758"/>
      <c r="BA143" s="4756"/>
      <c r="BB143" s="4757"/>
      <c r="BC143" s="4757"/>
      <c r="BD143" s="4757"/>
      <c r="BE143" s="4757"/>
      <c r="BF143" s="4757"/>
      <c r="BG143" s="4757"/>
      <c r="BH143" s="4757"/>
      <c r="BI143" s="4757"/>
      <c r="BJ143" s="4758"/>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38"/>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38"/>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742"/>
      <c r="BV145" s="4742"/>
      <c r="BW145" s="4742"/>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38"/>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59" t="s">
        <v>4542</v>
      </c>
      <c r="U146" s="4760"/>
      <c r="V146" s="4760"/>
      <c r="W146" s="4760"/>
      <c r="X146" s="4760"/>
      <c r="Y146" s="4760"/>
      <c r="Z146" s="4760"/>
      <c r="AA146" s="4760"/>
      <c r="AB146" s="4760"/>
      <c r="AC146" s="4760"/>
      <c r="AD146" s="4760"/>
      <c r="AE146" s="4760"/>
      <c r="AF146" s="4760"/>
      <c r="AG146" s="4760"/>
      <c r="AH146" s="4760"/>
      <c r="AI146" s="4760"/>
      <c r="AJ146" s="4760"/>
      <c r="AK146" s="4760"/>
      <c r="AL146" s="4760"/>
      <c r="AM146" s="4760"/>
      <c r="AN146" s="4760"/>
      <c r="AO146" s="4760"/>
      <c r="AP146" s="4760"/>
      <c r="AQ146" s="4760"/>
      <c r="AR146" s="4760"/>
      <c r="AS146" s="4760"/>
      <c r="AT146" s="4760"/>
      <c r="AU146" s="4760"/>
      <c r="AV146" s="4760"/>
      <c r="AW146" s="4760"/>
      <c r="AX146" s="4760"/>
      <c r="AY146" s="4760"/>
      <c r="AZ146" s="4760"/>
      <c r="BA146" s="4760"/>
      <c r="BB146" s="4760"/>
      <c r="BC146" s="4760"/>
      <c r="BD146" s="4760"/>
      <c r="BE146" s="4760"/>
      <c r="BF146" s="4760"/>
      <c r="BG146" s="4760"/>
      <c r="BH146" s="4760"/>
      <c r="BI146" s="4760"/>
      <c r="BJ146" s="4760"/>
      <c r="BK146" s="4761"/>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38"/>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30"/>
      <c r="U147" s="4731"/>
      <c r="V147" s="3043" t="str">
        <f>IF(OR(V145=0,V145=""),"N/A",V145)</f>
        <v>N/A</v>
      </c>
      <c r="W147" s="4730" t="str">
        <f xml:space="preserve"> IF(OR(AF145=0,AF145=""),"N/A",W145)</f>
        <v>N/A</v>
      </c>
      <c r="X147" s="4732"/>
      <c r="Y147" s="4732"/>
      <c r="Z147" s="4732"/>
      <c r="AA147" s="4732"/>
      <c r="AB147" s="4732"/>
      <c r="AC147" s="4732"/>
      <c r="AD147" s="4732"/>
      <c r="AE147" s="4732"/>
      <c r="AF147" s="4731"/>
      <c r="AG147" s="4730" t="str">
        <f xml:space="preserve"> IF(OR(AP145="",AP145=0),"N/A",AG145)</f>
        <v>N/A</v>
      </c>
      <c r="AH147" s="4732"/>
      <c r="AI147" s="4732"/>
      <c r="AJ147" s="4732"/>
      <c r="AK147" s="4732"/>
      <c r="AL147" s="4732"/>
      <c r="AM147" s="4732"/>
      <c r="AN147" s="4732"/>
      <c r="AO147" s="4732"/>
      <c r="AP147" s="4731"/>
      <c r="AQ147" s="4730" t="str">
        <f xml:space="preserve"> IF(OR(AZ145="",AZ145=0),"N/A",AQ145)</f>
        <v>N/A</v>
      </c>
      <c r="AR147" s="4732"/>
      <c r="AS147" s="4732"/>
      <c r="AT147" s="4732"/>
      <c r="AU147" s="4732"/>
      <c r="AV147" s="4732"/>
      <c r="AW147" s="4732"/>
      <c r="AX147" s="4732"/>
      <c r="AY147" s="4732"/>
      <c r="AZ147" s="4731"/>
      <c r="BA147" s="4730" t="str">
        <f xml:space="preserve"> IF(OR(BJ145="",BJ145=0),"N/A",BA145)</f>
        <v>N/A</v>
      </c>
      <c r="BB147" s="4732"/>
      <c r="BC147" s="4732"/>
      <c r="BD147" s="4732"/>
      <c r="BE147" s="4732"/>
      <c r="BF147" s="4732"/>
      <c r="BG147" s="4732"/>
      <c r="BH147" s="4732"/>
      <c r="BI147" s="4732"/>
      <c r="BJ147" s="4731"/>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770"/>
      <c r="BV147" s="4770"/>
      <c r="BW147" s="4770"/>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38"/>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33" t="s">
        <v>4544</v>
      </c>
      <c r="U148" s="4734"/>
      <c r="V148" s="3039"/>
      <c r="W148" s="4735"/>
      <c r="X148" s="4736"/>
      <c r="Y148" s="4736"/>
      <c r="Z148" s="4736"/>
      <c r="AA148" s="4736"/>
      <c r="AB148" s="4736"/>
      <c r="AC148" s="4736"/>
      <c r="AD148" s="4736"/>
      <c r="AE148" s="4736"/>
      <c r="AF148" s="4737"/>
      <c r="AG148" s="4735"/>
      <c r="AH148" s="4736"/>
      <c r="AI148" s="4736"/>
      <c r="AJ148" s="4736"/>
      <c r="AK148" s="4736"/>
      <c r="AL148" s="4736"/>
      <c r="AM148" s="4736"/>
      <c r="AN148" s="4736"/>
      <c r="AO148" s="4736"/>
      <c r="AP148" s="4737"/>
      <c r="AQ148" s="4735"/>
      <c r="AR148" s="4736"/>
      <c r="AS148" s="4736"/>
      <c r="AT148" s="4736"/>
      <c r="AU148" s="4736"/>
      <c r="AV148" s="4736"/>
      <c r="AW148" s="4736"/>
      <c r="AX148" s="4736"/>
      <c r="AY148" s="4736"/>
      <c r="AZ148" s="4737"/>
      <c r="BA148" s="4735"/>
      <c r="BB148" s="4736"/>
      <c r="BC148" s="4736"/>
      <c r="BD148" s="4736"/>
      <c r="BE148" s="4736"/>
      <c r="BF148" s="4736"/>
      <c r="BG148" s="4736"/>
      <c r="BH148" s="4736"/>
      <c r="BI148" s="4736"/>
      <c r="BJ148" s="4737"/>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38"/>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48" t="s">
        <v>4546</v>
      </c>
      <c r="U149" s="4749"/>
      <c r="V149" s="3049"/>
      <c r="W149" s="4750"/>
      <c r="X149" s="4751"/>
      <c r="Y149" s="4751"/>
      <c r="Z149" s="4751"/>
      <c r="AA149" s="4751"/>
      <c r="AB149" s="4751"/>
      <c r="AC149" s="4751"/>
      <c r="AD149" s="4751"/>
      <c r="AE149" s="4751"/>
      <c r="AF149" s="4752"/>
      <c r="AG149" s="4750"/>
      <c r="AH149" s="4751"/>
      <c r="AI149" s="4751"/>
      <c r="AJ149" s="4751"/>
      <c r="AK149" s="4751"/>
      <c r="AL149" s="4751"/>
      <c r="AM149" s="4751"/>
      <c r="AN149" s="4751"/>
      <c r="AO149" s="4751"/>
      <c r="AP149" s="4752"/>
      <c r="AQ149" s="4750"/>
      <c r="AR149" s="4751"/>
      <c r="AS149" s="4751"/>
      <c r="AT149" s="4751"/>
      <c r="AU149" s="4751"/>
      <c r="AV149" s="4751"/>
      <c r="AW149" s="4751"/>
      <c r="AX149" s="4751"/>
      <c r="AY149" s="4751"/>
      <c r="AZ149" s="4752"/>
      <c r="BA149" s="4750"/>
      <c r="BB149" s="4751"/>
      <c r="BC149" s="4751"/>
      <c r="BD149" s="4751"/>
      <c r="BE149" s="4751"/>
      <c r="BF149" s="4751"/>
      <c r="BG149" s="4751"/>
      <c r="BH149" s="4751"/>
      <c r="BI149" s="4751"/>
      <c r="BJ149" s="4752"/>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38"/>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53"/>
      <c r="BL150" s="4753"/>
      <c r="BM150" s="4741"/>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740" t="s">
        <v>4555</v>
      </c>
      <c r="BU150" s="4741"/>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38"/>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43" t="str">
        <f>IF(OR(E151='Tablas Técnicas'!A$678,E151='Tablas Técnicas'!A$679,E152='Tablas Técnicas'!A$678,E152='Tablas Técnicas'!A$679,E153='Tablas Técnicas'!A$678,E153='Tablas Técnicas'!A$679),"Selecciona la atadura elemental:","")</f>
        <v/>
      </c>
      <c r="AH151" s="4744"/>
      <c r="AI151" s="4744"/>
      <c r="AJ151" s="4744"/>
      <c r="AK151" s="4744"/>
      <c r="AL151" s="4744"/>
      <c r="AM151" s="4744"/>
      <c r="AN151" s="4744"/>
      <c r="AO151" s="4744"/>
      <c r="AP151" s="4744"/>
      <c r="AQ151" s="4744"/>
      <c r="AR151" s="4744"/>
      <c r="AS151" s="4744"/>
      <c r="AT151" s="4744"/>
      <c r="AU151" s="4744"/>
      <c r="AV151" s="4744"/>
      <c r="AW151" s="4744"/>
      <c r="AX151" s="4744"/>
      <c r="AY151" s="4744"/>
      <c r="AZ151" s="4744"/>
      <c r="BA151" s="4744"/>
      <c r="BB151" s="4744"/>
      <c r="BC151" s="4744"/>
      <c r="BD151" s="4744"/>
      <c r="BE151" s="4744"/>
      <c r="BF151" s="4744"/>
      <c r="BG151" s="4744"/>
      <c r="BH151" s="4744"/>
      <c r="BI151" s="4744"/>
      <c r="BJ151" s="4744"/>
      <c r="BK151" s="4745"/>
      <c r="BL151" s="1453"/>
      <c r="BM151" s="1453"/>
      <c r="BN151" s="1018"/>
      <c r="BO151" s="1018"/>
      <c r="BP151" s="1050"/>
      <c r="BQ151" s="1018"/>
      <c r="BR151" s="1018"/>
      <c r="BS151" s="1018"/>
      <c r="BT151" s="4746">
        <f>D119</f>
        <v>1</v>
      </c>
      <c r="BU151" s="4747"/>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38"/>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38"/>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38"/>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38"/>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38"/>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64" t="s">
        <v>3338</v>
      </c>
      <c r="X156" s="4764"/>
      <c r="Y156" s="4764"/>
      <c r="Z156" s="4764"/>
      <c r="AA156" s="4764"/>
      <c r="AB156" s="4764"/>
      <c r="AC156" s="4764"/>
      <c r="AD156" s="4764"/>
      <c r="AE156" s="4764"/>
      <c r="AF156" s="4764"/>
      <c r="AG156" s="4764"/>
      <c r="AH156" s="4764"/>
      <c r="AI156" s="4764"/>
      <c r="AJ156" s="4764"/>
      <c r="AK156" s="4764"/>
      <c r="AL156" s="4764"/>
      <c r="AM156" s="4764"/>
      <c r="AN156" s="4764"/>
      <c r="AO156" s="4764"/>
      <c r="AP156" s="4764"/>
      <c r="AQ156" s="4764"/>
      <c r="AR156" s="4764"/>
      <c r="AS156" s="4764"/>
      <c r="AT156" s="4764"/>
      <c r="AU156" s="4764"/>
      <c r="AV156" s="4764"/>
      <c r="AW156" s="4764"/>
      <c r="AX156" s="4764"/>
      <c r="AY156" s="4764"/>
      <c r="AZ156" s="4764"/>
      <c r="BA156" s="4764"/>
      <c r="BB156" s="4764"/>
      <c r="BC156" s="4764"/>
      <c r="BD156" s="4764"/>
      <c r="BE156" s="4764"/>
      <c r="BF156" s="4764"/>
      <c r="BG156" s="4764"/>
      <c r="BH156" s="4764"/>
      <c r="BI156" s="4764"/>
      <c r="BJ156" s="4764"/>
      <c r="BK156" s="4764" t="s">
        <v>3339</v>
      </c>
      <c r="BL156" s="4764"/>
      <c r="BM156" s="4765"/>
      <c r="BN156" s="981" t="s">
        <v>4534</v>
      </c>
      <c r="BO156" s="981" t="s">
        <v>4535</v>
      </c>
      <c r="BP156" s="981" t="s">
        <v>4536</v>
      </c>
      <c r="BQ156" s="981" t="s">
        <v>4537</v>
      </c>
      <c r="BR156" s="981" t="s">
        <v>4538</v>
      </c>
      <c r="BS156" s="982" t="s">
        <v>4539</v>
      </c>
      <c r="BT156" s="4762" t="s">
        <v>4540</v>
      </c>
      <c r="BU156" s="4763"/>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38"/>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38"/>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762" t="s">
        <v>4541</v>
      </c>
      <c r="BU158" s="4763"/>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78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38"/>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59" t="s">
        <v>4542</v>
      </c>
      <c r="U159" s="4760"/>
      <c r="V159" s="4760"/>
      <c r="W159" s="4760"/>
      <c r="X159" s="4760"/>
      <c r="Y159" s="4760"/>
      <c r="Z159" s="4760"/>
      <c r="AA159" s="4760"/>
      <c r="AB159" s="4760"/>
      <c r="AC159" s="4760"/>
      <c r="AD159" s="4760"/>
      <c r="AE159" s="4760"/>
      <c r="AF159" s="4760"/>
      <c r="AG159" s="4760"/>
      <c r="AH159" s="4760"/>
      <c r="AI159" s="4760"/>
      <c r="AJ159" s="4760"/>
      <c r="AK159" s="4760"/>
      <c r="AL159" s="4760"/>
      <c r="AM159" s="4760"/>
      <c r="AN159" s="4760"/>
      <c r="AO159" s="4760"/>
      <c r="AP159" s="4760"/>
      <c r="AQ159" s="4760"/>
      <c r="AR159" s="4760"/>
      <c r="AS159" s="4760"/>
      <c r="AT159" s="4760"/>
      <c r="AU159" s="4760"/>
      <c r="AV159" s="4760"/>
      <c r="AW159" s="4760"/>
      <c r="AX159" s="4760"/>
      <c r="AY159" s="4760"/>
      <c r="AZ159" s="4760"/>
      <c r="BA159" s="4760"/>
      <c r="BB159" s="4760"/>
      <c r="BC159" s="4760"/>
      <c r="BD159" s="4760"/>
      <c r="BE159" s="4760"/>
      <c r="BF159" s="4760"/>
      <c r="BG159" s="4760"/>
      <c r="BH159" s="4760"/>
      <c r="BI159" s="4760"/>
      <c r="BJ159" s="4760"/>
      <c r="BK159" s="4761"/>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76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69"/>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780"/>
      <c r="DY159" s="1336"/>
      <c r="DZ159" s="951"/>
      <c r="EA159" s="1482">
        <f t="shared" si="2"/>
        <v>1</v>
      </c>
    </row>
    <row r="160" spans="1:132" x14ac:dyDescent="0.2">
      <c r="A160" s="951"/>
      <c r="B160" s="951"/>
      <c r="C160" s="4738"/>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30"/>
      <c r="U160" s="4731"/>
      <c r="V160" s="3043" t="str">
        <f>IF(OR(V158=0,V158=""),"N/A",V158)</f>
        <v>N/A</v>
      </c>
      <c r="W160" s="4730" t="str">
        <f xml:space="preserve"> IF(OR(AF158=0,AF158=""),"N/A",W158)</f>
        <v>N/A</v>
      </c>
      <c r="X160" s="4732"/>
      <c r="Y160" s="4732"/>
      <c r="Z160" s="4732"/>
      <c r="AA160" s="4732"/>
      <c r="AB160" s="4732"/>
      <c r="AC160" s="4732"/>
      <c r="AD160" s="4732"/>
      <c r="AE160" s="4732"/>
      <c r="AF160" s="4731"/>
      <c r="AG160" s="4730" t="str">
        <f xml:space="preserve"> IF(OR(AP158="",AP158=0),"N/A",AG158)</f>
        <v>N/A</v>
      </c>
      <c r="AH160" s="4732"/>
      <c r="AI160" s="4732"/>
      <c r="AJ160" s="4732"/>
      <c r="AK160" s="4732"/>
      <c r="AL160" s="4732"/>
      <c r="AM160" s="4732"/>
      <c r="AN160" s="4732"/>
      <c r="AO160" s="4732"/>
      <c r="AP160" s="4731"/>
      <c r="AQ160" s="4730" t="str">
        <f xml:space="preserve"> IF(OR(AZ158="",AZ158=0),"N/A",AQ158)</f>
        <v>N/A</v>
      </c>
      <c r="AR160" s="4732"/>
      <c r="AS160" s="4732"/>
      <c r="AT160" s="4732"/>
      <c r="AU160" s="4732"/>
      <c r="AV160" s="4732"/>
      <c r="AW160" s="4732"/>
      <c r="AX160" s="4732"/>
      <c r="AY160" s="4732"/>
      <c r="AZ160" s="4731"/>
      <c r="BA160" s="4730" t="str">
        <f xml:space="preserve"> IF(OR(BJ158="",BJ158=0),"N/A",BA158)</f>
        <v>N/A</v>
      </c>
      <c r="BB160" s="4732"/>
      <c r="BC160" s="4732"/>
      <c r="BD160" s="4732"/>
      <c r="BE160" s="4732"/>
      <c r="BF160" s="4732"/>
      <c r="BG160" s="4732"/>
      <c r="BH160" s="4732"/>
      <c r="BI160" s="4732"/>
      <c r="BJ160" s="4731"/>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780"/>
      <c r="DY160" s="1336"/>
      <c r="DZ160" s="951"/>
      <c r="EA160" s="1482">
        <f t="shared" si="2"/>
        <v>1</v>
      </c>
    </row>
    <row r="161" spans="1:131" s="1025" customFormat="1" x14ac:dyDescent="0.2">
      <c r="A161" s="951"/>
      <c r="B161" s="951"/>
      <c r="C161" s="4738"/>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33" t="s">
        <v>4544</v>
      </c>
      <c r="U161" s="4734"/>
      <c r="V161" s="3039"/>
      <c r="W161" s="4735"/>
      <c r="X161" s="4736"/>
      <c r="Y161" s="4736"/>
      <c r="Z161" s="4736"/>
      <c r="AA161" s="4736"/>
      <c r="AB161" s="4736"/>
      <c r="AC161" s="4736"/>
      <c r="AD161" s="4736"/>
      <c r="AE161" s="4736"/>
      <c r="AF161" s="4737"/>
      <c r="AG161" s="4735"/>
      <c r="AH161" s="4736"/>
      <c r="AI161" s="4736"/>
      <c r="AJ161" s="4736"/>
      <c r="AK161" s="4736"/>
      <c r="AL161" s="4736"/>
      <c r="AM161" s="4736"/>
      <c r="AN161" s="4736"/>
      <c r="AO161" s="4736"/>
      <c r="AP161" s="4737"/>
      <c r="AQ161" s="4735"/>
      <c r="AR161" s="4736"/>
      <c r="AS161" s="4736"/>
      <c r="AT161" s="4736"/>
      <c r="AU161" s="4736"/>
      <c r="AV161" s="4736"/>
      <c r="AW161" s="4736"/>
      <c r="AX161" s="4736"/>
      <c r="AY161" s="4736"/>
      <c r="AZ161" s="4737"/>
      <c r="BA161" s="4735"/>
      <c r="BB161" s="4736"/>
      <c r="BC161" s="4736"/>
      <c r="BD161" s="4736"/>
      <c r="BE161" s="4736"/>
      <c r="BF161" s="4736"/>
      <c r="BG161" s="4736"/>
      <c r="BH161" s="4736"/>
      <c r="BI161" s="4736"/>
      <c r="BJ161" s="4737"/>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762" t="s">
        <v>4545</v>
      </c>
      <c r="BU161" s="4763"/>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780"/>
      <c r="DY161" s="1336"/>
      <c r="DZ161" s="951"/>
      <c r="EA161" s="1482">
        <f t="shared" si="2"/>
        <v>1</v>
      </c>
    </row>
    <row r="162" spans="1:131" x14ac:dyDescent="0.2">
      <c r="A162" s="951"/>
      <c r="B162" s="951"/>
      <c r="C162" s="4738"/>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54" t="s">
        <v>4546</v>
      </c>
      <c r="U162" s="4755"/>
      <c r="V162" s="3046"/>
      <c r="W162" s="4756"/>
      <c r="X162" s="4757"/>
      <c r="Y162" s="4757"/>
      <c r="Z162" s="4757"/>
      <c r="AA162" s="4757"/>
      <c r="AB162" s="4757"/>
      <c r="AC162" s="4757"/>
      <c r="AD162" s="4757"/>
      <c r="AE162" s="4757"/>
      <c r="AF162" s="4758"/>
      <c r="AG162" s="4756"/>
      <c r="AH162" s="4757"/>
      <c r="AI162" s="4757"/>
      <c r="AJ162" s="4757"/>
      <c r="AK162" s="4757"/>
      <c r="AL162" s="4757"/>
      <c r="AM162" s="4757"/>
      <c r="AN162" s="4757"/>
      <c r="AO162" s="4757"/>
      <c r="AP162" s="4758"/>
      <c r="AQ162" s="4756"/>
      <c r="AR162" s="4757"/>
      <c r="AS162" s="4757"/>
      <c r="AT162" s="4757"/>
      <c r="AU162" s="4757"/>
      <c r="AV162" s="4757"/>
      <c r="AW162" s="4757"/>
      <c r="AX162" s="4757"/>
      <c r="AY162" s="4757"/>
      <c r="AZ162" s="4758"/>
      <c r="BA162" s="4756"/>
      <c r="BB162" s="4757"/>
      <c r="BC162" s="4757"/>
      <c r="BD162" s="4757"/>
      <c r="BE162" s="4757"/>
      <c r="BF162" s="4757"/>
      <c r="BG162" s="4757"/>
      <c r="BH162" s="4757"/>
      <c r="BI162" s="4757"/>
      <c r="BJ162" s="4758"/>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766" t="s">
        <v>1690</v>
      </c>
      <c r="BU162" s="4767"/>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780"/>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38"/>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762" t="s">
        <v>4547</v>
      </c>
      <c r="BU163" s="4763"/>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38"/>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766" t="s">
        <v>4527</v>
      </c>
      <c r="BU164" s="4767"/>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38"/>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59" t="s">
        <v>4542</v>
      </c>
      <c r="U165" s="4760"/>
      <c r="V165" s="4760"/>
      <c r="W165" s="4760"/>
      <c r="X165" s="4760"/>
      <c r="Y165" s="4760"/>
      <c r="Z165" s="4760"/>
      <c r="AA165" s="4760"/>
      <c r="AB165" s="4760"/>
      <c r="AC165" s="4760"/>
      <c r="AD165" s="4760"/>
      <c r="AE165" s="4760"/>
      <c r="AF165" s="4760"/>
      <c r="AG165" s="4760"/>
      <c r="AH165" s="4760"/>
      <c r="AI165" s="4760"/>
      <c r="AJ165" s="4760"/>
      <c r="AK165" s="4760"/>
      <c r="AL165" s="4760"/>
      <c r="AM165" s="4760"/>
      <c r="AN165" s="4760"/>
      <c r="AO165" s="4760"/>
      <c r="AP165" s="4760"/>
      <c r="AQ165" s="4760"/>
      <c r="AR165" s="4760"/>
      <c r="AS165" s="4760"/>
      <c r="AT165" s="4760"/>
      <c r="AU165" s="4760"/>
      <c r="AV165" s="4760"/>
      <c r="AW165" s="4760"/>
      <c r="AX165" s="4760"/>
      <c r="AY165" s="4760"/>
      <c r="AZ165" s="4760"/>
      <c r="BA165" s="4760"/>
      <c r="BB165" s="4760"/>
      <c r="BC165" s="4760"/>
      <c r="BD165" s="4760"/>
      <c r="BE165" s="4760"/>
      <c r="BF165" s="4760"/>
      <c r="BG165" s="4760"/>
      <c r="BH165" s="4760"/>
      <c r="BI165" s="4760"/>
      <c r="BJ165" s="4760"/>
      <c r="BK165" s="4761"/>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762" t="s">
        <v>4548</v>
      </c>
      <c r="BU165" s="4763"/>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38"/>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30"/>
      <c r="U166" s="4731"/>
      <c r="V166" s="3043" t="str">
        <f>IF(OR(V164=0,V164=""),"N/A",V164)</f>
        <v>N/A</v>
      </c>
      <c r="W166" s="4730" t="str">
        <f xml:space="preserve"> IF(OR(AF164=0,AF164=""),"N/A",W164)</f>
        <v>N/A</v>
      </c>
      <c r="X166" s="4732"/>
      <c r="Y166" s="4732"/>
      <c r="Z166" s="4732"/>
      <c r="AA166" s="4732"/>
      <c r="AB166" s="4732"/>
      <c r="AC166" s="4732"/>
      <c r="AD166" s="4732"/>
      <c r="AE166" s="4732"/>
      <c r="AF166" s="4731"/>
      <c r="AG166" s="4730" t="str">
        <f xml:space="preserve"> IF(OR(AP164="",AP164=0),"N/A",AG164)</f>
        <v>N/A</v>
      </c>
      <c r="AH166" s="4732"/>
      <c r="AI166" s="4732"/>
      <c r="AJ166" s="4732"/>
      <c r="AK166" s="4732"/>
      <c r="AL166" s="4732"/>
      <c r="AM166" s="4732"/>
      <c r="AN166" s="4732"/>
      <c r="AO166" s="4732"/>
      <c r="AP166" s="4731"/>
      <c r="AQ166" s="4730" t="str">
        <f xml:space="preserve"> IF(OR(AZ164="",AZ164=0),"N/A",AQ164)</f>
        <v>N/A</v>
      </c>
      <c r="AR166" s="4732"/>
      <c r="AS166" s="4732"/>
      <c r="AT166" s="4732"/>
      <c r="AU166" s="4732"/>
      <c r="AV166" s="4732"/>
      <c r="AW166" s="4732"/>
      <c r="AX166" s="4732"/>
      <c r="AY166" s="4732"/>
      <c r="AZ166" s="4731"/>
      <c r="BA166" s="4730" t="str">
        <f xml:space="preserve"> IF(OR(BJ164="",BJ164=0),"N/A",BA164)</f>
        <v>N/A</v>
      </c>
      <c r="BB166" s="4732"/>
      <c r="BC166" s="4732"/>
      <c r="BD166" s="4732"/>
      <c r="BE166" s="4732"/>
      <c r="BF166" s="4732"/>
      <c r="BG166" s="4732"/>
      <c r="BH166" s="4732"/>
      <c r="BI166" s="4732"/>
      <c r="BJ166" s="4731"/>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766" t="s">
        <v>4521</v>
      </c>
      <c r="BU166" s="4767"/>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38"/>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33" t="s">
        <v>4544</v>
      </c>
      <c r="U167" s="4734"/>
      <c r="V167" s="3039"/>
      <c r="W167" s="4735"/>
      <c r="X167" s="4736"/>
      <c r="Y167" s="4736"/>
      <c r="Z167" s="4736"/>
      <c r="AA167" s="4736"/>
      <c r="AB167" s="4736"/>
      <c r="AC167" s="4736"/>
      <c r="AD167" s="4736"/>
      <c r="AE167" s="4736"/>
      <c r="AF167" s="4737"/>
      <c r="AG167" s="4735"/>
      <c r="AH167" s="4736"/>
      <c r="AI167" s="4736"/>
      <c r="AJ167" s="4736"/>
      <c r="AK167" s="4736"/>
      <c r="AL167" s="4736"/>
      <c r="AM167" s="4736"/>
      <c r="AN167" s="4736"/>
      <c r="AO167" s="4736"/>
      <c r="AP167" s="4737"/>
      <c r="AQ167" s="4735"/>
      <c r="AR167" s="4736"/>
      <c r="AS167" s="4736"/>
      <c r="AT167" s="4736"/>
      <c r="AU167" s="4736"/>
      <c r="AV167" s="4736"/>
      <c r="AW167" s="4736"/>
      <c r="AX167" s="4736"/>
      <c r="AY167" s="4736"/>
      <c r="AZ167" s="4737"/>
      <c r="BA167" s="4735"/>
      <c r="BB167" s="4736"/>
      <c r="BC167" s="4736"/>
      <c r="BD167" s="4736"/>
      <c r="BE167" s="4736"/>
      <c r="BF167" s="4736"/>
      <c r="BG167" s="4736"/>
      <c r="BH167" s="4736"/>
      <c r="BI167" s="4736"/>
      <c r="BJ167" s="4737"/>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740" t="s">
        <v>4549</v>
      </c>
      <c r="BU167" s="4741"/>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38"/>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54" t="s">
        <v>4546</v>
      </c>
      <c r="U168" s="4755"/>
      <c r="V168" s="3046"/>
      <c r="W168" s="4756"/>
      <c r="X168" s="4757"/>
      <c r="Y168" s="4757"/>
      <c r="Z168" s="4757"/>
      <c r="AA168" s="4757"/>
      <c r="AB168" s="4757"/>
      <c r="AC168" s="4757"/>
      <c r="AD168" s="4757"/>
      <c r="AE168" s="4757"/>
      <c r="AF168" s="4758"/>
      <c r="AG168" s="4756"/>
      <c r="AH168" s="4757"/>
      <c r="AI168" s="4757"/>
      <c r="AJ168" s="4757"/>
      <c r="AK168" s="4757"/>
      <c r="AL168" s="4757"/>
      <c r="AM168" s="4757"/>
      <c r="AN168" s="4757"/>
      <c r="AO168" s="4757"/>
      <c r="AP168" s="4758"/>
      <c r="AQ168" s="4756"/>
      <c r="AR168" s="4757"/>
      <c r="AS168" s="4757"/>
      <c r="AT168" s="4757"/>
      <c r="AU168" s="4757"/>
      <c r="AV168" s="4757"/>
      <c r="AW168" s="4757"/>
      <c r="AX168" s="4757"/>
      <c r="AY168" s="4757"/>
      <c r="AZ168" s="4758"/>
      <c r="BA168" s="4756"/>
      <c r="BB168" s="4757"/>
      <c r="BC168" s="4757"/>
      <c r="BD168" s="4757"/>
      <c r="BE168" s="4757"/>
      <c r="BF168" s="4757"/>
      <c r="BG168" s="4757"/>
      <c r="BH168" s="4757"/>
      <c r="BI168" s="4757"/>
      <c r="BJ168" s="4758"/>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39"/>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38"/>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39"/>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38"/>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39"/>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38"/>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59" t="s">
        <v>4542</v>
      </c>
      <c r="U171" s="4760"/>
      <c r="V171" s="4760"/>
      <c r="W171" s="4760"/>
      <c r="X171" s="4760"/>
      <c r="Y171" s="4760"/>
      <c r="Z171" s="4760"/>
      <c r="AA171" s="4760"/>
      <c r="AB171" s="4760"/>
      <c r="AC171" s="4760"/>
      <c r="AD171" s="4760"/>
      <c r="AE171" s="4760"/>
      <c r="AF171" s="4760"/>
      <c r="AG171" s="4760"/>
      <c r="AH171" s="4760"/>
      <c r="AI171" s="4760"/>
      <c r="AJ171" s="4760"/>
      <c r="AK171" s="4760"/>
      <c r="AL171" s="4760"/>
      <c r="AM171" s="4760"/>
      <c r="AN171" s="4760"/>
      <c r="AO171" s="4760"/>
      <c r="AP171" s="4760"/>
      <c r="AQ171" s="4760"/>
      <c r="AR171" s="4760"/>
      <c r="AS171" s="4760"/>
      <c r="AT171" s="4760"/>
      <c r="AU171" s="4760"/>
      <c r="AV171" s="4760"/>
      <c r="AW171" s="4760"/>
      <c r="AX171" s="4760"/>
      <c r="AY171" s="4760"/>
      <c r="AZ171" s="4760"/>
      <c r="BA171" s="4760"/>
      <c r="BB171" s="4760"/>
      <c r="BC171" s="4760"/>
      <c r="BD171" s="4760"/>
      <c r="BE171" s="4760"/>
      <c r="BF171" s="4760"/>
      <c r="BG171" s="4760"/>
      <c r="BH171" s="4760"/>
      <c r="BI171" s="4760"/>
      <c r="BJ171" s="4760"/>
      <c r="BK171" s="4761"/>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38"/>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30"/>
      <c r="U172" s="4731"/>
      <c r="V172" s="3043" t="str">
        <f>IF(OR(V170=0,V170=""),"N/A",V170)</f>
        <v>N/A</v>
      </c>
      <c r="W172" s="4730" t="str">
        <f xml:space="preserve"> IF(OR(AF170=0,AF170=""),"N/A",W170)</f>
        <v>N/A</v>
      </c>
      <c r="X172" s="4732"/>
      <c r="Y172" s="4732"/>
      <c r="Z172" s="4732"/>
      <c r="AA172" s="4732"/>
      <c r="AB172" s="4732"/>
      <c r="AC172" s="4732"/>
      <c r="AD172" s="4732"/>
      <c r="AE172" s="4732"/>
      <c r="AF172" s="4731"/>
      <c r="AG172" s="4730" t="str">
        <f xml:space="preserve"> IF(OR(AP170="",AP170=0),"N/A",AG170)</f>
        <v>N/A</v>
      </c>
      <c r="AH172" s="4732"/>
      <c r="AI172" s="4732"/>
      <c r="AJ172" s="4732"/>
      <c r="AK172" s="4732"/>
      <c r="AL172" s="4732"/>
      <c r="AM172" s="4732"/>
      <c r="AN172" s="4732"/>
      <c r="AO172" s="4732"/>
      <c r="AP172" s="4731"/>
      <c r="AQ172" s="4730" t="str">
        <f xml:space="preserve"> IF(OR(AZ170="",AZ170=0),"N/A",AQ170)</f>
        <v>N/A</v>
      </c>
      <c r="AR172" s="4732"/>
      <c r="AS172" s="4732"/>
      <c r="AT172" s="4732"/>
      <c r="AU172" s="4732"/>
      <c r="AV172" s="4732"/>
      <c r="AW172" s="4732"/>
      <c r="AX172" s="4732"/>
      <c r="AY172" s="4732"/>
      <c r="AZ172" s="4731"/>
      <c r="BA172" s="4730" t="str">
        <f xml:space="preserve"> IF(OR(BJ170="",BJ170=0),"N/A",BA170)</f>
        <v>N/A</v>
      </c>
      <c r="BB172" s="4732"/>
      <c r="BC172" s="4732"/>
      <c r="BD172" s="4732"/>
      <c r="BE172" s="4732"/>
      <c r="BF172" s="4732"/>
      <c r="BG172" s="4732"/>
      <c r="BH172" s="4732"/>
      <c r="BI172" s="4732"/>
      <c r="BJ172" s="4731"/>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38"/>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33" t="s">
        <v>4544</v>
      </c>
      <c r="U173" s="4734"/>
      <c r="V173" s="3039"/>
      <c r="W173" s="4735"/>
      <c r="X173" s="4736"/>
      <c r="Y173" s="4736"/>
      <c r="Z173" s="4736"/>
      <c r="AA173" s="4736"/>
      <c r="AB173" s="4736"/>
      <c r="AC173" s="4736"/>
      <c r="AD173" s="4736"/>
      <c r="AE173" s="4736"/>
      <c r="AF173" s="4737"/>
      <c r="AG173" s="4735"/>
      <c r="AH173" s="4736"/>
      <c r="AI173" s="4736"/>
      <c r="AJ173" s="4736"/>
      <c r="AK173" s="4736"/>
      <c r="AL173" s="4736"/>
      <c r="AM173" s="4736"/>
      <c r="AN173" s="4736"/>
      <c r="AO173" s="4736"/>
      <c r="AP173" s="4737"/>
      <c r="AQ173" s="4735"/>
      <c r="AR173" s="4736"/>
      <c r="AS173" s="4736"/>
      <c r="AT173" s="4736"/>
      <c r="AU173" s="4736"/>
      <c r="AV173" s="4736"/>
      <c r="AW173" s="4736"/>
      <c r="AX173" s="4736"/>
      <c r="AY173" s="4736"/>
      <c r="AZ173" s="4737"/>
      <c r="BA173" s="4735"/>
      <c r="BB173" s="4736"/>
      <c r="BC173" s="4736"/>
      <c r="BD173" s="4736"/>
      <c r="BE173" s="4736"/>
      <c r="BF173" s="4736"/>
      <c r="BG173" s="4736"/>
      <c r="BH173" s="4736"/>
      <c r="BI173" s="4736"/>
      <c r="BJ173" s="4737"/>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38"/>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54" t="s">
        <v>4546</v>
      </c>
      <c r="U174" s="4755"/>
      <c r="V174" s="3046"/>
      <c r="W174" s="4756"/>
      <c r="X174" s="4757"/>
      <c r="Y174" s="4757"/>
      <c r="Z174" s="4757"/>
      <c r="AA174" s="4757"/>
      <c r="AB174" s="4757"/>
      <c r="AC174" s="4757"/>
      <c r="AD174" s="4757"/>
      <c r="AE174" s="4757"/>
      <c r="AF174" s="4758"/>
      <c r="AG174" s="4756"/>
      <c r="AH174" s="4757"/>
      <c r="AI174" s="4757"/>
      <c r="AJ174" s="4757"/>
      <c r="AK174" s="4757"/>
      <c r="AL174" s="4757"/>
      <c r="AM174" s="4757"/>
      <c r="AN174" s="4757"/>
      <c r="AO174" s="4757"/>
      <c r="AP174" s="4758"/>
      <c r="AQ174" s="4756"/>
      <c r="AR174" s="4757"/>
      <c r="AS174" s="4757"/>
      <c r="AT174" s="4757"/>
      <c r="AU174" s="4757"/>
      <c r="AV174" s="4757"/>
      <c r="AW174" s="4757"/>
      <c r="AX174" s="4757"/>
      <c r="AY174" s="4757"/>
      <c r="AZ174" s="4758"/>
      <c r="BA174" s="4756"/>
      <c r="BB174" s="4757"/>
      <c r="BC174" s="4757"/>
      <c r="BD174" s="4757"/>
      <c r="BE174" s="4757"/>
      <c r="BF174" s="4757"/>
      <c r="BG174" s="4757"/>
      <c r="BH174" s="4757"/>
      <c r="BI174" s="4757"/>
      <c r="BJ174" s="4758"/>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38"/>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38"/>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38"/>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59" t="s">
        <v>4542</v>
      </c>
      <c r="U177" s="4760"/>
      <c r="V177" s="4760"/>
      <c r="W177" s="4760"/>
      <c r="X177" s="4760"/>
      <c r="Y177" s="4760"/>
      <c r="Z177" s="4760"/>
      <c r="AA177" s="4760"/>
      <c r="AB177" s="4760"/>
      <c r="AC177" s="4760"/>
      <c r="AD177" s="4760"/>
      <c r="AE177" s="4760"/>
      <c r="AF177" s="4760"/>
      <c r="AG177" s="4760"/>
      <c r="AH177" s="4760"/>
      <c r="AI177" s="4760"/>
      <c r="AJ177" s="4760"/>
      <c r="AK177" s="4760"/>
      <c r="AL177" s="4760"/>
      <c r="AM177" s="4760"/>
      <c r="AN177" s="4760"/>
      <c r="AO177" s="4760"/>
      <c r="AP177" s="4760"/>
      <c r="AQ177" s="4760"/>
      <c r="AR177" s="4760"/>
      <c r="AS177" s="4760"/>
      <c r="AT177" s="4760"/>
      <c r="AU177" s="4760"/>
      <c r="AV177" s="4760"/>
      <c r="AW177" s="4760"/>
      <c r="AX177" s="4760"/>
      <c r="AY177" s="4760"/>
      <c r="AZ177" s="4760"/>
      <c r="BA177" s="4760"/>
      <c r="BB177" s="4760"/>
      <c r="BC177" s="4760"/>
      <c r="BD177" s="4760"/>
      <c r="BE177" s="4760"/>
      <c r="BF177" s="4760"/>
      <c r="BG177" s="4760"/>
      <c r="BH177" s="4760"/>
      <c r="BI177" s="4760"/>
      <c r="BJ177" s="4760"/>
      <c r="BK177" s="4761"/>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38"/>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30"/>
      <c r="U178" s="4731"/>
      <c r="V178" s="3043" t="str">
        <f>IF(OR(V176=0,V176=""),"N/A",V176)</f>
        <v>N/A</v>
      </c>
      <c r="W178" s="4730" t="str">
        <f xml:space="preserve"> IF(OR(AF176=0,AF176=""),"N/A",W176)</f>
        <v>N/A</v>
      </c>
      <c r="X178" s="4732"/>
      <c r="Y178" s="4732"/>
      <c r="Z178" s="4732"/>
      <c r="AA178" s="4732"/>
      <c r="AB178" s="4732"/>
      <c r="AC178" s="4732"/>
      <c r="AD178" s="4732"/>
      <c r="AE178" s="4732"/>
      <c r="AF178" s="4731"/>
      <c r="AG178" s="4730" t="str">
        <f xml:space="preserve"> IF(OR(AP176="",AP176=0),"N/A",AG176)</f>
        <v>N/A</v>
      </c>
      <c r="AH178" s="4732"/>
      <c r="AI178" s="4732"/>
      <c r="AJ178" s="4732"/>
      <c r="AK178" s="4732"/>
      <c r="AL178" s="4732"/>
      <c r="AM178" s="4732"/>
      <c r="AN178" s="4732"/>
      <c r="AO178" s="4732"/>
      <c r="AP178" s="4731"/>
      <c r="AQ178" s="4730" t="str">
        <f xml:space="preserve"> IF(OR(AZ176="",AZ176=0),"N/A",AQ176)</f>
        <v>N/A</v>
      </c>
      <c r="AR178" s="4732"/>
      <c r="AS178" s="4732"/>
      <c r="AT178" s="4732"/>
      <c r="AU178" s="4732"/>
      <c r="AV178" s="4732"/>
      <c r="AW178" s="4732"/>
      <c r="AX178" s="4732"/>
      <c r="AY178" s="4732"/>
      <c r="AZ178" s="4731"/>
      <c r="BA178" s="4730" t="str">
        <f xml:space="preserve"> IF(OR(BJ176="",BJ176=0),"N/A",BA176)</f>
        <v>N/A</v>
      </c>
      <c r="BB178" s="4732"/>
      <c r="BC178" s="4732"/>
      <c r="BD178" s="4732"/>
      <c r="BE178" s="4732"/>
      <c r="BF178" s="4732"/>
      <c r="BG178" s="4732"/>
      <c r="BH178" s="4732"/>
      <c r="BI178" s="4732"/>
      <c r="BJ178" s="4731"/>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38"/>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33" t="s">
        <v>4544</v>
      </c>
      <c r="U179" s="4734"/>
      <c r="V179" s="3039"/>
      <c r="W179" s="4735"/>
      <c r="X179" s="4736"/>
      <c r="Y179" s="4736"/>
      <c r="Z179" s="4736"/>
      <c r="AA179" s="4736"/>
      <c r="AB179" s="4736"/>
      <c r="AC179" s="4736"/>
      <c r="AD179" s="4736"/>
      <c r="AE179" s="4736"/>
      <c r="AF179" s="4737"/>
      <c r="AG179" s="4735"/>
      <c r="AH179" s="4736"/>
      <c r="AI179" s="4736"/>
      <c r="AJ179" s="4736"/>
      <c r="AK179" s="4736"/>
      <c r="AL179" s="4736"/>
      <c r="AM179" s="4736"/>
      <c r="AN179" s="4736"/>
      <c r="AO179" s="4736"/>
      <c r="AP179" s="4737"/>
      <c r="AQ179" s="4735"/>
      <c r="AR179" s="4736"/>
      <c r="AS179" s="4736"/>
      <c r="AT179" s="4736"/>
      <c r="AU179" s="4736"/>
      <c r="AV179" s="4736"/>
      <c r="AW179" s="4736"/>
      <c r="AX179" s="4736"/>
      <c r="AY179" s="4736"/>
      <c r="AZ179" s="4737"/>
      <c r="BA179" s="4735"/>
      <c r="BB179" s="4736"/>
      <c r="BC179" s="4736"/>
      <c r="BD179" s="4736"/>
      <c r="BE179" s="4736"/>
      <c r="BF179" s="4736"/>
      <c r="BG179" s="4736"/>
      <c r="BH179" s="4736"/>
      <c r="BI179" s="4736"/>
      <c r="BJ179" s="4737"/>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38"/>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54" t="s">
        <v>4546</v>
      </c>
      <c r="U180" s="4755"/>
      <c r="V180" s="3046"/>
      <c r="W180" s="4756"/>
      <c r="X180" s="4757"/>
      <c r="Y180" s="4757"/>
      <c r="Z180" s="4757"/>
      <c r="AA180" s="4757"/>
      <c r="AB180" s="4757"/>
      <c r="AC180" s="4757"/>
      <c r="AD180" s="4757"/>
      <c r="AE180" s="4757"/>
      <c r="AF180" s="4758"/>
      <c r="AG180" s="4756"/>
      <c r="AH180" s="4757"/>
      <c r="AI180" s="4757"/>
      <c r="AJ180" s="4757"/>
      <c r="AK180" s="4757"/>
      <c r="AL180" s="4757"/>
      <c r="AM180" s="4757"/>
      <c r="AN180" s="4757"/>
      <c r="AO180" s="4757"/>
      <c r="AP180" s="4758"/>
      <c r="AQ180" s="4756"/>
      <c r="AR180" s="4757"/>
      <c r="AS180" s="4757"/>
      <c r="AT180" s="4757"/>
      <c r="AU180" s="4757"/>
      <c r="AV180" s="4757"/>
      <c r="AW180" s="4757"/>
      <c r="AX180" s="4757"/>
      <c r="AY180" s="4757"/>
      <c r="AZ180" s="4758"/>
      <c r="BA180" s="4756"/>
      <c r="BB180" s="4757"/>
      <c r="BC180" s="4757"/>
      <c r="BD180" s="4757"/>
      <c r="BE180" s="4757"/>
      <c r="BF180" s="4757"/>
      <c r="BG180" s="4757"/>
      <c r="BH180" s="4757"/>
      <c r="BI180" s="4757"/>
      <c r="BJ180" s="4758"/>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38"/>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38"/>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742"/>
      <c r="BV182" s="4742"/>
      <c r="BW182" s="4742"/>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38"/>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59" t="s">
        <v>4542</v>
      </c>
      <c r="U183" s="4760"/>
      <c r="V183" s="4760"/>
      <c r="W183" s="4760"/>
      <c r="X183" s="4760"/>
      <c r="Y183" s="4760"/>
      <c r="Z183" s="4760"/>
      <c r="AA183" s="4760"/>
      <c r="AB183" s="4760"/>
      <c r="AC183" s="4760"/>
      <c r="AD183" s="4760"/>
      <c r="AE183" s="4760"/>
      <c r="AF183" s="4760"/>
      <c r="AG183" s="4760"/>
      <c r="AH183" s="4760"/>
      <c r="AI183" s="4760"/>
      <c r="AJ183" s="4760"/>
      <c r="AK183" s="4760"/>
      <c r="AL183" s="4760"/>
      <c r="AM183" s="4760"/>
      <c r="AN183" s="4760"/>
      <c r="AO183" s="4760"/>
      <c r="AP183" s="4760"/>
      <c r="AQ183" s="4760"/>
      <c r="AR183" s="4760"/>
      <c r="AS183" s="4760"/>
      <c r="AT183" s="4760"/>
      <c r="AU183" s="4760"/>
      <c r="AV183" s="4760"/>
      <c r="AW183" s="4760"/>
      <c r="AX183" s="4760"/>
      <c r="AY183" s="4760"/>
      <c r="AZ183" s="4760"/>
      <c r="BA183" s="4760"/>
      <c r="BB183" s="4760"/>
      <c r="BC183" s="4760"/>
      <c r="BD183" s="4760"/>
      <c r="BE183" s="4760"/>
      <c r="BF183" s="4760"/>
      <c r="BG183" s="4760"/>
      <c r="BH183" s="4760"/>
      <c r="BI183" s="4760"/>
      <c r="BJ183" s="4760"/>
      <c r="BK183" s="4761"/>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38"/>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30"/>
      <c r="U184" s="4731"/>
      <c r="V184" s="3043" t="str">
        <f>IF(OR(V182=0,V182=""),"N/A",V182)</f>
        <v>N/A</v>
      </c>
      <c r="W184" s="4730" t="str">
        <f xml:space="preserve"> IF(OR(AF182=0,AF182=""),"N/A",W182)</f>
        <v>N/A</v>
      </c>
      <c r="X184" s="4732"/>
      <c r="Y184" s="4732"/>
      <c r="Z184" s="4732"/>
      <c r="AA184" s="4732"/>
      <c r="AB184" s="4732"/>
      <c r="AC184" s="4732"/>
      <c r="AD184" s="4732"/>
      <c r="AE184" s="4732"/>
      <c r="AF184" s="4731"/>
      <c r="AG184" s="4730" t="str">
        <f xml:space="preserve"> IF(OR(AP182="",AP182=0),"N/A",AG182)</f>
        <v>N/A</v>
      </c>
      <c r="AH184" s="4732"/>
      <c r="AI184" s="4732"/>
      <c r="AJ184" s="4732"/>
      <c r="AK184" s="4732"/>
      <c r="AL184" s="4732"/>
      <c r="AM184" s="4732"/>
      <c r="AN184" s="4732"/>
      <c r="AO184" s="4732"/>
      <c r="AP184" s="4731"/>
      <c r="AQ184" s="4730" t="str">
        <f xml:space="preserve"> IF(OR(AZ182="",AZ182=0),"N/A",AQ182)</f>
        <v>N/A</v>
      </c>
      <c r="AR184" s="4732"/>
      <c r="AS184" s="4732"/>
      <c r="AT184" s="4732"/>
      <c r="AU184" s="4732"/>
      <c r="AV184" s="4732"/>
      <c r="AW184" s="4732"/>
      <c r="AX184" s="4732"/>
      <c r="AY184" s="4732"/>
      <c r="AZ184" s="4731"/>
      <c r="BA184" s="4730" t="str">
        <f xml:space="preserve"> IF(OR(BJ182="",BJ182=0),"N/A",BA182)</f>
        <v>N/A</v>
      </c>
      <c r="BB184" s="4732"/>
      <c r="BC184" s="4732"/>
      <c r="BD184" s="4732"/>
      <c r="BE184" s="4732"/>
      <c r="BF184" s="4732"/>
      <c r="BG184" s="4732"/>
      <c r="BH184" s="4732"/>
      <c r="BI184" s="4732"/>
      <c r="BJ184" s="4731"/>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770"/>
      <c r="BV184" s="4770"/>
      <c r="BW184" s="4770"/>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38"/>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33" t="s">
        <v>4544</v>
      </c>
      <c r="U185" s="4734"/>
      <c r="V185" s="3039"/>
      <c r="W185" s="4735"/>
      <c r="X185" s="4736"/>
      <c r="Y185" s="4736"/>
      <c r="Z185" s="4736"/>
      <c r="AA185" s="4736"/>
      <c r="AB185" s="4736"/>
      <c r="AC185" s="4736"/>
      <c r="AD185" s="4736"/>
      <c r="AE185" s="4736"/>
      <c r="AF185" s="4737"/>
      <c r="AG185" s="4735"/>
      <c r="AH185" s="4736"/>
      <c r="AI185" s="4736"/>
      <c r="AJ185" s="4736"/>
      <c r="AK185" s="4736"/>
      <c r="AL185" s="4736"/>
      <c r="AM185" s="4736"/>
      <c r="AN185" s="4736"/>
      <c r="AO185" s="4736"/>
      <c r="AP185" s="4737"/>
      <c r="AQ185" s="4735"/>
      <c r="AR185" s="4736"/>
      <c r="AS185" s="4736"/>
      <c r="AT185" s="4736"/>
      <c r="AU185" s="4736"/>
      <c r="AV185" s="4736"/>
      <c r="AW185" s="4736"/>
      <c r="AX185" s="4736"/>
      <c r="AY185" s="4736"/>
      <c r="AZ185" s="4737"/>
      <c r="BA185" s="4735"/>
      <c r="BB185" s="4736"/>
      <c r="BC185" s="4736"/>
      <c r="BD185" s="4736"/>
      <c r="BE185" s="4736"/>
      <c r="BF185" s="4736"/>
      <c r="BG185" s="4736"/>
      <c r="BH185" s="4736"/>
      <c r="BI185" s="4736"/>
      <c r="BJ185" s="4737"/>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38"/>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48" t="s">
        <v>4546</v>
      </c>
      <c r="U186" s="4749"/>
      <c r="V186" s="3049"/>
      <c r="W186" s="4750"/>
      <c r="X186" s="4751"/>
      <c r="Y186" s="4751"/>
      <c r="Z186" s="4751"/>
      <c r="AA186" s="4751"/>
      <c r="AB186" s="4751"/>
      <c r="AC186" s="4751"/>
      <c r="AD186" s="4751"/>
      <c r="AE186" s="4751"/>
      <c r="AF186" s="4752"/>
      <c r="AG186" s="4750"/>
      <c r="AH186" s="4751"/>
      <c r="AI186" s="4751"/>
      <c r="AJ186" s="4751"/>
      <c r="AK186" s="4751"/>
      <c r="AL186" s="4751"/>
      <c r="AM186" s="4751"/>
      <c r="AN186" s="4751"/>
      <c r="AO186" s="4751"/>
      <c r="AP186" s="4752"/>
      <c r="AQ186" s="4750"/>
      <c r="AR186" s="4751"/>
      <c r="AS186" s="4751"/>
      <c r="AT186" s="4751"/>
      <c r="AU186" s="4751"/>
      <c r="AV186" s="4751"/>
      <c r="AW186" s="4751"/>
      <c r="AX186" s="4751"/>
      <c r="AY186" s="4751"/>
      <c r="AZ186" s="4752"/>
      <c r="BA186" s="4750"/>
      <c r="BB186" s="4751"/>
      <c r="BC186" s="4751"/>
      <c r="BD186" s="4751"/>
      <c r="BE186" s="4751"/>
      <c r="BF186" s="4751"/>
      <c r="BG186" s="4751"/>
      <c r="BH186" s="4751"/>
      <c r="BI186" s="4751"/>
      <c r="BJ186" s="4752"/>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38"/>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53"/>
      <c r="BL187" s="4753"/>
      <c r="BM187" s="4741"/>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740" t="s">
        <v>4555</v>
      </c>
      <c r="BU187" s="4741"/>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38"/>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43" t="str">
        <f>IF(OR(E188='Tablas Técnicas'!A$678,E188='Tablas Técnicas'!A$679,E189='Tablas Técnicas'!A$678,E189='Tablas Técnicas'!A$679,E190='Tablas Técnicas'!A$678,E190='Tablas Técnicas'!A$679),"Selecciona la atadura elemental:","")</f>
        <v/>
      </c>
      <c r="AH188" s="4744"/>
      <c r="AI188" s="4744"/>
      <c r="AJ188" s="4744"/>
      <c r="AK188" s="4744"/>
      <c r="AL188" s="4744"/>
      <c r="AM188" s="4744"/>
      <c r="AN188" s="4744"/>
      <c r="AO188" s="4744"/>
      <c r="AP188" s="4744"/>
      <c r="AQ188" s="4744"/>
      <c r="AR188" s="4744"/>
      <c r="AS188" s="4744"/>
      <c r="AT188" s="4744"/>
      <c r="AU188" s="4744"/>
      <c r="AV188" s="4744"/>
      <c r="AW188" s="4744"/>
      <c r="AX188" s="4744"/>
      <c r="AY188" s="4744"/>
      <c r="AZ188" s="4744"/>
      <c r="BA188" s="4744"/>
      <c r="BB188" s="4744"/>
      <c r="BC188" s="4744"/>
      <c r="BD188" s="4744"/>
      <c r="BE188" s="4744"/>
      <c r="BF188" s="4744"/>
      <c r="BG188" s="4744"/>
      <c r="BH188" s="4744"/>
      <c r="BI188" s="4744"/>
      <c r="BJ188" s="4744"/>
      <c r="BK188" s="4745"/>
      <c r="BL188" s="1453"/>
      <c r="BM188" s="1453"/>
      <c r="BN188" s="1018"/>
      <c r="BO188" s="1018"/>
      <c r="BP188" s="1050"/>
      <c r="BQ188" s="1018"/>
      <c r="BR188" s="1018"/>
      <c r="BS188" s="1018"/>
      <c r="BT188" s="4746">
        <f>D156</f>
        <v>1</v>
      </c>
      <c r="BU188" s="4747"/>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38"/>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38"/>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38"/>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38"/>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38"/>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64" t="s">
        <v>3338</v>
      </c>
      <c r="X193" s="4764"/>
      <c r="Y193" s="4764"/>
      <c r="Z193" s="4764"/>
      <c r="AA193" s="4764"/>
      <c r="AB193" s="4764"/>
      <c r="AC193" s="4764"/>
      <c r="AD193" s="4764"/>
      <c r="AE193" s="4764"/>
      <c r="AF193" s="4764"/>
      <c r="AG193" s="4764"/>
      <c r="AH193" s="4764"/>
      <c r="AI193" s="4764"/>
      <c r="AJ193" s="4764"/>
      <c r="AK193" s="4764"/>
      <c r="AL193" s="4764"/>
      <c r="AM193" s="4764"/>
      <c r="AN193" s="4764"/>
      <c r="AO193" s="4764"/>
      <c r="AP193" s="4764"/>
      <c r="AQ193" s="4764"/>
      <c r="AR193" s="4764"/>
      <c r="AS193" s="4764"/>
      <c r="AT193" s="4764"/>
      <c r="AU193" s="4764"/>
      <c r="AV193" s="4764"/>
      <c r="AW193" s="4764"/>
      <c r="AX193" s="4764"/>
      <c r="AY193" s="4764"/>
      <c r="AZ193" s="4764"/>
      <c r="BA193" s="4764"/>
      <c r="BB193" s="4764"/>
      <c r="BC193" s="4764"/>
      <c r="BD193" s="4764"/>
      <c r="BE193" s="4764"/>
      <c r="BF193" s="4764"/>
      <c r="BG193" s="4764"/>
      <c r="BH193" s="4764"/>
      <c r="BI193" s="4764"/>
      <c r="BJ193" s="4764"/>
      <c r="BK193" s="4764" t="s">
        <v>3339</v>
      </c>
      <c r="BL193" s="4764"/>
      <c r="BM193" s="4765"/>
      <c r="BN193" s="981" t="s">
        <v>4534</v>
      </c>
      <c r="BO193" s="981" t="s">
        <v>4535</v>
      </c>
      <c r="BP193" s="981" t="s">
        <v>4536</v>
      </c>
      <c r="BQ193" s="981" t="s">
        <v>4537</v>
      </c>
      <c r="BR193" s="981" t="s">
        <v>4538</v>
      </c>
      <c r="BS193" s="982" t="s">
        <v>4539</v>
      </c>
      <c r="BT193" s="4762" t="s">
        <v>4540</v>
      </c>
      <c r="BU193" s="4763"/>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38"/>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38"/>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762" t="s">
        <v>4541</v>
      </c>
      <c r="BU195" s="4763"/>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78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38"/>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59" t="s">
        <v>4542</v>
      </c>
      <c r="U196" s="4760"/>
      <c r="V196" s="4760"/>
      <c r="W196" s="4760"/>
      <c r="X196" s="4760"/>
      <c r="Y196" s="4760"/>
      <c r="Z196" s="4760"/>
      <c r="AA196" s="4760"/>
      <c r="AB196" s="4760"/>
      <c r="AC196" s="4760"/>
      <c r="AD196" s="4760"/>
      <c r="AE196" s="4760"/>
      <c r="AF196" s="4760"/>
      <c r="AG196" s="4760"/>
      <c r="AH196" s="4760"/>
      <c r="AI196" s="4760"/>
      <c r="AJ196" s="4760"/>
      <c r="AK196" s="4760"/>
      <c r="AL196" s="4760"/>
      <c r="AM196" s="4760"/>
      <c r="AN196" s="4760"/>
      <c r="AO196" s="4760"/>
      <c r="AP196" s="4760"/>
      <c r="AQ196" s="4760"/>
      <c r="AR196" s="4760"/>
      <c r="AS196" s="4760"/>
      <c r="AT196" s="4760"/>
      <c r="AU196" s="4760"/>
      <c r="AV196" s="4760"/>
      <c r="AW196" s="4760"/>
      <c r="AX196" s="4760"/>
      <c r="AY196" s="4760"/>
      <c r="AZ196" s="4760"/>
      <c r="BA196" s="4760"/>
      <c r="BB196" s="4760"/>
      <c r="BC196" s="4760"/>
      <c r="BD196" s="4760"/>
      <c r="BE196" s="4760"/>
      <c r="BF196" s="4760"/>
      <c r="BG196" s="4760"/>
      <c r="BH196" s="4760"/>
      <c r="BI196" s="4760"/>
      <c r="BJ196" s="4760"/>
      <c r="BK196" s="4761"/>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76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69"/>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780"/>
      <c r="DY196" s="1336"/>
      <c r="DZ196" s="951"/>
      <c r="EA196" s="1482">
        <f t="shared" si="2"/>
        <v>1</v>
      </c>
    </row>
    <row r="197" spans="1:132" x14ac:dyDescent="0.2">
      <c r="A197" s="951"/>
      <c r="B197" s="951"/>
      <c r="C197" s="4738"/>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30"/>
      <c r="U197" s="4731"/>
      <c r="V197" s="3043" t="str">
        <f>IF(OR(V195=0,V195=""),"N/A",V195)</f>
        <v>N/A</v>
      </c>
      <c r="W197" s="4730" t="str">
        <f xml:space="preserve"> IF(OR(AF195=0,AF195=""),"N/A",W195)</f>
        <v>N/A</v>
      </c>
      <c r="X197" s="4732"/>
      <c r="Y197" s="4732"/>
      <c r="Z197" s="4732"/>
      <c r="AA197" s="4732"/>
      <c r="AB197" s="4732"/>
      <c r="AC197" s="4732"/>
      <c r="AD197" s="4732"/>
      <c r="AE197" s="4732"/>
      <c r="AF197" s="4731"/>
      <c r="AG197" s="4730" t="str">
        <f xml:space="preserve"> IF(OR(AP195="",AP195=0),"N/A",AG195)</f>
        <v>N/A</v>
      </c>
      <c r="AH197" s="4732"/>
      <c r="AI197" s="4732"/>
      <c r="AJ197" s="4732"/>
      <c r="AK197" s="4732"/>
      <c r="AL197" s="4732"/>
      <c r="AM197" s="4732"/>
      <c r="AN197" s="4732"/>
      <c r="AO197" s="4732"/>
      <c r="AP197" s="4731"/>
      <c r="AQ197" s="4730" t="str">
        <f xml:space="preserve"> IF(OR(AZ195="",AZ195=0),"N/A",AQ195)</f>
        <v>N/A</v>
      </c>
      <c r="AR197" s="4732"/>
      <c r="AS197" s="4732"/>
      <c r="AT197" s="4732"/>
      <c r="AU197" s="4732"/>
      <c r="AV197" s="4732"/>
      <c r="AW197" s="4732"/>
      <c r="AX197" s="4732"/>
      <c r="AY197" s="4732"/>
      <c r="AZ197" s="4731"/>
      <c r="BA197" s="4730" t="str">
        <f xml:space="preserve"> IF(OR(BJ195="",BJ195=0),"N/A",BA195)</f>
        <v>N/A</v>
      </c>
      <c r="BB197" s="4732"/>
      <c r="BC197" s="4732"/>
      <c r="BD197" s="4732"/>
      <c r="BE197" s="4732"/>
      <c r="BF197" s="4732"/>
      <c r="BG197" s="4732"/>
      <c r="BH197" s="4732"/>
      <c r="BI197" s="4732"/>
      <c r="BJ197" s="4731"/>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780"/>
      <c r="DY197" s="1336"/>
      <c r="DZ197" s="951"/>
      <c r="EA197" s="1482">
        <f t="shared" si="2"/>
        <v>1</v>
      </c>
    </row>
    <row r="198" spans="1:132" x14ac:dyDescent="0.2">
      <c r="A198" s="951"/>
      <c r="B198" s="951"/>
      <c r="C198" s="4738"/>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33" t="s">
        <v>4544</v>
      </c>
      <c r="U198" s="4734"/>
      <c r="V198" s="3039"/>
      <c r="W198" s="4735"/>
      <c r="X198" s="4736"/>
      <c r="Y198" s="4736"/>
      <c r="Z198" s="4736"/>
      <c r="AA198" s="4736"/>
      <c r="AB198" s="4736"/>
      <c r="AC198" s="4736"/>
      <c r="AD198" s="4736"/>
      <c r="AE198" s="4736"/>
      <c r="AF198" s="4737"/>
      <c r="AG198" s="4735"/>
      <c r="AH198" s="4736"/>
      <c r="AI198" s="4736"/>
      <c r="AJ198" s="4736"/>
      <c r="AK198" s="4736"/>
      <c r="AL198" s="4736"/>
      <c r="AM198" s="4736"/>
      <c r="AN198" s="4736"/>
      <c r="AO198" s="4736"/>
      <c r="AP198" s="4737"/>
      <c r="AQ198" s="4735"/>
      <c r="AR198" s="4736"/>
      <c r="AS198" s="4736"/>
      <c r="AT198" s="4736"/>
      <c r="AU198" s="4736"/>
      <c r="AV198" s="4736"/>
      <c r="AW198" s="4736"/>
      <c r="AX198" s="4736"/>
      <c r="AY198" s="4736"/>
      <c r="AZ198" s="4737"/>
      <c r="BA198" s="4735"/>
      <c r="BB198" s="4736"/>
      <c r="BC198" s="4736"/>
      <c r="BD198" s="4736"/>
      <c r="BE198" s="4736"/>
      <c r="BF198" s="4736"/>
      <c r="BG198" s="4736"/>
      <c r="BH198" s="4736"/>
      <c r="BI198" s="4736"/>
      <c r="BJ198" s="4737"/>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762" t="s">
        <v>4545</v>
      </c>
      <c r="BU198" s="4763"/>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780"/>
      <c r="DY198" s="1336"/>
      <c r="DZ198" s="951"/>
      <c r="EA198" s="1482">
        <f t="shared" si="2"/>
        <v>1</v>
      </c>
    </row>
    <row r="199" spans="1:132" x14ac:dyDescent="0.2">
      <c r="A199" s="951"/>
      <c r="B199" s="951"/>
      <c r="C199" s="4738"/>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54" t="s">
        <v>4546</v>
      </c>
      <c r="U199" s="4755"/>
      <c r="V199" s="3046"/>
      <c r="W199" s="4756"/>
      <c r="X199" s="4757"/>
      <c r="Y199" s="4757"/>
      <c r="Z199" s="4757"/>
      <c r="AA199" s="4757"/>
      <c r="AB199" s="4757"/>
      <c r="AC199" s="4757"/>
      <c r="AD199" s="4757"/>
      <c r="AE199" s="4757"/>
      <c r="AF199" s="4758"/>
      <c r="AG199" s="4756"/>
      <c r="AH199" s="4757"/>
      <c r="AI199" s="4757"/>
      <c r="AJ199" s="4757"/>
      <c r="AK199" s="4757"/>
      <c r="AL199" s="4757"/>
      <c r="AM199" s="4757"/>
      <c r="AN199" s="4757"/>
      <c r="AO199" s="4757"/>
      <c r="AP199" s="4758"/>
      <c r="AQ199" s="4756"/>
      <c r="AR199" s="4757"/>
      <c r="AS199" s="4757"/>
      <c r="AT199" s="4757"/>
      <c r="AU199" s="4757"/>
      <c r="AV199" s="4757"/>
      <c r="AW199" s="4757"/>
      <c r="AX199" s="4757"/>
      <c r="AY199" s="4757"/>
      <c r="AZ199" s="4758"/>
      <c r="BA199" s="4756"/>
      <c r="BB199" s="4757"/>
      <c r="BC199" s="4757"/>
      <c r="BD199" s="4757"/>
      <c r="BE199" s="4757"/>
      <c r="BF199" s="4757"/>
      <c r="BG199" s="4757"/>
      <c r="BH199" s="4757"/>
      <c r="BI199" s="4757"/>
      <c r="BJ199" s="4758"/>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766" t="s">
        <v>1690</v>
      </c>
      <c r="BU199" s="4767"/>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780"/>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38"/>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762" t="s">
        <v>4547</v>
      </c>
      <c r="BU200" s="4763"/>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38"/>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766" t="s">
        <v>4527</v>
      </c>
      <c r="BU201" s="4767"/>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38"/>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59" t="s">
        <v>4542</v>
      </c>
      <c r="U202" s="4760"/>
      <c r="V202" s="4760"/>
      <c r="W202" s="4760"/>
      <c r="X202" s="4760"/>
      <c r="Y202" s="4760"/>
      <c r="Z202" s="4760"/>
      <c r="AA202" s="4760"/>
      <c r="AB202" s="4760"/>
      <c r="AC202" s="4760"/>
      <c r="AD202" s="4760"/>
      <c r="AE202" s="4760"/>
      <c r="AF202" s="4760"/>
      <c r="AG202" s="4760"/>
      <c r="AH202" s="4760"/>
      <c r="AI202" s="4760"/>
      <c r="AJ202" s="4760"/>
      <c r="AK202" s="4760"/>
      <c r="AL202" s="4760"/>
      <c r="AM202" s="4760"/>
      <c r="AN202" s="4760"/>
      <c r="AO202" s="4760"/>
      <c r="AP202" s="4760"/>
      <c r="AQ202" s="4760"/>
      <c r="AR202" s="4760"/>
      <c r="AS202" s="4760"/>
      <c r="AT202" s="4760"/>
      <c r="AU202" s="4760"/>
      <c r="AV202" s="4760"/>
      <c r="AW202" s="4760"/>
      <c r="AX202" s="4760"/>
      <c r="AY202" s="4760"/>
      <c r="AZ202" s="4760"/>
      <c r="BA202" s="4760"/>
      <c r="BB202" s="4760"/>
      <c r="BC202" s="4760"/>
      <c r="BD202" s="4760"/>
      <c r="BE202" s="4760"/>
      <c r="BF202" s="4760"/>
      <c r="BG202" s="4760"/>
      <c r="BH202" s="4760"/>
      <c r="BI202" s="4760"/>
      <c r="BJ202" s="4760"/>
      <c r="BK202" s="4761"/>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762" t="s">
        <v>4548</v>
      </c>
      <c r="BU202" s="4763"/>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38"/>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30"/>
      <c r="U203" s="4731"/>
      <c r="V203" s="3043" t="str">
        <f>IF(OR(V201=0,V201=""),"N/A",V201)</f>
        <v>N/A</v>
      </c>
      <c r="W203" s="4730" t="str">
        <f xml:space="preserve"> IF(OR(AF201=0,AF201=""),"N/A",W201)</f>
        <v>N/A</v>
      </c>
      <c r="X203" s="4732"/>
      <c r="Y203" s="4732"/>
      <c r="Z203" s="4732"/>
      <c r="AA203" s="4732"/>
      <c r="AB203" s="4732"/>
      <c r="AC203" s="4732"/>
      <c r="AD203" s="4732"/>
      <c r="AE203" s="4732"/>
      <c r="AF203" s="4731"/>
      <c r="AG203" s="4730" t="str">
        <f xml:space="preserve"> IF(OR(AP201="",AP201=0),"N/A",AG201)</f>
        <v>N/A</v>
      </c>
      <c r="AH203" s="4732"/>
      <c r="AI203" s="4732"/>
      <c r="AJ203" s="4732"/>
      <c r="AK203" s="4732"/>
      <c r="AL203" s="4732"/>
      <c r="AM203" s="4732"/>
      <c r="AN203" s="4732"/>
      <c r="AO203" s="4732"/>
      <c r="AP203" s="4731"/>
      <c r="AQ203" s="4730" t="str">
        <f xml:space="preserve"> IF(OR(AZ201="",AZ201=0),"N/A",AQ201)</f>
        <v>N/A</v>
      </c>
      <c r="AR203" s="4732"/>
      <c r="AS203" s="4732"/>
      <c r="AT203" s="4732"/>
      <c r="AU203" s="4732"/>
      <c r="AV203" s="4732"/>
      <c r="AW203" s="4732"/>
      <c r="AX203" s="4732"/>
      <c r="AY203" s="4732"/>
      <c r="AZ203" s="4731"/>
      <c r="BA203" s="4730" t="str">
        <f xml:space="preserve"> IF(OR(BJ201="",BJ201=0),"N/A",BA201)</f>
        <v>N/A</v>
      </c>
      <c r="BB203" s="4732"/>
      <c r="BC203" s="4732"/>
      <c r="BD203" s="4732"/>
      <c r="BE203" s="4732"/>
      <c r="BF203" s="4732"/>
      <c r="BG203" s="4732"/>
      <c r="BH203" s="4732"/>
      <c r="BI203" s="4732"/>
      <c r="BJ203" s="4731"/>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766" t="s">
        <v>4521</v>
      </c>
      <c r="BU203" s="4767"/>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38"/>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33" t="s">
        <v>4544</v>
      </c>
      <c r="U204" s="4734"/>
      <c r="V204" s="3039"/>
      <c r="W204" s="4735"/>
      <c r="X204" s="4736"/>
      <c r="Y204" s="4736"/>
      <c r="Z204" s="4736"/>
      <c r="AA204" s="4736"/>
      <c r="AB204" s="4736"/>
      <c r="AC204" s="4736"/>
      <c r="AD204" s="4736"/>
      <c r="AE204" s="4736"/>
      <c r="AF204" s="4737"/>
      <c r="AG204" s="4735"/>
      <c r="AH204" s="4736"/>
      <c r="AI204" s="4736"/>
      <c r="AJ204" s="4736"/>
      <c r="AK204" s="4736"/>
      <c r="AL204" s="4736"/>
      <c r="AM204" s="4736"/>
      <c r="AN204" s="4736"/>
      <c r="AO204" s="4736"/>
      <c r="AP204" s="4737"/>
      <c r="AQ204" s="4735"/>
      <c r="AR204" s="4736"/>
      <c r="AS204" s="4736"/>
      <c r="AT204" s="4736"/>
      <c r="AU204" s="4736"/>
      <c r="AV204" s="4736"/>
      <c r="AW204" s="4736"/>
      <c r="AX204" s="4736"/>
      <c r="AY204" s="4736"/>
      <c r="AZ204" s="4737"/>
      <c r="BA204" s="4735"/>
      <c r="BB204" s="4736"/>
      <c r="BC204" s="4736"/>
      <c r="BD204" s="4736"/>
      <c r="BE204" s="4736"/>
      <c r="BF204" s="4736"/>
      <c r="BG204" s="4736"/>
      <c r="BH204" s="4736"/>
      <c r="BI204" s="4736"/>
      <c r="BJ204" s="4737"/>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740" t="s">
        <v>4549</v>
      </c>
      <c r="BU204" s="4741"/>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38"/>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54" t="s">
        <v>4546</v>
      </c>
      <c r="U205" s="4755"/>
      <c r="V205" s="3046"/>
      <c r="W205" s="4756"/>
      <c r="X205" s="4757"/>
      <c r="Y205" s="4757"/>
      <c r="Z205" s="4757"/>
      <c r="AA205" s="4757"/>
      <c r="AB205" s="4757"/>
      <c r="AC205" s="4757"/>
      <c r="AD205" s="4757"/>
      <c r="AE205" s="4757"/>
      <c r="AF205" s="4758"/>
      <c r="AG205" s="4756"/>
      <c r="AH205" s="4757"/>
      <c r="AI205" s="4757"/>
      <c r="AJ205" s="4757"/>
      <c r="AK205" s="4757"/>
      <c r="AL205" s="4757"/>
      <c r="AM205" s="4757"/>
      <c r="AN205" s="4757"/>
      <c r="AO205" s="4757"/>
      <c r="AP205" s="4758"/>
      <c r="AQ205" s="4756"/>
      <c r="AR205" s="4757"/>
      <c r="AS205" s="4757"/>
      <c r="AT205" s="4757"/>
      <c r="AU205" s="4757"/>
      <c r="AV205" s="4757"/>
      <c r="AW205" s="4757"/>
      <c r="AX205" s="4757"/>
      <c r="AY205" s="4757"/>
      <c r="AZ205" s="4758"/>
      <c r="BA205" s="4756"/>
      <c r="BB205" s="4757"/>
      <c r="BC205" s="4757"/>
      <c r="BD205" s="4757"/>
      <c r="BE205" s="4757"/>
      <c r="BF205" s="4757"/>
      <c r="BG205" s="4757"/>
      <c r="BH205" s="4757"/>
      <c r="BI205" s="4757"/>
      <c r="BJ205" s="4758"/>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38"/>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38"/>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38"/>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59" t="s">
        <v>4542</v>
      </c>
      <c r="U208" s="4760"/>
      <c r="V208" s="4760"/>
      <c r="W208" s="4760"/>
      <c r="X208" s="4760"/>
      <c r="Y208" s="4760"/>
      <c r="Z208" s="4760"/>
      <c r="AA208" s="4760"/>
      <c r="AB208" s="4760"/>
      <c r="AC208" s="4760"/>
      <c r="AD208" s="4760"/>
      <c r="AE208" s="4760"/>
      <c r="AF208" s="4760"/>
      <c r="AG208" s="4760"/>
      <c r="AH208" s="4760"/>
      <c r="AI208" s="4760"/>
      <c r="AJ208" s="4760"/>
      <c r="AK208" s="4760"/>
      <c r="AL208" s="4760"/>
      <c r="AM208" s="4760"/>
      <c r="AN208" s="4760"/>
      <c r="AO208" s="4760"/>
      <c r="AP208" s="4760"/>
      <c r="AQ208" s="4760"/>
      <c r="AR208" s="4760"/>
      <c r="AS208" s="4760"/>
      <c r="AT208" s="4760"/>
      <c r="AU208" s="4760"/>
      <c r="AV208" s="4760"/>
      <c r="AW208" s="4760"/>
      <c r="AX208" s="4760"/>
      <c r="AY208" s="4760"/>
      <c r="AZ208" s="4760"/>
      <c r="BA208" s="4760"/>
      <c r="BB208" s="4760"/>
      <c r="BC208" s="4760"/>
      <c r="BD208" s="4760"/>
      <c r="BE208" s="4760"/>
      <c r="BF208" s="4760"/>
      <c r="BG208" s="4760"/>
      <c r="BH208" s="4760"/>
      <c r="BI208" s="4760"/>
      <c r="BJ208" s="4760"/>
      <c r="BK208" s="4761"/>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38"/>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30"/>
      <c r="U209" s="4731"/>
      <c r="V209" s="3043" t="str">
        <f>IF(OR(V207=0,V207=""),"N/A",V207)</f>
        <v>N/A</v>
      </c>
      <c r="W209" s="4730" t="str">
        <f xml:space="preserve"> IF(OR(AF207=0,AF207=""),"N/A",W207)</f>
        <v>N/A</v>
      </c>
      <c r="X209" s="4732"/>
      <c r="Y209" s="4732"/>
      <c r="Z209" s="4732"/>
      <c r="AA209" s="4732"/>
      <c r="AB209" s="4732"/>
      <c r="AC209" s="4732"/>
      <c r="AD209" s="4732"/>
      <c r="AE209" s="4732"/>
      <c r="AF209" s="4731"/>
      <c r="AG209" s="4730" t="str">
        <f xml:space="preserve"> IF(OR(AP207="",AP207=0),"N/A",AG207)</f>
        <v>N/A</v>
      </c>
      <c r="AH209" s="4732"/>
      <c r="AI209" s="4732"/>
      <c r="AJ209" s="4732"/>
      <c r="AK209" s="4732"/>
      <c r="AL209" s="4732"/>
      <c r="AM209" s="4732"/>
      <c r="AN209" s="4732"/>
      <c r="AO209" s="4732"/>
      <c r="AP209" s="4731"/>
      <c r="AQ209" s="4730" t="str">
        <f xml:space="preserve"> IF(OR(AZ207="",AZ207=0),"N/A",AQ207)</f>
        <v>N/A</v>
      </c>
      <c r="AR209" s="4732"/>
      <c r="AS209" s="4732"/>
      <c r="AT209" s="4732"/>
      <c r="AU209" s="4732"/>
      <c r="AV209" s="4732"/>
      <c r="AW209" s="4732"/>
      <c r="AX209" s="4732"/>
      <c r="AY209" s="4732"/>
      <c r="AZ209" s="4731"/>
      <c r="BA209" s="4730" t="str">
        <f xml:space="preserve"> IF(OR(BJ207="",BJ207=0),"N/A",BA207)</f>
        <v>N/A</v>
      </c>
      <c r="BB209" s="4732"/>
      <c r="BC209" s="4732"/>
      <c r="BD209" s="4732"/>
      <c r="BE209" s="4732"/>
      <c r="BF209" s="4732"/>
      <c r="BG209" s="4732"/>
      <c r="BH209" s="4732"/>
      <c r="BI209" s="4732"/>
      <c r="BJ209" s="4731"/>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38"/>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33" t="s">
        <v>4544</v>
      </c>
      <c r="U210" s="4734"/>
      <c r="V210" s="3039"/>
      <c r="W210" s="4735"/>
      <c r="X210" s="4736"/>
      <c r="Y210" s="4736"/>
      <c r="Z210" s="4736"/>
      <c r="AA210" s="4736"/>
      <c r="AB210" s="4736"/>
      <c r="AC210" s="4736"/>
      <c r="AD210" s="4736"/>
      <c r="AE210" s="4736"/>
      <c r="AF210" s="4737"/>
      <c r="AG210" s="4735"/>
      <c r="AH210" s="4736"/>
      <c r="AI210" s="4736"/>
      <c r="AJ210" s="4736"/>
      <c r="AK210" s="4736"/>
      <c r="AL210" s="4736"/>
      <c r="AM210" s="4736"/>
      <c r="AN210" s="4736"/>
      <c r="AO210" s="4736"/>
      <c r="AP210" s="4737"/>
      <c r="AQ210" s="4735"/>
      <c r="AR210" s="4736"/>
      <c r="AS210" s="4736"/>
      <c r="AT210" s="4736"/>
      <c r="AU210" s="4736"/>
      <c r="AV210" s="4736"/>
      <c r="AW210" s="4736"/>
      <c r="AX210" s="4736"/>
      <c r="AY210" s="4736"/>
      <c r="AZ210" s="4737"/>
      <c r="BA210" s="4735"/>
      <c r="BB210" s="4736"/>
      <c r="BC210" s="4736"/>
      <c r="BD210" s="4736"/>
      <c r="BE210" s="4736"/>
      <c r="BF210" s="4736"/>
      <c r="BG210" s="4736"/>
      <c r="BH210" s="4736"/>
      <c r="BI210" s="4736"/>
      <c r="BJ210" s="4737"/>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38"/>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54" t="s">
        <v>4546</v>
      </c>
      <c r="U211" s="4755"/>
      <c r="V211" s="3046"/>
      <c r="W211" s="4756"/>
      <c r="X211" s="4757"/>
      <c r="Y211" s="4757"/>
      <c r="Z211" s="4757"/>
      <c r="AA211" s="4757"/>
      <c r="AB211" s="4757"/>
      <c r="AC211" s="4757"/>
      <c r="AD211" s="4757"/>
      <c r="AE211" s="4757"/>
      <c r="AF211" s="4758"/>
      <c r="AG211" s="4756"/>
      <c r="AH211" s="4757"/>
      <c r="AI211" s="4757"/>
      <c r="AJ211" s="4757"/>
      <c r="AK211" s="4757"/>
      <c r="AL211" s="4757"/>
      <c r="AM211" s="4757"/>
      <c r="AN211" s="4757"/>
      <c r="AO211" s="4757"/>
      <c r="AP211" s="4758"/>
      <c r="AQ211" s="4756"/>
      <c r="AR211" s="4757"/>
      <c r="AS211" s="4757"/>
      <c r="AT211" s="4757"/>
      <c r="AU211" s="4757"/>
      <c r="AV211" s="4757"/>
      <c r="AW211" s="4757"/>
      <c r="AX211" s="4757"/>
      <c r="AY211" s="4757"/>
      <c r="AZ211" s="4758"/>
      <c r="BA211" s="4756"/>
      <c r="BB211" s="4757"/>
      <c r="BC211" s="4757"/>
      <c r="BD211" s="4757"/>
      <c r="BE211" s="4757"/>
      <c r="BF211" s="4757"/>
      <c r="BG211" s="4757"/>
      <c r="BH211" s="4757"/>
      <c r="BI211" s="4757"/>
      <c r="BJ211" s="4758"/>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38"/>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38"/>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38"/>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59" t="s">
        <v>4542</v>
      </c>
      <c r="U214" s="4760"/>
      <c r="V214" s="4760"/>
      <c r="W214" s="4760"/>
      <c r="X214" s="4760"/>
      <c r="Y214" s="4760"/>
      <c r="Z214" s="4760"/>
      <c r="AA214" s="4760"/>
      <c r="AB214" s="4760"/>
      <c r="AC214" s="4760"/>
      <c r="AD214" s="4760"/>
      <c r="AE214" s="4760"/>
      <c r="AF214" s="4760"/>
      <c r="AG214" s="4760"/>
      <c r="AH214" s="4760"/>
      <c r="AI214" s="4760"/>
      <c r="AJ214" s="4760"/>
      <c r="AK214" s="4760"/>
      <c r="AL214" s="4760"/>
      <c r="AM214" s="4760"/>
      <c r="AN214" s="4760"/>
      <c r="AO214" s="4760"/>
      <c r="AP214" s="4760"/>
      <c r="AQ214" s="4760"/>
      <c r="AR214" s="4760"/>
      <c r="AS214" s="4760"/>
      <c r="AT214" s="4760"/>
      <c r="AU214" s="4760"/>
      <c r="AV214" s="4760"/>
      <c r="AW214" s="4760"/>
      <c r="AX214" s="4760"/>
      <c r="AY214" s="4760"/>
      <c r="AZ214" s="4760"/>
      <c r="BA214" s="4760"/>
      <c r="BB214" s="4760"/>
      <c r="BC214" s="4760"/>
      <c r="BD214" s="4760"/>
      <c r="BE214" s="4760"/>
      <c r="BF214" s="4760"/>
      <c r="BG214" s="4760"/>
      <c r="BH214" s="4760"/>
      <c r="BI214" s="4760"/>
      <c r="BJ214" s="4760"/>
      <c r="BK214" s="4761"/>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38"/>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30"/>
      <c r="U215" s="4731"/>
      <c r="V215" s="3043" t="str">
        <f>IF(OR(V213=0,V213=""),"N/A",V213)</f>
        <v>N/A</v>
      </c>
      <c r="W215" s="4730" t="str">
        <f xml:space="preserve"> IF(OR(AF213=0,AF213=""),"N/A",W213)</f>
        <v>N/A</v>
      </c>
      <c r="X215" s="4732"/>
      <c r="Y215" s="4732"/>
      <c r="Z215" s="4732"/>
      <c r="AA215" s="4732"/>
      <c r="AB215" s="4732"/>
      <c r="AC215" s="4732"/>
      <c r="AD215" s="4732"/>
      <c r="AE215" s="4732"/>
      <c r="AF215" s="4731"/>
      <c r="AG215" s="4730" t="str">
        <f xml:space="preserve"> IF(OR(AP213="",AP213=0),"N/A",AG213)</f>
        <v>N/A</v>
      </c>
      <c r="AH215" s="4732"/>
      <c r="AI215" s="4732"/>
      <c r="AJ215" s="4732"/>
      <c r="AK215" s="4732"/>
      <c r="AL215" s="4732"/>
      <c r="AM215" s="4732"/>
      <c r="AN215" s="4732"/>
      <c r="AO215" s="4732"/>
      <c r="AP215" s="4731"/>
      <c r="AQ215" s="4730" t="str">
        <f xml:space="preserve"> IF(OR(AZ213="",AZ213=0),"N/A",AQ213)</f>
        <v>N/A</v>
      </c>
      <c r="AR215" s="4732"/>
      <c r="AS215" s="4732"/>
      <c r="AT215" s="4732"/>
      <c r="AU215" s="4732"/>
      <c r="AV215" s="4732"/>
      <c r="AW215" s="4732"/>
      <c r="AX215" s="4732"/>
      <c r="AY215" s="4732"/>
      <c r="AZ215" s="4731"/>
      <c r="BA215" s="4730" t="str">
        <f xml:space="preserve"> IF(OR(BJ213="",BJ213=0),"N/A",BA213)</f>
        <v>N/A</v>
      </c>
      <c r="BB215" s="4732"/>
      <c r="BC215" s="4732"/>
      <c r="BD215" s="4732"/>
      <c r="BE215" s="4732"/>
      <c r="BF215" s="4732"/>
      <c r="BG215" s="4732"/>
      <c r="BH215" s="4732"/>
      <c r="BI215" s="4732"/>
      <c r="BJ215" s="4731"/>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38"/>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33" t="s">
        <v>4544</v>
      </c>
      <c r="U216" s="4734"/>
      <c r="V216" s="3039"/>
      <c r="W216" s="4735"/>
      <c r="X216" s="4736"/>
      <c r="Y216" s="4736"/>
      <c r="Z216" s="4736"/>
      <c r="AA216" s="4736"/>
      <c r="AB216" s="4736"/>
      <c r="AC216" s="4736"/>
      <c r="AD216" s="4736"/>
      <c r="AE216" s="4736"/>
      <c r="AF216" s="4737"/>
      <c r="AG216" s="4735"/>
      <c r="AH216" s="4736"/>
      <c r="AI216" s="4736"/>
      <c r="AJ216" s="4736"/>
      <c r="AK216" s="4736"/>
      <c r="AL216" s="4736"/>
      <c r="AM216" s="4736"/>
      <c r="AN216" s="4736"/>
      <c r="AO216" s="4736"/>
      <c r="AP216" s="4737"/>
      <c r="AQ216" s="4735"/>
      <c r="AR216" s="4736"/>
      <c r="AS216" s="4736"/>
      <c r="AT216" s="4736"/>
      <c r="AU216" s="4736"/>
      <c r="AV216" s="4736"/>
      <c r="AW216" s="4736"/>
      <c r="AX216" s="4736"/>
      <c r="AY216" s="4736"/>
      <c r="AZ216" s="4737"/>
      <c r="BA216" s="4735"/>
      <c r="BB216" s="4736"/>
      <c r="BC216" s="4736"/>
      <c r="BD216" s="4736"/>
      <c r="BE216" s="4736"/>
      <c r="BF216" s="4736"/>
      <c r="BG216" s="4736"/>
      <c r="BH216" s="4736"/>
      <c r="BI216" s="4736"/>
      <c r="BJ216" s="4737"/>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38"/>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54" t="s">
        <v>4546</v>
      </c>
      <c r="U217" s="4755"/>
      <c r="V217" s="3046"/>
      <c r="W217" s="4756"/>
      <c r="X217" s="4757"/>
      <c r="Y217" s="4757"/>
      <c r="Z217" s="4757"/>
      <c r="AA217" s="4757"/>
      <c r="AB217" s="4757"/>
      <c r="AC217" s="4757"/>
      <c r="AD217" s="4757"/>
      <c r="AE217" s="4757"/>
      <c r="AF217" s="4758"/>
      <c r="AG217" s="4756"/>
      <c r="AH217" s="4757"/>
      <c r="AI217" s="4757"/>
      <c r="AJ217" s="4757"/>
      <c r="AK217" s="4757"/>
      <c r="AL217" s="4757"/>
      <c r="AM217" s="4757"/>
      <c r="AN217" s="4757"/>
      <c r="AO217" s="4757"/>
      <c r="AP217" s="4758"/>
      <c r="AQ217" s="4756"/>
      <c r="AR217" s="4757"/>
      <c r="AS217" s="4757"/>
      <c r="AT217" s="4757"/>
      <c r="AU217" s="4757"/>
      <c r="AV217" s="4757"/>
      <c r="AW217" s="4757"/>
      <c r="AX217" s="4757"/>
      <c r="AY217" s="4757"/>
      <c r="AZ217" s="4758"/>
      <c r="BA217" s="4756"/>
      <c r="BB217" s="4757"/>
      <c r="BC217" s="4757"/>
      <c r="BD217" s="4757"/>
      <c r="BE217" s="4757"/>
      <c r="BF217" s="4757"/>
      <c r="BG217" s="4757"/>
      <c r="BH217" s="4757"/>
      <c r="BI217" s="4757"/>
      <c r="BJ217" s="4758"/>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38"/>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38"/>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742"/>
      <c r="BV219" s="4742"/>
      <c r="BW219" s="4742"/>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38"/>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59" t="s">
        <v>4542</v>
      </c>
      <c r="U220" s="4760"/>
      <c r="V220" s="4760"/>
      <c r="W220" s="4760"/>
      <c r="X220" s="4760"/>
      <c r="Y220" s="4760"/>
      <c r="Z220" s="4760"/>
      <c r="AA220" s="4760"/>
      <c r="AB220" s="4760"/>
      <c r="AC220" s="4760"/>
      <c r="AD220" s="4760"/>
      <c r="AE220" s="4760"/>
      <c r="AF220" s="4760"/>
      <c r="AG220" s="4760"/>
      <c r="AH220" s="4760"/>
      <c r="AI220" s="4760"/>
      <c r="AJ220" s="4760"/>
      <c r="AK220" s="4760"/>
      <c r="AL220" s="4760"/>
      <c r="AM220" s="4760"/>
      <c r="AN220" s="4760"/>
      <c r="AO220" s="4760"/>
      <c r="AP220" s="4760"/>
      <c r="AQ220" s="4760"/>
      <c r="AR220" s="4760"/>
      <c r="AS220" s="4760"/>
      <c r="AT220" s="4760"/>
      <c r="AU220" s="4760"/>
      <c r="AV220" s="4760"/>
      <c r="AW220" s="4760"/>
      <c r="AX220" s="4760"/>
      <c r="AY220" s="4760"/>
      <c r="AZ220" s="4760"/>
      <c r="BA220" s="4760"/>
      <c r="BB220" s="4760"/>
      <c r="BC220" s="4760"/>
      <c r="BD220" s="4760"/>
      <c r="BE220" s="4760"/>
      <c r="BF220" s="4760"/>
      <c r="BG220" s="4760"/>
      <c r="BH220" s="4760"/>
      <c r="BI220" s="4760"/>
      <c r="BJ220" s="4760"/>
      <c r="BK220" s="4761"/>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38"/>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30"/>
      <c r="U221" s="4731"/>
      <c r="V221" s="3043" t="str">
        <f>IF(OR(V219=0,V219=""),"N/A",V219)</f>
        <v>N/A</v>
      </c>
      <c r="W221" s="4730" t="str">
        <f xml:space="preserve"> IF(OR(AF219=0,AF219=""),"N/A",W219)</f>
        <v>N/A</v>
      </c>
      <c r="X221" s="4732"/>
      <c r="Y221" s="4732"/>
      <c r="Z221" s="4732"/>
      <c r="AA221" s="4732"/>
      <c r="AB221" s="4732"/>
      <c r="AC221" s="4732"/>
      <c r="AD221" s="4732"/>
      <c r="AE221" s="4732"/>
      <c r="AF221" s="4731"/>
      <c r="AG221" s="4730" t="str">
        <f xml:space="preserve"> IF(OR(AP219="",AP219=0),"N/A",AG219)</f>
        <v>N/A</v>
      </c>
      <c r="AH221" s="4732"/>
      <c r="AI221" s="4732"/>
      <c r="AJ221" s="4732"/>
      <c r="AK221" s="4732"/>
      <c r="AL221" s="4732"/>
      <c r="AM221" s="4732"/>
      <c r="AN221" s="4732"/>
      <c r="AO221" s="4732"/>
      <c r="AP221" s="4731"/>
      <c r="AQ221" s="4730" t="str">
        <f xml:space="preserve"> IF(OR(AZ219="",AZ219=0),"N/A",AQ219)</f>
        <v>N/A</v>
      </c>
      <c r="AR221" s="4732"/>
      <c r="AS221" s="4732"/>
      <c r="AT221" s="4732"/>
      <c r="AU221" s="4732"/>
      <c r="AV221" s="4732"/>
      <c r="AW221" s="4732"/>
      <c r="AX221" s="4732"/>
      <c r="AY221" s="4732"/>
      <c r="AZ221" s="4731"/>
      <c r="BA221" s="4730" t="str">
        <f xml:space="preserve"> IF(OR(BJ219="",BJ219=0),"N/A",BA219)</f>
        <v>N/A</v>
      </c>
      <c r="BB221" s="4732"/>
      <c r="BC221" s="4732"/>
      <c r="BD221" s="4732"/>
      <c r="BE221" s="4732"/>
      <c r="BF221" s="4732"/>
      <c r="BG221" s="4732"/>
      <c r="BH221" s="4732"/>
      <c r="BI221" s="4732"/>
      <c r="BJ221" s="4731"/>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770"/>
      <c r="BV221" s="4770"/>
      <c r="BW221" s="4770"/>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38"/>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33" t="s">
        <v>4544</v>
      </c>
      <c r="U222" s="4734"/>
      <c r="V222" s="3039"/>
      <c r="W222" s="4735"/>
      <c r="X222" s="4736"/>
      <c r="Y222" s="4736"/>
      <c r="Z222" s="4736"/>
      <c r="AA222" s="4736"/>
      <c r="AB222" s="4736"/>
      <c r="AC222" s="4736"/>
      <c r="AD222" s="4736"/>
      <c r="AE222" s="4736"/>
      <c r="AF222" s="4737"/>
      <c r="AG222" s="4735"/>
      <c r="AH222" s="4736"/>
      <c r="AI222" s="4736"/>
      <c r="AJ222" s="4736"/>
      <c r="AK222" s="4736"/>
      <c r="AL222" s="4736"/>
      <c r="AM222" s="4736"/>
      <c r="AN222" s="4736"/>
      <c r="AO222" s="4736"/>
      <c r="AP222" s="4737"/>
      <c r="AQ222" s="4735"/>
      <c r="AR222" s="4736"/>
      <c r="AS222" s="4736"/>
      <c r="AT222" s="4736"/>
      <c r="AU222" s="4736"/>
      <c r="AV222" s="4736"/>
      <c r="AW222" s="4736"/>
      <c r="AX222" s="4736"/>
      <c r="AY222" s="4736"/>
      <c r="AZ222" s="4737"/>
      <c r="BA222" s="4735"/>
      <c r="BB222" s="4736"/>
      <c r="BC222" s="4736"/>
      <c r="BD222" s="4736"/>
      <c r="BE222" s="4736"/>
      <c r="BF222" s="4736"/>
      <c r="BG222" s="4736"/>
      <c r="BH222" s="4736"/>
      <c r="BI222" s="4736"/>
      <c r="BJ222" s="4737"/>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38"/>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48" t="s">
        <v>4546</v>
      </c>
      <c r="U223" s="4749"/>
      <c r="V223" s="3049"/>
      <c r="W223" s="4750"/>
      <c r="X223" s="4751"/>
      <c r="Y223" s="4751"/>
      <c r="Z223" s="4751"/>
      <c r="AA223" s="4751"/>
      <c r="AB223" s="4751"/>
      <c r="AC223" s="4751"/>
      <c r="AD223" s="4751"/>
      <c r="AE223" s="4751"/>
      <c r="AF223" s="4752"/>
      <c r="AG223" s="4750"/>
      <c r="AH223" s="4751"/>
      <c r="AI223" s="4751"/>
      <c r="AJ223" s="4751"/>
      <c r="AK223" s="4751"/>
      <c r="AL223" s="4751"/>
      <c r="AM223" s="4751"/>
      <c r="AN223" s="4751"/>
      <c r="AO223" s="4751"/>
      <c r="AP223" s="4752"/>
      <c r="AQ223" s="4750"/>
      <c r="AR223" s="4751"/>
      <c r="AS223" s="4751"/>
      <c r="AT223" s="4751"/>
      <c r="AU223" s="4751"/>
      <c r="AV223" s="4751"/>
      <c r="AW223" s="4751"/>
      <c r="AX223" s="4751"/>
      <c r="AY223" s="4751"/>
      <c r="AZ223" s="4752"/>
      <c r="BA223" s="4750"/>
      <c r="BB223" s="4751"/>
      <c r="BC223" s="4751"/>
      <c r="BD223" s="4751"/>
      <c r="BE223" s="4751"/>
      <c r="BF223" s="4751"/>
      <c r="BG223" s="4751"/>
      <c r="BH223" s="4751"/>
      <c r="BI223" s="4751"/>
      <c r="BJ223" s="4752"/>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38"/>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53"/>
      <c r="BL224" s="4753"/>
      <c r="BM224" s="4741"/>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740" t="s">
        <v>4555</v>
      </c>
      <c r="BU224" s="4741"/>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38"/>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43" t="str">
        <f>IF(OR(E225='Tablas Técnicas'!A$678,E225='Tablas Técnicas'!A$679,E226='Tablas Técnicas'!A$678,E226='Tablas Técnicas'!A$679,E227='Tablas Técnicas'!A$678,E227='Tablas Técnicas'!A$679),"Selecciona la atadura elemental:","")</f>
        <v/>
      </c>
      <c r="AH225" s="4744"/>
      <c r="AI225" s="4744"/>
      <c r="AJ225" s="4744"/>
      <c r="AK225" s="4744"/>
      <c r="AL225" s="4744"/>
      <c r="AM225" s="4744"/>
      <c r="AN225" s="4744"/>
      <c r="AO225" s="4744"/>
      <c r="AP225" s="4744"/>
      <c r="AQ225" s="4744"/>
      <c r="AR225" s="4744"/>
      <c r="AS225" s="4744"/>
      <c r="AT225" s="4744"/>
      <c r="AU225" s="4744"/>
      <c r="AV225" s="4744"/>
      <c r="AW225" s="4744"/>
      <c r="AX225" s="4744"/>
      <c r="AY225" s="4744"/>
      <c r="AZ225" s="4744"/>
      <c r="BA225" s="4744"/>
      <c r="BB225" s="4744"/>
      <c r="BC225" s="4744"/>
      <c r="BD225" s="4744"/>
      <c r="BE225" s="4744"/>
      <c r="BF225" s="4744"/>
      <c r="BG225" s="4744"/>
      <c r="BH225" s="4744"/>
      <c r="BI225" s="4744"/>
      <c r="BJ225" s="4744"/>
      <c r="BK225" s="4745"/>
      <c r="BL225" s="1453"/>
      <c r="BM225" s="1453"/>
      <c r="BN225" s="1018"/>
      <c r="BO225" s="1018"/>
      <c r="BP225" s="1050"/>
      <c r="BQ225" s="1018"/>
      <c r="BR225" s="1018"/>
      <c r="BS225" s="1018"/>
      <c r="BT225" s="4746">
        <f>D193</f>
        <v>1</v>
      </c>
      <c r="BU225" s="4747"/>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38"/>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38"/>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38"/>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38"/>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38"/>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64" t="s">
        <v>3338</v>
      </c>
      <c r="X230" s="4764"/>
      <c r="Y230" s="4764"/>
      <c r="Z230" s="4764"/>
      <c r="AA230" s="4764"/>
      <c r="AB230" s="4764"/>
      <c r="AC230" s="4764"/>
      <c r="AD230" s="4764"/>
      <c r="AE230" s="4764"/>
      <c r="AF230" s="4764"/>
      <c r="AG230" s="4764"/>
      <c r="AH230" s="4764"/>
      <c r="AI230" s="4764"/>
      <c r="AJ230" s="4764"/>
      <c r="AK230" s="4764"/>
      <c r="AL230" s="4764"/>
      <c r="AM230" s="4764"/>
      <c r="AN230" s="4764"/>
      <c r="AO230" s="4764"/>
      <c r="AP230" s="4764"/>
      <c r="AQ230" s="4764"/>
      <c r="AR230" s="4764"/>
      <c r="AS230" s="4764"/>
      <c r="AT230" s="4764"/>
      <c r="AU230" s="4764"/>
      <c r="AV230" s="4764"/>
      <c r="AW230" s="4764"/>
      <c r="AX230" s="4764"/>
      <c r="AY230" s="4764"/>
      <c r="AZ230" s="4764"/>
      <c r="BA230" s="4764"/>
      <c r="BB230" s="4764"/>
      <c r="BC230" s="4764"/>
      <c r="BD230" s="4764"/>
      <c r="BE230" s="4764"/>
      <c r="BF230" s="4764"/>
      <c r="BG230" s="4764"/>
      <c r="BH230" s="4764"/>
      <c r="BI230" s="4764"/>
      <c r="BJ230" s="4764"/>
      <c r="BK230" s="4764" t="s">
        <v>3339</v>
      </c>
      <c r="BL230" s="4764"/>
      <c r="BM230" s="4765"/>
      <c r="BN230" s="981" t="s">
        <v>4534</v>
      </c>
      <c r="BO230" s="981" t="s">
        <v>4535</v>
      </c>
      <c r="BP230" s="981" t="s">
        <v>4536</v>
      </c>
      <c r="BQ230" s="981" t="s">
        <v>4537</v>
      </c>
      <c r="BR230" s="981" t="s">
        <v>4538</v>
      </c>
      <c r="BS230" s="982" t="s">
        <v>4539</v>
      </c>
      <c r="BT230" s="4762" t="s">
        <v>4540</v>
      </c>
      <c r="BU230" s="4763"/>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38"/>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38"/>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762" t="s">
        <v>4541</v>
      </c>
      <c r="BU232" s="4763"/>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78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38"/>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59" t="s">
        <v>4542</v>
      </c>
      <c r="U233" s="4760"/>
      <c r="V233" s="4760"/>
      <c r="W233" s="4760"/>
      <c r="X233" s="4760"/>
      <c r="Y233" s="4760"/>
      <c r="Z233" s="4760"/>
      <c r="AA233" s="4760"/>
      <c r="AB233" s="4760"/>
      <c r="AC233" s="4760"/>
      <c r="AD233" s="4760"/>
      <c r="AE233" s="4760"/>
      <c r="AF233" s="4760"/>
      <c r="AG233" s="4760"/>
      <c r="AH233" s="4760"/>
      <c r="AI233" s="4760"/>
      <c r="AJ233" s="4760"/>
      <c r="AK233" s="4760"/>
      <c r="AL233" s="4760"/>
      <c r="AM233" s="4760"/>
      <c r="AN233" s="4760"/>
      <c r="AO233" s="4760"/>
      <c r="AP233" s="4760"/>
      <c r="AQ233" s="4760"/>
      <c r="AR233" s="4760"/>
      <c r="AS233" s="4760"/>
      <c r="AT233" s="4760"/>
      <c r="AU233" s="4760"/>
      <c r="AV233" s="4760"/>
      <c r="AW233" s="4760"/>
      <c r="AX233" s="4760"/>
      <c r="AY233" s="4760"/>
      <c r="AZ233" s="4760"/>
      <c r="BA233" s="4760"/>
      <c r="BB233" s="4760"/>
      <c r="BC233" s="4760"/>
      <c r="BD233" s="4760"/>
      <c r="BE233" s="4760"/>
      <c r="BF233" s="4760"/>
      <c r="BG233" s="4760"/>
      <c r="BH233" s="4760"/>
      <c r="BI233" s="4760"/>
      <c r="BJ233" s="4760"/>
      <c r="BK233" s="4761"/>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76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69"/>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780"/>
      <c r="DY233" s="1336"/>
      <c r="DZ233" s="951"/>
      <c r="EA233" s="1482">
        <f t="shared" si="3"/>
        <v>1</v>
      </c>
    </row>
    <row r="234" spans="1:132" x14ac:dyDescent="0.2">
      <c r="A234" s="951"/>
      <c r="B234" s="951"/>
      <c r="C234" s="4738"/>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30"/>
      <c r="U234" s="4731"/>
      <c r="V234" s="3043" t="str">
        <f>IF(OR(V232=0,V232=""),"N/A",V232)</f>
        <v>N/A</v>
      </c>
      <c r="W234" s="4730" t="str">
        <f xml:space="preserve"> IF(OR(AF232=0,AF232=""),"N/A",W232)</f>
        <v>N/A</v>
      </c>
      <c r="X234" s="4732"/>
      <c r="Y234" s="4732"/>
      <c r="Z234" s="4732"/>
      <c r="AA234" s="4732"/>
      <c r="AB234" s="4732"/>
      <c r="AC234" s="4732"/>
      <c r="AD234" s="4732"/>
      <c r="AE234" s="4732"/>
      <c r="AF234" s="4731"/>
      <c r="AG234" s="4730" t="str">
        <f xml:space="preserve"> IF(OR(AP232="",AP232=0),"N/A",AG232)</f>
        <v>N/A</v>
      </c>
      <c r="AH234" s="4732"/>
      <c r="AI234" s="4732"/>
      <c r="AJ234" s="4732"/>
      <c r="AK234" s="4732"/>
      <c r="AL234" s="4732"/>
      <c r="AM234" s="4732"/>
      <c r="AN234" s="4732"/>
      <c r="AO234" s="4732"/>
      <c r="AP234" s="4731"/>
      <c r="AQ234" s="4730" t="str">
        <f xml:space="preserve"> IF(OR(AZ232="",AZ232=0),"N/A",AQ232)</f>
        <v>N/A</v>
      </c>
      <c r="AR234" s="4732"/>
      <c r="AS234" s="4732"/>
      <c r="AT234" s="4732"/>
      <c r="AU234" s="4732"/>
      <c r="AV234" s="4732"/>
      <c r="AW234" s="4732"/>
      <c r="AX234" s="4732"/>
      <c r="AY234" s="4732"/>
      <c r="AZ234" s="4731"/>
      <c r="BA234" s="4730" t="str">
        <f xml:space="preserve"> IF(OR(BJ232="",BJ232=0),"N/A",BA232)</f>
        <v>N/A</v>
      </c>
      <c r="BB234" s="4732"/>
      <c r="BC234" s="4732"/>
      <c r="BD234" s="4732"/>
      <c r="BE234" s="4732"/>
      <c r="BF234" s="4732"/>
      <c r="BG234" s="4732"/>
      <c r="BH234" s="4732"/>
      <c r="BI234" s="4732"/>
      <c r="BJ234" s="4731"/>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780"/>
      <c r="DY234" s="1336"/>
      <c r="DZ234" s="951"/>
      <c r="EA234" s="1482">
        <f t="shared" si="3"/>
        <v>1</v>
      </c>
    </row>
    <row r="235" spans="1:132" x14ac:dyDescent="0.2">
      <c r="A235" s="951"/>
      <c r="B235" s="951"/>
      <c r="C235" s="4738"/>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33" t="s">
        <v>4544</v>
      </c>
      <c r="U235" s="4734"/>
      <c r="V235" s="3039"/>
      <c r="W235" s="4735"/>
      <c r="X235" s="4736"/>
      <c r="Y235" s="4736"/>
      <c r="Z235" s="4736"/>
      <c r="AA235" s="4736"/>
      <c r="AB235" s="4736"/>
      <c r="AC235" s="4736"/>
      <c r="AD235" s="4736"/>
      <c r="AE235" s="4736"/>
      <c r="AF235" s="4737"/>
      <c r="AG235" s="4735"/>
      <c r="AH235" s="4736"/>
      <c r="AI235" s="4736"/>
      <c r="AJ235" s="4736"/>
      <c r="AK235" s="4736"/>
      <c r="AL235" s="4736"/>
      <c r="AM235" s="4736"/>
      <c r="AN235" s="4736"/>
      <c r="AO235" s="4736"/>
      <c r="AP235" s="4737"/>
      <c r="AQ235" s="4735"/>
      <c r="AR235" s="4736"/>
      <c r="AS235" s="4736"/>
      <c r="AT235" s="4736"/>
      <c r="AU235" s="4736"/>
      <c r="AV235" s="4736"/>
      <c r="AW235" s="4736"/>
      <c r="AX235" s="4736"/>
      <c r="AY235" s="4736"/>
      <c r="AZ235" s="4737"/>
      <c r="BA235" s="4735"/>
      <c r="BB235" s="4736"/>
      <c r="BC235" s="4736"/>
      <c r="BD235" s="4736"/>
      <c r="BE235" s="4736"/>
      <c r="BF235" s="4736"/>
      <c r="BG235" s="4736"/>
      <c r="BH235" s="4736"/>
      <c r="BI235" s="4736"/>
      <c r="BJ235" s="4737"/>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762" t="s">
        <v>4545</v>
      </c>
      <c r="BU235" s="4763"/>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780"/>
      <c r="DY235" s="1336"/>
      <c r="DZ235" s="951"/>
      <c r="EA235" s="1482">
        <f t="shared" si="3"/>
        <v>1</v>
      </c>
    </row>
    <row r="236" spans="1:132" x14ac:dyDescent="0.2">
      <c r="A236" s="951"/>
      <c r="B236" s="951"/>
      <c r="C236" s="4738"/>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54" t="s">
        <v>4546</v>
      </c>
      <c r="U236" s="4755"/>
      <c r="V236" s="3046"/>
      <c r="W236" s="4756"/>
      <c r="X236" s="4757"/>
      <c r="Y236" s="4757"/>
      <c r="Z236" s="4757"/>
      <c r="AA236" s="4757"/>
      <c r="AB236" s="4757"/>
      <c r="AC236" s="4757"/>
      <c r="AD236" s="4757"/>
      <c r="AE236" s="4757"/>
      <c r="AF236" s="4758"/>
      <c r="AG236" s="4756"/>
      <c r="AH236" s="4757"/>
      <c r="AI236" s="4757"/>
      <c r="AJ236" s="4757"/>
      <c r="AK236" s="4757"/>
      <c r="AL236" s="4757"/>
      <c r="AM236" s="4757"/>
      <c r="AN236" s="4757"/>
      <c r="AO236" s="4757"/>
      <c r="AP236" s="4758"/>
      <c r="AQ236" s="4756"/>
      <c r="AR236" s="4757"/>
      <c r="AS236" s="4757"/>
      <c r="AT236" s="4757"/>
      <c r="AU236" s="4757"/>
      <c r="AV236" s="4757"/>
      <c r="AW236" s="4757"/>
      <c r="AX236" s="4757"/>
      <c r="AY236" s="4757"/>
      <c r="AZ236" s="4758"/>
      <c r="BA236" s="4756"/>
      <c r="BB236" s="4757"/>
      <c r="BC236" s="4757"/>
      <c r="BD236" s="4757"/>
      <c r="BE236" s="4757"/>
      <c r="BF236" s="4757"/>
      <c r="BG236" s="4757"/>
      <c r="BH236" s="4757"/>
      <c r="BI236" s="4757"/>
      <c r="BJ236" s="4758"/>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766" t="s">
        <v>1690</v>
      </c>
      <c r="BU236" s="4767"/>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780"/>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38"/>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762" t="s">
        <v>4547</v>
      </c>
      <c r="BU237" s="4763"/>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38"/>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766" t="s">
        <v>4527</v>
      </c>
      <c r="BU238" s="4767"/>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38"/>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59" t="s">
        <v>4542</v>
      </c>
      <c r="U239" s="4760"/>
      <c r="V239" s="4760"/>
      <c r="W239" s="4760"/>
      <c r="X239" s="4760"/>
      <c r="Y239" s="4760"/>
      <c r="Z239" s="4760"/>
      <c r="AA239" s="4760"/>
      <c r="AB239" s="4760"/>
      <c r="AC239" s="4760"/>
      <c r="AD239" s="4760"/>
      <c r="AE239" s="4760"/>
      <c r="AF239" s="4760"/>
      <c r="AG239" s="4760"/>
      <c r="AH239" s="4760"/>
      <c r="AI239" s="4760"/>
      <c r="AJ239" s="4760"/>
      <c r="AK239" s="4760"/>
      <c r="AL239" s="4760"/>
      <c r="AM239" s="4760"/>
      <c r="AN239" s="4760"/>
      <c r="AO239" s="4760"/>
      <c r="AP239" s="4760"/>
      <c r="AQ239" s="4760"/>
      <c r="AR239" s="4760"/>
      <c r="AS239" s="4760"/>
      <c r="AT239" s="4760"/>
      <c r="AU239" s="4760"/>
      <c r="AV239" s="4760"/>
      <c r="AW239" s="4760"/>
      <c r="AX239" s="4760"/>
      <c r="AY239" s="4760"/>
      <c r="AZ239" s="4760"/>
      <c r="BA239" s="4760"/>
      <c r="BB239" s="4760"/>
      <c r="BC239" s="4760"/>
      <c r="BD239" s="4760"/>
      <c r="BE239" s="4760"/>
      <c r="BF239" s="4760"/>
      <c r="BG239" s="4760"/>
      <c r="BH239" s="4760"/>
      <c r="BI239" s="4760"/>
      <c r="BJ239" s="4760"/>
      <c r="BK239" s="4761"/>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762" t="s">
        <v>4548</v>
      </c>
      <c r="BU239" s="4763"/>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38"/>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30"/>
      <c r="U240" s="4731"/>
      <c r="V240" s="3043" t="str">
        <f>IF(OR(V238=0,V238=""),"N/A",V238)</f>
        <v>N/A</v>
      </c>
      <c r="W240" s="4730" t="str">
        <f xml:space="preserve"> IF(OR(AF238=0,AF238=""),"N/A",W238)</f>
        <v>N/A</v>
      </c>
      <c r="X240" s="4732"/>
      <c r="Y240" s="4732"/>
      <c r="Z240" s="4732"/>
      <c r="AA240" s="4732"/>
      <c r="AB240" s="4732"/>
      <c r="AC240" s="4732"/>
      <c r="AD240" s="4732"/>
      <c r="AE240" s="4732"/>
      <c r="AF240" s="4731"/>
      <c r="AG240" s="4730" t="str">
        <f xml:space="preserve"> IF(OR(AP238="",AP238=0),"N/A",AG238)</f>
        <v>N/A</v>
      </c>
      <c r="AH240" s="4732"/>
      <c r="AI240" s="4732"/>
      <c r="AJ240" s="4732"/>
      <c r="AK240" s="4732"/>
      <c r="AL240" s="4732"/>
      <c r="AM240" s="4732"/>
      <c r="AN240" s="4732"/>
      <c r="AO240" s="4732"/>
      <c r="AP240" s="4731"/>
      <c r="AQ240" s="4730" t="str">
        <f xml:space="preserve"> IF(OR(AZ238="",AZ238=0),"N/A",AQ238)</f>
        <v>N/A</v>
      </c>
      <c r="AR240" s="4732"/>
      <c r="AS240" s="4732"/>
      <c r="AT240" s="4732"/>
      <c r="AU240" s="4732"/>
      <c r="AV240" s="4732"/>
      <c r="AW240" s="4732"/>
      <c r="AX240" s="4732"/>
      <c r="AY240" s="4732"/>
      <c r="AZ240" s="4731"/>
      <c r="BA240" s="4730" t="str">
        <f xml:space="preserve"> IF(OR(BJ238="",BJ238=0),"N/A",BA238)</f>
        <v>N/A</v>
      </c>
      <c r="BB240" s="4732"/>
      <c r="BC240" s="4732"/>
      <c r="BD240" s="4732"/>
      <c r="BE240" s="4732"/>
      <c r="BF240" s="4732"/>
      <c r="BG240" s="4732"/>
      <c r="BH240" s="4732"/>
      <c r="BI240" s="4732"/>
      <c r="BJ240" s="4731"/>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766" t="s">
        <v>4521</v>
      </c>
      <c r="BU240" s="4767"/>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38"/>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33" t="s">
        <v>4544</v>
      </c>
      <c r="U241" s="4734"/>
      <c r="V241" s="3039"/>
      <c r="W241" s="4735"/>
      <c r="X241" s="4736"/>
      <c r="Y241" s="4736"/>
      <c r="Z241" s="4736"/>
      <c r="AA241" s="4736"/>
      <c r="AB241" s="4736"/>
      <c r="AC241" s="4736"/>
      <c r="AD241" s="4736"/>
      <c r="AE241" s="4736"/>
      <c r="AF241" s="4737"/>
      <c r="AG241" s="4735"/>
      <c r="AH241" s="4736"/>
      <c r="AI241" s="4736"/>
      <c r="AJ241" s="4736"/>
      <c r="AK241" s="4736"/>
      <c r="AL241" s="4736"/>
      <c r="AM241" s="4736"/>
      <c r="AN241" s="4736"/>
      <c r="AO241" s="4736"/>
      <c r="AP241" s="4737"/>
      <c r="AQ241" s="4735"/>
      <c r="AR241" s="4736"/>
      <c r="AS241" s="4736"/>
      <c r="AT241" s="4736"/>
      <c r="AU241" s="4736"/>
      <c r="AV241" s="4736"/>
      <c r="AW241" s="4736"/>
      <c r="AX241" s="4736"/>
      <c r="AY241" s="4736"/>
      <c r="AZ241" s="4737"/>
      <c r="BA241" s="4735"/>
      <c r="BB241" s="4736"/>
      <c r="BC241" s="4736"/>
      <c r="BD241" s="4736"/>
      <c r="BE241" s="4736"/>
      <c r="BF241" s="4736"/>
      <c r="BG241" s="4736"/>
      <c r="BH241" s="4736"/>
      <c r="BI241" s="4736"/>
      <c r="BJ241" s="4737"/>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740" t="s">
        <v>4549</v>
      </c>
      <c r="BU241" s="4741"/>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38"/>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54" t="s">
        <v>4546</v>
      </c>
      <c r="U242" s="4755"/>
      <c r="V242" s="3046"/>
      <c r="W242" s="4756"/>
      <c r="X242" s="4757"/>
      <c r="Y242" s="4757"/>
      <c r="Z242" s="4757"/>
      <c r="AA242" s="4757"/>
      <c r="AB242" s="4757"/>
      <c r="AC242" s="4757"/>
      <c r="AD242" s="4757"/>
      <c r="AE242" s="4757"/>
      <c r="AF242" s="4758"/>
      <c r="AG242" s="4756"/>
      <c r="AH242" s="4757"/>
      <c r="AI242" s="4757"/>
      <c r="AJ242" s="4757"/>
      <c r="AK242" s="4757"/>
      <c r="AL242" s="4757"/>
      <c r="AM242" s="4757"/>
      <c r="AN242" s="4757"/>
      <c r="AO242" s="4757"/>
      <c r="AP242" s="4758"/>
      <c r="AQ242" s="4756"/>
      <c r="AR242" s="4757"/>
      <c r="AS242" s="4757"/>
      <c r="AT242" s="4757"/>
      <c r="AU242" s="4757"/>
      <c r="AV242" s="4757"/>
      <c r="AW242" s="4757"/>
      <c r="AX242" s="4757"/>
      <c r="AY242" s="4757"/>
      <c r="AZ242" s="4758"/>
      <c r="BA242" s="4756"/>
      <c r="BB242" s="4757"/>
      <c r="BC242" s="4757"/>
      <c r="BD242" s="4757"/>
      <c r="BE242" s="4757"/>
      <c r="BF242" s="4757"/>
      <c r="BG242" s="4757"/>
      <c r="BH242" s="4757"/>
      <c r="BI242" s="4757"/>
      <c r="BJ242" s="4758"/>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38"/>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38"/>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38"/>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59" t="s">
        <v>4542</v>
      </c>
      <c r="U245" s="4760"/>
      <c r="V245" s="4760"/>
      <c r="W245" s="4760"/>
      <c r="X245" s="4760"/>
      <c r="Y245" s="4760"/>
      <c r="Z245" s="4760"/>
      <c r="AA245" s="4760"/>
      <c r="AB245" s="4760"/>
      <c r="AC245" s="4760"/>
      <c r="AD245" s="4760"/>
      <c r="AE245" s="4760"/>
      <c r="AF245" s="4760"/>
      <c r="AG245" s="4760"/>
      <c r="AH245" s="4760"/>
      <c r="AI245" s="4760"/>
      <c r="AJ245" s="4760"/>
      <c r="AK245" s="4760"/>
      <c r="AL245" s="4760"/>
      <c r="AM245" s="4760"/>
      <c r="AN245" s="4760"/>
      <c r="AO245" s="4760"/>
      <c r="AP245" s="4760"/>
      <c r="AQ245" s="4760"/>
      <c r="AR245" s="4760"/>
      <c r="AS245" s="4760"/>
      <c r="AT245" s="4760"/>
      <c r="AU245" s="4760"/>
      <c r="AV245" s="4760"/>
      <c r="AW245" s="4760"/>
      <c r="AX245" s="4760"/>
      <c r="AY245" s="4760"/>
      <c r="AZ245" s="4760"/>
      <c r="BA245" s="4760"/>
      <c r="BB245" s="4760"/>
      <c r="BC245" s="4760"/>
      <c r="BD245" s="4760"/>
      <c r="BE245" s="4760"/>
      <c r="BF245" s="4760"/>
      <c r="BG245" s="4760"/>
      <c r="BH245" s="4760"/>
      <c r="BI245" s="4760"/>
      <c r="BJ245" s="4760"/>
      <c r="BK245" s="4761"/>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38"/>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30"/>
      <c r="U246" s="4731"/>
      <c r="V246" s="3043" t="str">
        <f>IF(OR(V244=0,V244=""),"N/A",V244)</f>
        <v>N/A</v>
      </c>
      <c r="W246" s="4730" t="str">
        <f xml:space="preserve"> IF(OR(AF244=0,AF244=""),"N/A",W244)</f>
        <v>N/A</v>
      </c>
      <c r="X246" s="4732"/>
      <c r="Y246" s="4732"/>
      <c r="Z246" s="4732"/>
      <c r="AA246" s="4732"/>
      <c r="AB246" s="4732"/>
      <c r="AC246" s="4732"/>
      <c r="AD246" s="4732"/>
      <c r="AE246" s="4732"/>
      <c r="AF246" s="4731"/>
      <c r="AG246" s="4730" t="str">
        <f xml:space="preserve"> IF(OR(AP244="",AP244=0),"N/A",AG244)</f>
        <v>N/A</v>
      </c>
      <c r="AH246" s="4732"/>
      <c r="AI246" s="4732"/>
      <c r="AJ246" s="4732"/>
      <c r="AK246" s="4732"/>
      <c r="AL246" s="4732"/>
      <c r="AM246" s="4732"/>
      <c r="AN246" s="4732"/>
      <c r="AO246" s="4732"/>
      <c r="AP246" s="4731"/>
      <c r="AQ246" s="4730" t="str">
        <f xml:space="preserve"> IF(OR(AZ244="",AZ244=0),"N/A",AQ244)</f>
        <v>N/A</v>
      </c>
      <c r="AR246" s="4732"/>
      <c r="AS246" s="4732"/>
      <c r="AT246" s="4732"/>
      <c r="AU246" s="4732"/>
      <c r="AV246" s="4732"/>
      <c r="AW246" s="4732"/>
      <c r="AX246" s="4732"/>
      <c r="AY246" s="4732"/>
      <c r="AZ246" s="4731"/>
      <c r="BA246" s="4730" t="str">
        <f xml:space="preserve"> IF(OR(BJ244="",BJ244=0),"N/A",BA244)</f>
        <v>N/A</v>
      </c>
      <c r="BB246" s="4732"/>
      <c r="BC246" s="4732"/>
      <c r="BD246" s="4732"/>
      <c r="BE246" s="4732"/>
      <c r="BF246" s="4732"/>
      <c r="BG246" s="4732"/>
      <c r="BH246" s="4732"/>
      <c r="BI246" s="4732"/>
      <c r="BJ246" s="4731"/>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38"/>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33" t="s">
        <v>4544</v>
      </c>
      <c r="U247" s="4734"/>
      <c r="V247" s="3039"/>
      <c r="W247" s="4735"/>
      <c r="X247" s="4736"/>
      <c r="Y247" s="4736"/>
      <c r="Z247" s="4736"/>
      <c r="AA247" s="4736"/>
      <c r="AB247" s="4736"/>
      <c r="AC247" s="4736"/>
      <c r="AD247" s="4736"/>
      <c r="AE247" s="4736"/>
      <c r="AF247" s="4737"/>
      <c r="AG247" s="4735"/>
      <c r="AH247" s="4736"/>
      <c r="AI247" s="4736"/>
      <c r="AJ247" s="4736"/>
      <c r="AK247" s="4736"/>
      <c r="AL247" s="4736"/>
      <c r="AM247" s="4736"/>
      <c r="AN247" s="4736"/>
      <c r="AO247" s="4736"/>
      <c r="AP247" s="4737"/>
      <c r="AQ247" s="4735"/>
      <c r="AR247" s="4736"/>
      <c r="AS247" s="4736"/>
      <c r="AT247" s="4736"/>
      <c r="AU247" s="4736"/>
      <c r="AV247" s="4736"/>
      <c r="AW247" s="4736"/>
      <c r="AX247" s="4736"/>
      <c r="AY247" s="4736"/>
      <c r="AZ247" s="4737"/>
      <c r="BA247" s="4735"/>
      <c r="BB247" s="4736"/>
      <c r="BC247" s="4736"/>
      <c r="BD247" s="4736"/>
      <c r="BE247" s="4736"/>
      <c r="BF247" s="4736"/>
      <c r="BG247" s="4736"/>
      <c r="BH247" s="4736"/>
      <c r="BI247" s="4736"/>
      <c r="BJ247" s="4737"/>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38"/>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54" t="s">
        <v>4546</v>
      </c>
      <c r="U248" s="4755"/>
      <c r="V248" s="3046"/>
      <c r="W248" s="4756"/>
      <c r="X248" s="4757"/>
      <c r="Y248" s="4757"/>
      <c r="Z248" s="4757"/>
      <c r="AA248" s="4757"/>
      <c r="AB248" s="4757"/>
      <c r="AC248" s="4757"/>
      <c r="AD248" s="4757"/>
      <c r="AE248" s="4757"/>
      <c r="AF248" s="4758"/>
      <c r="AG248" s="4756"/>
      <c r="AH248" s="4757"/>
      <c r="AI248" s="4757"/>
      <c r="AJ248" s="4757"/>
      <c r="AK248" s="4757"/>
      <c r="AL248" s="4757"/>
      <c r="AM248" s="4757"/>
      <c r="AN248" s="4757"/>
      <c r="AO248" s="4757"/>
      <c r="AP248" s="4758"/>
      <c r="AQ248" s="4756"/>
      <c r="AR248" s="4757"/>
      <c r="AS248" s="4757"/>
      <c r="AT248" s="4757"/>
      <c r="AU248" s="4757"/>
      <c r="AV248" s="4757"/>
      <c r="AW248" s="4757"/>
      <c r="AX248" s="4757"/>
      <c r="AY248" s="4757"/>
      <c r="AZ248" s="4758"/>
      <c r="BA248" s="4756"/>
      <c r="BB248" s="4757"/>
      <c r="BC248" s="4757"/>
      <c r="BD248" s="4757"/>
      <c r="BE248" s="4757"/>
      <c r="BF248" s="4757"/>
      <c r="BG248" s="4757"/>
      <c r="BH248" s="4757"/>
      <c r="BI248" s="4757"/>
      <c r="BJ248" s="4758"/>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38"/>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38"/>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38"/>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59" t="s">
        <v>4542</v>
      </c>
      <c r="U251" s="4760"/>
      <c r="V251" s="4760"/>
      <c r="W251" s="4760"/>
      <c r="X251" s="4760"/>
      <c r="Y251" s="4760"/>
      <c r="Z251" s="4760"/>
      <c r="AA251" s="4760"/>
      <c r="AB251" s="4760"/>
      <c r="AC251" s="4760"/>
      <c r="AD251" s="4760"/>
      <c r="AE251" s="4760"/>
      <c r="AF251" s="4760"/>
      <c r="AG251" s="4760"/>
      <c r="AH251" s="4760"/>
      <c r="AI251" s="4760"/>
      <c r="AJ251" s="4760"/>
      <c r="AK251" s="4760"/>
      <c r="AL251" s="4760"/>
      <c r="AM251" s="4760"/>
      <c r="AN251" s="4760"/>
      <c r="AO251" s="4760"/>
      <c r="AP251" s="4760"/>
      <c r="AQ251" s="4760"/>
      <c r="AR251" s="4760"/>
      <c r="AS251" s="4760"/>
      <c r="AT251" s="4760"/>
      <c r="AU251" s="4760"/>
      <c r="AV251" s="4760"/>
      <c r="AW251" s="4760"/>
      <c r="AX251" s="4760"/>
      <c r="AY251" s="4760"/>
      <c r="AZ251" s="4760"/>
      <c r="BA251" s="4760"/>
      <c r="BB251" s="4760"/>
      <c r="BC251" s="4760"/>
      <c r="BD251" s="4760"/>
      <c r="BE251" s="4760"/>
      <c r="BF251" s="4760"/>
      <c r="BG251" s="4760"/>
      <c r="BH251" s="4760"/>
      <c r="BI251" s="4760"/>
      <c r="BJ251" s="4760"/>
      <c r="BK251" s="4761"/>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38"/>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30"/>
      <c r="U252" s="4731"/>
      <c r="V252" s="3043" t="str">
        <f>IF(OR(V250=0,V250=""),"N/A",V250)</f>
        <v>N/A</v>
      </c>
      <c r="W252" s="4730" t="str">
        <f xml:space="preserve"> IF(OR(AF250=0,AF250=""),"N/A",W250)</f>
        <v>N/A</v>
      </c>
      <c r="X252" s="4732"/>
      <c r="Y252" s="4732"/>
      <c r="Z252" s="4732"/>
      <c r="AA252" s="4732"/>
      <c r="AB252" s="4732"/>
      <c r="AC252" s="4732"/>
      <c r="AD252" s="4732"/>
      <c r="AE252" s="4732"/>
      <c r="AF252" s="4731"/>
      <c r="AG252" s="4730" t="str">
        <f xml:space="preserve"> IF(OR(AP250="",AP250=0),"N/A",AG250)</f>
        <v>N/A</v>
      </c>
      <c r="AH252" s="4732"/>
      <c r="AI252" s="4732"/>
      <c r="AJ252" s="4732"/>
      <c r="AK252" s="4732"/>
      <c r="AL252" s="4732"/>
      <c r="AM252" s="4732"/>
      <c r="AN252" s="4732"/>
      <c r="AO252" s="4732"/>
      <c r="AP252" s="4731"/>
      <c r="AQ252" s="4730" t="str">
        <f xml:space="preserve"> IF(OR(AZ250="",AZ250=0),"N/A",AQ250)</f>
        <v>N/A</v>
      </c>
      <c r="AR252" s="4732"/>
      <c r="AS252" s="4732"/>
      <c r="AT252" s="4732"/>
      <c r="AU252" s="4732"/>
      <c r="AV252" s="4732"/>
      <c r="AW252" s="4732"/>
      <c r="AX252" s="4732"/>
      <c r="AY252" s="4732"/>
      <c r="AZ252" s="4731"/>
      <c r="BA252" s="4730" t="str">
        <f xml:space="preserve"> IF(OR(BJ250="",BJ250=0),"N/A",BA250)</f>
        <v>N/A</v>
      </c>
      <c r="BB252" s="4732"/>
      <c r="BC252" s="4732"/>
      <c r="BD252" s="4732"/>
      <c r="BE252" s="4732"/>
      <c r="BF252" s="4732"/>
      <c r="BG252" s="4732"/>
      <c r="BH252" s="4732"/>
      <c r="BI252" s="4732"/>
      <c r="BJ252" s="4731"/>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38"/>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33" t="s">
        <v>4544</v>
      </c>
      <c r="U253" s="4734"/>
      <c r="V253" s="3039"/>
      <c r="W253" s="4735"/>
      <c r="X253" s="4736"/>
      <c r="Y253" s="4736"/>
      <c r="Z253" s="4736"/>
      <c r="AA253" s="4736"/>
      <c r="AB253" s="4736"/>
      <c r="AC253" s="4736"/>
      <c r="AD253" s="4736"/>
      <c r="AE253" s="4736"/>
      <c r="AF253" s="4737"/>
      <c r="AG253" s="4735"/>
      <c r="AH253" s="4736"/>
      <c r="AI253" s="4736"/>
      <c r="AJ253" s="4736"/>
      <c r="AK253" s="4736"/>
      <c r="AL253" s="4736"/>
      <c r="AM253" s="4736"/>
      <c r="AN253" s="4736"/>
      <c r="AO253" s="4736"/>
      <c r="AP253" s="4737"/>
      <c r="AQ253" s="4735"/>
      <c r="AR253" s="4736"/>
      <c r="AS253" s="4736"/>
      <c r="AT253" s="4736"/>
      <c r="AU253" s="4736"/>
      <c r="AV253" s="4736"/>
      <c r="AW253" s="4736"/>
      <c r="AX253" s="4736"/>
      <c r="AY253" s="4736"/>
      <c r="AZ253" s="4737"/>
      <c r="BA253" s="4735"/>
      <c r="BB253" s="4736"/>
      <c r="BC253" s="4736"/>
      <c r="BD253" s="4736"/>
      <c r="BE253" s="4736"/>
      <c r="BF253" s="4736"/>
      <c r="BG253" s="4736"/>
      <c r="BH253" s="4736"/>
      <c r="BI253" s="4736"/>
      <c r="BJ253" s="4737"/>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38"/>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54" t="s">
        <v>4546</v>
      </c>
      <c r="U254" s="4755"/>
      <c r="V254" s="3046"/>
      <c r="W254" s="4756"/>
      <c r="X254" s="4757"/>
      <c r="Y254" s="4757"/>
      <c r="Z254" s="4757"/>
      <c r="AA254" s="4757"/>
      <c r="AB254" s="4757"/>
      <c r="AC254" s="4757"/>
      <c r="AD254" s="4757"/>
      <c r="AE254" s="4757"/>
      <c r="AF254" s="4758"/>
      <c r="AG254" s="4756"/>
      <c r="AH254" s="4757"/>
      <c r="AI254" s="4757"/>
      <c r="AJ254" s="4757"/>
      <c r="AK254" s="4757"/>
      <c r="AL254" s="4757"/>
      <c r="AM254" s="4757"/>
      <c r="AN254" s="4757"/>
      <c r="AO254" s="4757"/>
      <c r="AP254" s="4758"/>
      <c r="AQ254" s="4756"/>
      <c r="AR254" s="4757"/>
      <c r="AS254" s="4757"/>
      <c r="AT254" s="4757"/>
      <c r="AU254" s="4757"/>
      <c r="AV254" s="4757"/>
      <c r="AW254" s="4757"/>
      <c r="AX254" s="4757"/>
      <c r="AY254" s="4757"/>
      <c r="AZ254" s="4758"/>
      <c r="BA254" s="4756"/>
      <c r="BB254" s="4757"/>
      <c r="BC254" s="4757"/>
      <c r="BD254" s="4757"/>
      <c r="BE254" s="4757"/>
      <c r="BF254" s="4757"/>
      <c r="BG254" s="4757"/>
      <c r="BH254" s="4757"/>
      <c r="BI254" s="4757"/>
      <c r="BJ254" s="4758"/>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38"/>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38"/>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742"/>
      <c r="BV256" s="4742"/>
      <c r="BW256" s="4742"/>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38"/>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59" t="s">
        <v>4542</v>
      </c>
      <c r="U257" s="4760"/>
      <c r="V257" s="4760"/>
      <c r="W257" s="4760"/>
      <c r="X257" s="4760"/>
      <c r="Y257" s="4760"/>
      <c r="Z257" s="4760"/>
      <c r="AA257" s="4760"/>
      <c r="AB257" s="4760"/>
      <c r="AC257" s="4760"/>
      <c r="AD257" s="4760"/>
      <c r="AE257" s="4760"/>
      <c r="AF257" s="4760"/>
      <c r="AG257" s="4760"/>
      <c r="AH257" s="4760"/>
      <c r="AI257" s="4760"/>
      <c r="AJ257" s="4760"/>
      <c r="AK257" s="4760"/>
      <c r="AL257" s="4760"/>
      <c r="AM257" s="4760"/>
      <c r="AN257" s="4760"/>
      <c r="AO257" s="4760"/>
      <c r="AP257" s="4760"/>
      <c r="AQ257" s="4760"/>
      <c r="AR257" s="4760"/>
      <c r="AS257" s="4760"/>
      <c r="AT257" s="4760"/>
      <c r="AU257" s="4760"/>
      <c r="AV257" s="4760"/>
      <c r="AW257" s="4760"/>
      <c r="AX257" s="4760"/>
      <c r="AY257" s="4760"/>
      <c r="AZ257" s="4760"/>
      <c r="BA257" s="4760"/>
      <c r="BB257" s="4760"/>
      <c r="BC257" s="4760"/>
      <c r="BD257" s="4760"/>
      <c r="BE257" s="4760"/>
      <c r="BF257" s="4760"/>
      <c r="BG257" s="4760"/>
      <c r="BH257" s="4760"/>
      <c r="BI257" s="4760"/>
      <c r="BJ257" s="4760"/>
      <c r="BK257" s="4761"/>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38"/>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30"/>
      <c r="U258" s="4731"/>
      <c r="V258" s="3043" t="str">
        <f>IF(OR(V256=0,V256=""),"N/A",V256)</f>
        <v>N/A</v>
      </c>
      <c r="W258" s="4730" t="str">
        <f xml:space="preserve"> IF(OR(AF256=0,AF256=""),"N/A",W256)</f>
        <v>N/A</v>
      </c>
      <c r="X258" s="4732"/>
      <c r="Y258" s="4732"/>
      <c r="Z258" s="4732"/>
      <c r="AA258" s="4732"/>
      <c r="AB258" s="4732"/>
      <c r="AC258" s="4732"/>
      <c r="AD258" s="4732"/>
      <c r="AE258" s="4732"/>
      <c r="AF258" s="4731"/>
      <c r="AG258" s="4730" t="str">
        <f xml:space="preserve"> IF(OR(AP256="",AP256=0),"N/A",AG256)</f>
        <v>N/A</v>
      </c>
      <c r="AH258" s="4732"/>
      <c r="AI258" s="4732"/>
      <c r="AJ258" s="4732"/>
      <c r="AK258" s="4732"/>
      <c r="AL258" s="4732"/>
      <c r="AM258" s="4732"/>
      <c r="AN258" s="4732"/>
      <c r="AO258" s="4732"/>
      <c r="AP258" s="4731"/>
      <c r="AQ258" s="4730" t="str">
        <f xml:space="preserve"> IF(OR(AZ256="",AZ256=0),"N/A",AQ256)</f>
        <v>N/A</v>
      </c>
      <c r="AR258" s="4732"/>
      <c r="AS258" s="4732"/>
      <c r="AT258" s="4732"/>
      <c r="AU258" s="4732"/>
      <c r="AV258" s="4732"/>
      <c r="AW258" s="4732"/>
      <c r="AX258" s="4732"/>
      <c r="AY258" s="4732"/>
      <c r="AZ258" s="4731"/>
      <c r="BA258" s="4730" t="str">
        <f xml:space="preserve"> IF(OR(BJ256="",BJ256=0),"N/A",BA256)</f>
        <v>N/A</v>
      </c>
      <c r="BB258" s="4732"/>
      <c r="BC258" s="4732"/>
      <c r="BD258" s="4732"/>
      <c r="BE258" s="4732"/>
      <c r="BF258" s="4732"/>
      <c r="BG258" s="4732"/>
      <c r="BH258" s="4732"/>
      <c r="BI258" s="4732"/>
      <c r="BJ258" s="4731"/>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770"/>
      <c r="BV258" s="4770"/>
      <c r="BW258" s="4770"/>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38"/>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33" t="s">
        <v>4544</v>
      </c>
      <c r="U259" s="4734"/>
      <c r="V259" s="3039"/>
      <c r="W259" s="4735"/>
      <c r="X259" s="4736"/>
      <c r="Y259" s="4736"/>
      <c r="Z259" s="4736"/>
      <c r="AA259" s="4736"/>
      <c r="AB259" s="4736"/>
      <c r="AC259" s="4736"/>
      <c r="AD259" s="4736"/>
      <c r="AE259" s="4736"/>
      <c r="AF259" s="4737"/>
      <c r="AG259" s="4735"/>
      <c r="AH259" s="4736"/>
      <c r="AI259" s="4736"/>
      <c r="AJ259" s="4736"/>
      <c r="AK259" s="4736"/>
      <c r="AL259" s="4736"/>
      <c r="AM259" s="4736"/>
      <c r="AN259" s="4736"/>
      <c r="AO259" s="4736"/>
      <c r="AP259" s="4737"/>
      <c r="AQ259" s="4735"/>
      <c r="AR259" s="4736"/>
      <c r="AS259" s="4736"/>
      <c r="AT259" s="4736"/>
      <c r="AU259" s="4736"/>
      <c r="AV259" s="4736"/>
      <c r="AW259" s="4736"/>
      <c r="AX259" s="4736"/>
      <c r="AY259" s="4736"/>
      <c r="AZ259" s="4737"/>
      <c r="BA259" s="4735"/>
      <c r="BB259" s="4736"/>
      <c r="BC259" s="4736"/>
      <c r="BD259" s="4736"/>
      <c r="BE259" s="4736"/>
      <c r="BF259" s="4736"/>
      <c r="BG259" s="4736"/>
      <c r="BH259" s="4736"/>
      <c r="BI259" s="4736"/>
      <c r="BJ259" s="4737"/>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38"/>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48" t="s">
        <v>4546</v>
      </c>
      <c r="U260" s="4749"/>
      <c r="V260" s="3049"/>
      <c r="W260" s="4750"/>
      <c r="X260" s="4751"/>
      <c r="Y260" s="4751"/>
      <c r="Z260" s="4751"/>
      <c r="AA260" s="4751"/>
      <c r="AB260" s="4751"/>
      <c r="AC260" s="4751"/>
      <c r="AD260" s="4751"/>
      <c r="AE260" s="4751"/>
      <c r="AF260" s="4752"/>
      <c r="AG260" s="4750"/>
      <c r="AH260" s="4751"/>
      <c r="AI260" s="4751"/>
      <c r="AJ260" s="4751"/>
      <c r="AK260" s="4751"/>
      <c r="AL260" s="4751"/>
      <c r="AM260" s="4751"/>
      <c r="AN260" s="4751"/>
      <c r="AO260" s="4751"/>
      <c r="AP260" s="4752"/>
      <c r="AQ260" s="4750"/>
      <c r="AR260" s="4751"/>
      <c r="AS260" s="4751"/>
      <c r="AT260" s="4751"/>
      <c r="AU260" s="4751"/>
      <c r="AV260" s="4751"/>
      <c r="AW260" s="4751"/>
      <c r="AX260" s="4751"/>
      <c r="AY260" s="4751"/>
      <c r="AZ260" s="4752"/>
      <c r="BA260" s="4750"/>
      <c r="BB260" s="4751"/>
      <c r="BC260" s="4751"/>
      <c r="BD260" s="4751"/>
      <c r="BE260" s="4751"/>
      <c r="BF260" s="4751"/>
      <c r="BG260" s="4751"/>
      <c r="BH260" s="4751"/>
      <c r="BI260" s="4751"/>
      <c r="BJ260" s="4752"/>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38"/>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53"/>
      <c r="BL261" s="4753"/>
      <c r="BM261" s="4741"/>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740" t="s">
        <v>4555</v>
      </c>
      <c r="BU261" s="4741"/>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38"/>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43" t="str">
        <f>IF(OR(E262='Tablas Técnicas'!A$678,E262='Tablas Técnicas'!A$679,E263='Tablas Técnicas'!A$678,E263='Tablas Técnicas'!A$679,E264='Tablas Técnicas'!A$678,E264='Tablas Técnicas'!A$679),"Selecciona la atadura elemental:","")</f>
        <v/>
      </c>
      <c r="AH262" s="4744"/>
      <c r="AI262" s="4744"/>
      <c r="AJ262" s="4744"/>
      <c r="AK262" s="4744"/>
      <c r="AL262" s="4744"/>
      <c r="AM262" s="4744"/>
      <c r="AN262" s="4744"/>
      <c r="AO262" s="4744"/>
      <c r="AP262" s="4744"/>
      <c r="AQ262" s="4744"/>
      <c r="AR262" s="4744"/>
      <c r="AS262" s="4744"/>
      <c r="AT262" s="4744"/>
      <c r="AU262" s="4744"/>
      <c r="AV262" s="4744"/>
      <c r="AW262" s="4744"/>
      <c r="AX262" s="4744"/>
      <c r="AY262" s="4744"/>
      <c r="AZ262" s="4744"/>
      <c r="BA262" s="4744"/>
      <c r="BB262" s="4744"/>
      <c r="BC262" s="4744"/>
      <c r="BD262" s="4744"/>
      <c r="BE262" s="4744"/>
      <c r="BF262" s="4744"/>
      <c r="BG262" s="4744"/>
      <c r="BH262" s="4744"/>
      <c r="BI262" s="4744"/>
      <c r="BJ262" s="4744"/>
      <c r="BK262" s="4745"/>
      <c r="BL262" s="1453"/>
      <c r="BM262" s="1453"/>
      <c r="BN262" s="1018"/>
      <c r="BO262" s="1018"/>
      <c r="BP262" s="1050"/>
      <c r="BQ262" s="1018"/>
      <c r="BR262" s="1018"/>
      <c r="BS262" s="1018"/>
      <c r="BT262" s="4746">
        <f>D230</f>
        <v>1</v>
      </c>
      <c r="BU262" s="4747"/>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38"/>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38"/>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38"/>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38"/>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38"/>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64" t="s">
        <v>3338</v>
      </c>
      <c r="X267" s="4764"/>
      <c r="Y267" s="4764"/>
      <c r="Z267" s="4764"/>
      <c r="AA267" s="4764"/>
      <c r="AB267" s="4764"/>
      <c r="AC267" s="4764"/>
      <c r="AD267" s="4764"/>
      <c r="AE267" s="4764"/>
      <c r="AF267" s="4764"/>
      <c r="AG267" s="4764"/>
      <c r="AH267" s="4764"/>
      <c r="AI267" s="4764"/>
      <c r="AJ267" s="4764"/>
      <c r="AK267" s="4764"/>
      <c r="AL267" s="4764"/>
      <c r="AM267" s="4764"/>
      <c r="AN267" s="4764"/>
      <c r="AO267" s="4764"/>
      <c r="AP267" s="4764"/>
      <c r="AQ267" s="4764"/>
      <c r="AR267" s="4764"/>
      <c r="AS267" s="4764"/>
      <c r="AT267" s="4764"/>
      <c r="AU267" s="4764"/>
      <c r="AV267" s="4764"/>
      <c r="AW267" s="4764"/>
      <c r="AX267" s="4764"/>
      <c r="AY267" s="4764"/>
      <c r="AZ267" s="4764"/>
      <c r="BA267" s="4764"/>
      <c r="BB267" s="4764"/>
      <c r="BC267" s="4764"/>
      <c r="BD267" s="4764"/>
      <c r="BE267" s="4764"/>
      <c r="BF267" s="4764"/>
      <c r="BG267" s="4764"/>
      <c r="BH267" s="4764"/>
      <c r="BI267" s="4764"/>
      <c r="BJ267" s="4764"/>
      <c r="BK267" s="4764" t="s">
        <v>3339</v>
      </c>
      <c r="BL267" s="4764"/>
      <c r="BM267" s="4765"/>
      <c r="BN267" s="981" t="s">
        <v>4534</v>
      </c>
      <c r="BO267" s="981" t="s">
        <v>4535</v>
      </c>
      <c r="BP267" s="981" t="s">
        <v>4536</v>
      </c>
      <c r="BQ267" s="981" t="s">
        <v>4537</v>
      </c>
      <c r="BR267" s="981" t="s">
        <v>4538</v>
      </c>
      <c r="BS267" s="982" t="s">
        <v>4539</v>
      </c>
      <c r="BT267" s="4762" t="s">
        <v>4540</v>
      </c>
      <c r="BU267" s="4763"/>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38"/>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38"/>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762" t="s">
        <v>4541</v>
      </c>
      <c r="BU269" s="4763"/>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78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38"/>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59" t="s">
        <v>4542</v>
      </c>
      <c r="U270" s="4760"/>
      <c r="V270" s="4760"/>
      <c r="W270" s="4760"/>
      <c r="X270" s="4760"/>
      <c r="Y270" s="4760"/>
      <c r="Z270" s="4760"/>
      <c r="AA270" s="4760"/>
      <c r="AB270" s="4760"/>
      <c r="AC270" s="4760"/>
      <c r="AD270" s="4760"/>
      <c r="AE270" s="4760"/>
      <c r="AF270" s="4760"/>
      <c r="AG270" s="4760"/>
      <c r="AH270" s="4760"/>
      <c r="AI270" s="4760"/>
      <c r="AJ270" s="4760"/>
      <c r="AK270" s="4760"/>
      <c r="AL270" s="4760"/>
      <c r="AM270" s="4760"/>
      <c r="AN270" s="4760"/>
      <c r="AO270" s="4760"/>
      <c r="AP270" s="4760"/>
      <c r="AQ270" s="4760"/>
      <c r="AR270" s="4760"/>
      <c r="AS270" s="4760"/>
      <c r="AT270" s="4760"/>
      <c r="AU270" s="4760"/>
      <c r="AV270" s="4760"/>
      <c r="AW270" s="4760"/>
      <c r="AX270" s="4760"/>
      <c r="AY270" s="4760"/>
      <c r="AZ270" s="4760"/>
      <c r="BA270" s="4760"/>
      <c r="BB270" s="4760"/>
      <c r="BC270" s="4760"/>
      <c r="BD270" s="4760"/>
      <c r="BE270" s="4760"/>
      <c r="BF270" s="4760"/>
      <c r="BG270" s="4760"/>
      <c r="BH270" s="4760"/>
      <c r="BI270" s="4760"/>
      <c r="BJ270" s="4760"/>
      <c r="BK270" s="4761"/>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76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69"/>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780"/>
      <c r="DY270" s="1336"/>
      <c r="DZ270" s="951"/>
      <c r="EA270" s="1482">
        <f t="shared" si="4"/>
        <v>1</v>
      </c>
    </row>
    <row r="271" spans="1:132" x14ac:dyDescent="0.2">
      <c r="A271" s="951"/>
      <c r="B271" s="951"/>
      <c r="C271" s="4738"/>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30"/>
      <c r="U271" s="4731"/>
      <c r="V271" s="3043" t="str">
        <f>IF(OR(V269=0,V269=""),"N/A",V269)</f>
        <v>N/A</v>
      </c>
      <c r="W271" s="4730" t="str">
        <f xml:space="preserve"> IF(OR(AF269=0,AF269=""),"N/A",W269)</f>
        <v>N/A</v>
      </c>
      <c r="X271" s="4732"/>
      <c r="Y271" s="4732"/>
      <c r="Z271" s="4732"/>
      <c r="AA271" s="4732"/>
      <c r="AB271" s="4732"/>
      <c r="AC271" s="4732"/>
      <c r="AD271" s="4732"/>
      <c r="AE271" s="4732"/>
      <c r="AF271" s="4731"/>
      <c r="AG271" s="4730" t="str">
        <f xml:space="preserve"> IF(OR(AP269="",AP269=0),"N/A",AG269)</f>
        <v>N/A</v>
      </c>
      <c r="AH271" s="4732"/>
      <c r="AI271" s="4732"/>
      <c r="AJ271" s="4732"/>
      <c r="AK271" s="4732"/>
      <c r="AL271" s="4732"/>
      <c r="AM271" s="4732"/>
      <c r="AN271" s="4732"/>
      <c r="AO271" s="4732"/>
      <c r="AP271" s="4731"/>
      <c r="AQ271" s="4730" t="str">
        <f xml:space="preserve"> IF(OR(AZ269="",AZ269=0),"N/A",AQ269)</f>
        <v>N/A</v>
      </c>
      <c r="AR271" s="4732"/>
      <c r="AS271" s="4732"/>
      <c r="AT271" s="4732"/>
      <c r="AU271" s="4732"/>
      <c r="AV271" s="4732"/>
      <c r="AW271" s="4732"/>
      <c r="AX271" s="4732"/>
      <c r="AY271" s="4732"/>
      <c r="AZ271" s="4731"/>
      <c r="BA271" s="4730" t="str">
        <f xml:space="preserve"> IF(OR(BJ269="",BJ269=0),"N/A",BA269)</f>
        <v>N/A</v>
      </c>
      <c r="BB271" s="4732"/>
      <c r="BC271" s="4732"/>
      <c r="BD271" s="4732"/>
      <c r="BE271" s="4732"/>
      <c r="BF271" s="4732"/>
      <c r="BG271" s="4732"/>
      <c r="BH271" s="4732"/>
      <c r="BI271" s="4732"/>
      <c r="BJ271" s="4731"/>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780"/>
      <c r="DY271" s="1336"/>
      <c r="DZ271" s="951"/>
      <c r="EA271" s="1482">
        <f t="shared" si="4"/>
        <v>1</v>
      </c>
    </row>
    <row r="272" spans="1:132" x14ac:dyDescent="0.2">
      <c r="A272" s="951"/>
      <c r="B272" s="951"/>
      <c r="C272" s="4738"/>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33" t="s">
        <v>4544</v>
      </c>
      <c r="U272" s="4734"/>
      <c r="V272" s="3039"/>
      <c r="W272" s="4735"/>
      <c r="X272" s="4736"/>
      <c r="Y272" s="4736"/>
      <c r="Z272" s="4736"/>
      <c r="AA272" s="4736"/>
      <c r="AB272" s="4736"/>
      <c r="AC272" s="4736"/>
      <c r="AD272" s="4736"/>
      <c r="AE272" s="4736"/>
      <c r="AF272" s="4737"/>
      <c r="AG272" s="4735"/>
      <c r="AH272" s="4736"/>
      <c r="AI272" s="4736"/>
      <c r="AJ272" s="4736"/>
      <c r="AK272" s="4736"/>
      <c r="AL272" s="4736"/>
      <c r="AM272" s="4736"/>
      <c r="AN272" s="4736"/>
      <c r="AO272" s="4736"/>
      <c r="AP272" s="4737"/>
      <c r="AQ272" s="4735"/>
      <c r="AR272" s="4736"/>
      <c r="AS272" s="4736"/>
      <c r="AT272" s="4736"/>
      <c r="AU272" s="4736"/>
      <c r="AV272" s="4736"/>
      <c r="AW272" s="4736"/>
      <c r="AX272" s="4736"/>
      <c r="AY272" s="4736"/>
      <c r="AZ272" s="4737"/>
      <c r="BA272" s="4735"/>
      <c r="BB272" s="4736"/>
      <c r="BC272" s="4736"/>
      <c r="BD272" s="4736"/>
      <c r="BE272" s="4736"/>
      <c r="BF272" s="4736"/>
      <c r="BG272" s="4736"/>
      <c r="BH272" s="4736"/>
      <c r="BI272" s="4736"/>
      <c r="BJ272" s="4737"/>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762" t="s">
        <v>4545</v>
      </c>
      <c r="BU272" s="4763"/>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780"/>
      <c r="DY272" s="1336"/>
      <c r="DZ272" s="951"/>
      <c r="EA272" s="1482">
        <f t="shared" si="4"/>
        <v>1</v>
      </c>
    </row>
    <row r="273" spans="1:131" x14ac:dyDescent="0.2">
      <c r="A273" s="951"/>
      <c r="B273" s="951"/>
      <c r="C273" s="4738"/>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54" t="s">
        <v>4546</v>
      </c>
      <c r="U273" s="4755"/>
      <c r="V273" s="3046"/>
      <c r="W273" s="4756"/>
      <c r="X273" s="4757"/>
      <c r="Y273" s="4757"/>
      <c r="Z273" s="4757"/>
      <c r="AA273" s="4757"/>
      <c r="AB273" s="4757"/>
      <c r="AC273" s="4757"/>
      <c r="AD273" s="4757"/>
      <c r="AE273" s="4757"/>
      <c r="AF273" s="4758"/>
      <c r="AG273" s="4756"/>
      <c r="AH273" s="4757"/>
      <c r="AI273" s="4757"/>
      <c r="AJ273" s="4757"/>
      <c r="AK273" s="4757"/>
      <c r="AL273" s="4757"/>
      <c r="AM273" s="4757"/>
      <c r="AN273" s="4757"/>
      <c r="AO273" s="4757"/>
      <c r="AP273" s="4758"/>
      <c r="AQ273" s="4756"/>
      <c r="AR273" s="4757"/>
      <c r="AS273" s="4757"/>
      <c r="AT273" s="4757"/>
      <c r="AU273" s="4757"/>
      <c r="AV273" s="4757"/>
      <c r="AW273" s="4757"/>
      <c r="AX273" s="4757"/>
      <c r="AY273" s="4757"/>
      <c r="AZ273" s="4758"/>
      <c r="BA273" s="4756"/>
      <c r="BB273" s="4757"/>
      <c r="BC273" s="4757"/>
      <c r="BD273" s="4757"/>
      <c r="BE273" s="4757"/>
      <c r="BF273" s="4757"/>
      <c r="BG273" s="4757"/>
      <c r="BH273" s="4757"/>
      <c r="BI273" s="4757"/>
      <c r="BJ273" s="4758"/>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766" t="s">
        <v>1690</v>
      </c>
      <c r="BU273" s="4767"/>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780"/>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38"/>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762" t="s">
        <v>4547</v>
      </c>
      <c r="BU274" s="4763"/>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38"/>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766" t="s">
        <v>4527</v>
      </c>
      <c r="BU275" s="4767"/>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38"/>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59" t="s">
        <v>4542</v>
      </c>
      <c r="U276" s="4760"/>
      <c r="V276" s="4760"/>
      <c r="W276" s="4760"/>
      <c r="X276" s="4760"/>
      <c r="Y276" s="4760"/>
      <c r="Z276" s="4760"/>
      <c r="AA276" s="4760"/>
      <c r="AB276" s="4760"/>
      <c r="AC276" s="4760"/>
      <c r="AD276" s="4760"/>
      <c r="AE276" s="4760"/>
      <c r="AF276" s="4760"/>
      <c r="AG276" s="4760"/>
      <c r="AH276" s="4760"/>
      <c r="AI276" s="4760"/>
      <c r="AJ276" s="4760"/>
      <c r="AK276" s="4760"/>
      <c r="AL276" s="4760"/>
      <c r="AM276" s="4760"/>
      <c r="AN276" s="4760"/>
      <c r="AO276" s="4760"/>
      <c r="AP276" s="4760"/>
      <c r="AQ276" s="4760"/>
      <c r="AR276" s="4760"/>
      <c r="AS276" s="4760"/>
      <c r="AT276" s="4760"/>
      <c r="AU276" s="4760"/>
      <c r="AV276" s="4760"/>
      <c r="AW276" s="4760"/>
      <c r="AX276" s="4760"/>
      <c r="AY276" s="4760"/>
      <c r="AZ276" s="4760"/>
      <c r="BA276" s="4760"/>
      <c r="BB276" s="4760"/>
      <c r="BC276" s="4760"/>
      <c r="BD276" s="4760"/>
      <c r="BE276" s="4760"/>
      <c r="BF276" s="4760"/>
      <c r="BG276" s="4760"/>
      <c r="BH276" s="4760"/>
      <c r="BI276" s="4760"/>
      <c r="BJ276" s="4760"/>
      <c r="BK276" s="4761"/>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762" t="s">
        <v>4548</v>
      </c>
      <c r="BU276" s="4763"/>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38"/>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30"/>
      <c r="U277" s="4731"/>
      <c r="V277" s="3043" t="str">
        <f>IF(OR(V275=0,V275=""),"N/A",V275)</f>
        <v>N/A</v>
      </c>
      <c r="W277" s="4730" t="str">
        <f xml:space="preserve"> IF(OR(AF275=0,AF275=""),"N/A",W275)</f>
        <v>N/A</v>
      </c>
      <c r="X277" s="4732"/>
      <c r="Y277" s="4732"/>
      <c r="Z277" s="4732"/>
      <c r="AA277" s="4732"/>
      <c r="AB277" s="4732"/>
      <c r="AC277" s="4732"/>
      <c r="AD277" s="4732"/>
      <c r="AE277" s="4732"/>
      <c r="AF277" s="4731"/>
      <c r="AG277" s="4730" t="str">
        <f xml:space="preserve"> IF(OR(AP275="",AP275=0),"N/A",AG275)</f>
        <v>N/A</v>
      </c>
      <c r="AH277" s="4732"/>
      <c r="AI277" s="4732"/>
      <c r="AJ277" s="4732"/>
      <c r="AK277" s="4732"/>
      <c r="AL277" s="4732"/>
      <c r="AM277" s="4732"/>
      <c r="AN277" s="4732"/>
      <c r="AO277" s="4732"/>
      <c r="AP277" s="4731"/>
      <c r="AQ277" s="4730" t="str">
        <f xml:space="preserve"> IF(OR(AZ275="",AZ275=0),"N/A",AQ275)</f>
        <v>N/A</v>
      </c>
      <c r="AR277" s="4732"/>
      <c r="AS277" s="4732"/>
      <c r="AT277" s="4732"/>
      <c r="AU277" s="4732"/>
      <c r="AV277" s="4732"/>
      <c r="AW277" s="4732"/>
      <c r="AX277" s="4732"/>
      <c r="AY277" s="4732"/>
      <c r="AZ277" s="4731"/>
      <c r="BA277" s="4730" t="str">
        <f xml:space="preserve"> IF(OR(BJ275="",BJ275=0),"N/A",BA275)</f>
        <v>N/A</v>
      </c>
      <c r="BB277" s="4732"/>
      <c r="BC277" s="4732"/>
      <c r="BD277" s="4732"/>
      <c r="BE277" s="4732"/>
      <c r="BF277" s="4732"/>
      <c r="BG277" s="4732"/>
      <c r="BH277" s="4732"/>
      <c r="BI277" s="4732"/>
      <c r="BJ277" s="4731"/>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766" t="s">
        <v>4521</v>
      </c>
      <c r="BU277" s="4767"/>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38"/>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33" t="s">
        <v>4544</v>
      </c>
      <c r="U278" s="4734"/>
      <c r="V278" s="3039"/>
      <c r="W278" s="4735"/>
      <c r="X278" s="4736"/>
      <c r="Y278" s="4736"/>
      <c r="Z278" s="4736"/>
      <c r="AA278" s="4736"/>
      <c r="AB278" s="4736"/>
      <c r="AC278" s="4736"/>
      <c r="AD278" s="4736"/>
      <c r="AE278" s="4736"/>
      <c r="AF278" s="4737"/>
      <c r="AG278" s="4735"/>
      <c r="AH278" s="4736"/>
      <c r="AI278" s="4736"/>
      <c r="AJ278" s="4736"/>
      <c r="AK278" s="4736"/>
      <c r="AL278" s="4736"/>
      <c r="AM278" s="4736"/>
      <c r="AN278" s="4736"/>
      <c r="AO278" s="4736"/>
      <c r="AP278" s="4737"/>
      <c r="AQ278" s="4735"/>
      <c r="AR278" s="4736"/>
      <c r="AS278" s="4736"/>
      <c r="AT278" s="4736"/>
      <c r="AU278" s="4736"/>
      <c r="AV278" s="4736"/>
      <c r="AW278" s="4736"/>
      <c r="AX278" s="4736"/>
      <c r="AY278" s="4736"/>
      <c r="AZ278" s="4737"/>
      <c r="BA278" s="4735"/>
      <c r="BB278" s="4736"/>
      <c r="BC278" s="4736"/>
      <c r="BD278" s="4736"/>
      <c r="BE278" s="4736"/>
      <c r="BF278" s="4736"/>
      <c r="BG278" s="4736"/>
      <c r="BH278" s="4736"/>
      <c r="BI278" s="4736"/>
      <c r="BJ278" s="4737"/>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740" t="s">
        <v>4549</v>
      </c>
      <c r="BU278" s="4741"/>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38"/>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54" t="s">
        <v>4546</v>
      </c>
      <c r="U279" s="4755"/>
      <c r="V279" s="3046"/>
      <c r="W279" s="4756"/>
      <c r="X279" s="4757"/>
      <c r="Y279" s="4757"/>
      <c r="Z279" s="4757"/>
      <c r="AA279" s="4757"/>
      <c r="AB279" s="4757"/>
      <c r="AC279" s="4757"/>
      <c r="AD279" s="4757"/>
      <c r="AE279" s="4757"/>
      <c r="AF279" s="4758"/>
      <c r="AG279" s="4756"/>
      <c r="AH279" s="4757"/>
      <c r="AI279" s="4757"/>
      <c r="AJ279" s="4757"/>
      <c r="AK279" s="4757"/>
      <c r="AL279" s="4757"/>
      <c r="AM279" s="4757"/>
      <c r="AN279" s="4757"/>
      <c r="AO279" s="4757"/>
      <c r="AP279" s="4758"/>
      <c r="AQ279" s="4756"/>
      <c r="AR279" s="4757"/>
      <c r="AS279" s="4757"/>
      <c r="AT279" s="4757"/>
      <c r="AU279" s="4757"/>
      <c r="AV279" s="4757"/>
      <c r="AW279" s="4757"/>
      <c r="AX279" s="4757"/>
      <c r="AY279" s="4757"/>
      <c r="AZ279" s="4758"/>
      <c r="BA279" s="4756"/>
      <c r="BB279" s="4757"/>
      <c r="BC279" s="4757"/>
      <c r="BD279" s="4757"/>
      <c r="BE279" s="4757"/>
      <c r="BF279" s="4757"/>
      <c r="BG279" s="4757"/>
      <c r="BH279" s="4757"/>
      <c r="BI279" s="4757"/>
      <c r="BJ279" s="4758"/>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38"/>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38"/>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38"/>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59" t="s">
        <v>4542</v>
      </c>
      <c r="U282" s="4760"/>
      <c r="V282" s="4760"/>
      <c r="W282" s="4760"/>
      <c r="X282" s="4760"/>
      <c r="Y282" s="4760"/>
      <c r="Z282" s="4760"/>
      <c r="AA282" s="4760"/>
      <c r="AB282" s="4760"/>
      <c r="AC282" s="4760"/>
      <c r="AD282" s="4760"/>
      <c r="AE282" s="4760"/>
      <c r="AF282" s="4760"/>
      <c r="AG282" s="4760"/>
      <c r="AH282" s="4760"/>
      <c r="AI282" s="4760"/>
      <c r="AJ282" s="4760"/>
      <c r="AK282" s="4760"/>
      <c r="AL282" s="4760"/>
      <c r="AM282" s="4760"/>
      <c r="AN282" s="4760"/>
      <c r="AO282" s="4760"/>
      <c r="AP282" s="4760"/>
      <c r="AQ282" s="4760"/>
      <c r="AR282" s="4760"/>
      <c r="AS282" s="4760"/>
      <c r="AT282" s="4760"/>
      <c r="AU282" s="4760"/>
      <c r="AV282" s="4760"/>
      <c r="AW282" s="4760"/>
      <c r="AX282" s="4760"/>
      <c r="AY282" s="4760"/>
      <c r="AZ282" s="4760"/>
      <c r="BA282" s="4760"/>
      <c r="BB282" s="4760"/>
      <c r="BC282" s="4760"/>
      <c r="BD282" s="4760"/>
      <c r="BE282" s="4760"/>
      <c r="BF282" s="4760"/>
      <c r="BG282" s="4760"/>
      <c r="BH282" s="4760"/>
      <c r="BI282" s="4760"/>
      <c r="BJ282" s="4760"/>
      <c r="BK282" s="4761"/>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38"/>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30"/>
      <c r="U283" s="4731"/>
      <c r="V283" s="3043" t="str">
        <f>IF(OR(V281=0,V281=""),"N/A",V281)</f>
        <v>N/A</v>
      </c>
      <c r="W283" s="4730" t="str">
        <f xml:space="preserve"> IF(OR(AF281=0,AF281=""),"N/A",W281)</f>
        <v>N/A</v>
      </c>
      <c r="X283" s="4732"/>
      <c r="Y283" s="4732"/>
      <c r="Z283" s="4732"/>
      <c r="AA283" s="4732"/>
      <c r="AB283" s="4732"/>
      <c r="AC283" s="4732"/>
      <c r="AD283" s="4732"/>
      <c r="AE283" s="4732"/>
      <c r="AF283" s="4731"/>
      <c r="AG283" s="4730" t="str">
        <f xml:space="preserve"> IF(OR(AP281="",AP281=0),"N/A",AG281)</f>
        <v>N/A</v>
      </c>
      <c r="AH283" s="4732"/>
      <c r="AI283" s="4732"/>
      <c r="AJ283" s="4732"/>
      <c r="AK283" s="4732"/>
      <c r="AL283" s="4732"/>
      <c r="AM283" s="4732"/>
      <c r="AN283" s="4732"/>
      <c r="AO283" s="4732"/>
      <c r="AP283" s="4731"/>
      <c r="AQ283" s="4730" t="str">
        <f xml:space="preserve"> IF(OR(AZ281="",AZ281=0),"N/A",AQ281)</f>
        <v>N/A</v>
      </c>
      <c r="AR283" s="4732"/>
      <c r="AS283" s="4732"/>
      <c r="AT283" s="4732"/>
      <c r="AU283" s="4732"/>
      <c r="AV283" s="4732"/>
      <c r="AW283" s="4732"/>
      <c r="AX283" s="4732"/>
      <c r="AY283" s="4732"/>
      <c r="AZ283" s="4731"/>
      <c r="BA283" s="4730" t="str">
        <f xml:space="preserve"> IF(OR(BJ281="",BJ281=0),"N/A",BA281)</f>
        <v>N/A</v>
      </c>
      <c r="BB283" s="4732"/>
      <c r="BC283" s="4732"/>
      <c r="BD283" s="4732"/>
      <c r="BE283" s="4732"/>
      <c r="BF283" s="4732"/>
      <c r="BG283" s="4732"/>
      <c r="BH283" s="4732"/>
      <c r="BI283" s="4732"/>
      <c r="BJ283" s="4731"/>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38"/>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33" t="s">
        <v>4544</v>
      </c>
      <c r="U284" s="4734"/>
      <c r="V284" s="3039"/>
      <c r="W284" s="4735"/>
      <c r="X284" s="4736"/>
      <c r="Y284" s="4736"/>
      <c r="Z284" s="4736"/>
      <c r="AA284" s="4736"/>
      <c r="AB284" s="4736"/>
      <c r="AC284" s="4736"/>
      <c r="AD284" s="4736"/>
      <c r="AE284" s="4736"/>
      <c r="AF284" s="4737"/>
      <c r="AG284" s="4735"/>
      <c r="AH284" s="4736"/>
      <c r="AI284" s="4736"/>
      <c r="AJ284" s="4736"/>
      <c r="AK284" s="4736"/>
      <c r="AL284" s="4736"/>
      <c r="AM284" s="4736"/>
      <c r="AN284" s="4736"/>
      <c r="AO284" s="4736"/>
      <c r="AP284" s="4737"/>
      <c r="AQ284" s="4735"/>
      <c r="AR284" s="4736"/>
      <c r="AS284" s="4736"/>
      <c r="AT284" s="4736"/>
      <c r="AU284" s="4736"/>
      <c r="AV284" s="4736"/>
      <c r="AW284" s="4736"/>
      <c r="AX284" s="4736"/>
      <c r="AY284" s="4736"/>
      <c r="AZ284" s="4737"/>
      <c r="BA284" s="4735"/>
      <c r="BB284" s="4736"/>
      <c r="BC284" s="4736"/>
      <c r="BD284" s="4736"/>
      <c r="BE284" s="4736"/>
      <c r="BF284" s="4736"/>
      <c r="BG284" s="4736"/>
      <c r="BH284" s="4736"/>
      <c r="BI284" s="4736"/>
      <c r="BJ284" s="4737"/>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38"/>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54" t="s">
        <v>4546</v>
      </c>
      <c r="U285" s="4755"/>
      <c r="V285" s="3046"/>
      <c r="W285" s="4756"/>
      <c r="X285" s="4757"/>
      <c r="Y285" s="4757"/>
      <c r="Z285" s="4757"/>
      <c r="AA285" s="4757"/>
      <c r="AB285" s="4757"/>
      <c r="AC285" s="4757"/>
      <c r="AD285" s="4757"/>
      <c r="AE285" s="4757"/>
      <c r="AF285" s="4758"/>
      <c r="AG285" s="4756"/>
      <c r="AH285" s="4757"/>
      <c r="AI285" s="4757"/>
      <c r="AJ285" s="4757"/>
      <c r="AK285" s="4757"/>
      <c r="AL285" s="4757"/>
      <c r="AM285" s="4757"/>
      <c r="AN285" s="4757"/>
      <c r="AO285" s="4757"/>
      <c r="AP285" s="4758"/>
      <c r="AQ285" s="4756"/>
      <c r="AR285" s="4757"/>
      <c r="AS285" s="4757"/>
      <c r="AT285" s="4757"/>
      <c r="AU285" s="4757"/>
      <c r="AV285" s="4757"/>
      <c r="AW285" s="4757"/>
      <c r="AX285" s="4757"/>
      <c r="AY285" s="4757"/>
      <c r="AZ285" s="4758"/>
      <c r="BA285" s="4756"/>
      <c r="BB285" s="4757"/>
      <c r="BC285" s="4757"/>
      <c r="BD285" s="4757"/>
      <c r="BE285" s="4757"/>
      <c r="BF285" s="4757"/>
      <c r="BG285" s="4757"/>
      <c r="BH285" s="4757"/>
      <c r="BI285" s="4757"/>
      <c r="BJ285" s="4758"/>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38"/>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38"/>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38"/>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59" t="s">
        <v>4542</v>
      </c>
      <c r="U288" s="4760"/>
      <c r="V288" s="4760"/>
      <c r="W288" s="4760"/>
      <c r="X288" s="4760"/>
      <c r="Y288" s="4760"/>
      <c r="Z288" s="4760"/>
      <c r="AA288" s="4760"/>
      <c r="AB288" s="4760"/>
      <c r="AC288" s="4760"/>
      <c r="AD288" s="4760"/>
      <c r="AE288" s="4760"/>
      <c r="AF288" s="4760"/>
      <c r="AG288" s="4760"/>
      <c r="AH288" s="4760"/>
      <c r="AI288" s="4760"/>
      <c r="AJ288" s="4760"/>
      <c r="AK288" s="4760"/>
      <c r="AL288" s="4760"/>
      <c r="AM288" s="4760"/>
      <c r="AN288" s="4760"/>
      <c r="AO288" s="4760"/>
      <c r="AP288" s="4760"/>
      <c r="AQ288" s="4760"/>
      <c r="AR288" s="4760"/>
      <c r="AS288" s="4760"/>
      <c r="AT288" s="4760"/>
      <c r="AU288" s="4760"/>
      <c r="AV288" s="4760"/>
      <c r="AW288" s="4760"/>
      <c r="AX288" s="4760"/>
      <c r="AY288" s="4760"/>
      <c r="AZ288" s="4760"/>
      <c r="BA288" s="4760"/>
      <c r="BB288" s="4760"/>
      <c r="BC288" s="4760"/>
      <c r="BD288" s="4760"/>
      <c r="BE288" s="4760"/>
      <c r="BF288" s="4760"/>
      <c r="BG288" s="4760"/>
      <c r="BH288" s="4760"/>
      <c r="BI288" s="4760"/>
      <c r="BJ288" s="4760"/>
      <c r="BK288" s="4761"/>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38"/>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30"/>
      <c r="U289" s="4731"/>
      <c r="V289" s="3043" t="str">
        <f>IF(OR(V287=0,V287=""),"N/A",V287)</f>
        <v>N/A</v>
      </c>
      <c r="W289" s="4730" t="str">
        <f xml:space="preserve"> IF(OR(AF287=0,AF287=""),"N/A",W287)</f>
        <v>N/A</v>
      </c>
      <c r="X289" s="4732"/>
      <c r="Y289" s="4732"/>
      <c r="Z289" s="4732"/>
      <c r="AA289" s="4732"/>
      <c r="AB289" s="4732"/>
      <c r="AC289" s="4732"/>
      <c r="AD289" s="4732"/>
      <c r="AE289" s="4732"/>
      <c r="AF289" s="4731"/>
      <c r="AG289" s="4730" t="str">
        <f xml:space="preserve"> IF(OR(AP287="",AP287=0),"N/A",AG287)</f>
        <v>N/A</v>
      </c>
      <c r="AH289" s="4732"/>
      <c r="AI289" s="4732"/>
      <c r="AJ289" s="4732"/>
      <c r="AK289" s="4732"/>
      <c r="AL289" s="4732"/>
      <c r="AM289" s="4732"/>
      <c r="AN289" s="4732"/>
      <c r="AO289" s="4732"/>
      <c r="AP289" s="4731"/>
      <c r="AQ289" s="4730" t="str">
        <f xml:space="preserve"> IF(OR(AZ287="",AZ287=0),"N/A",AQ287)</f>
        <v>N/A</v>
      </c>
      <c r="AR289" s="4732"/>
      <c r="AS289" s="4732"/>
      <c r="AT289" s="4732"/>
      <c r="AU289" s="4732"/>
      <c r="AV289" s="4732"/>
      <c r="AW289" s="4732"/>
      <c r="AX289" s="4732"/>
      <c r="AY289" s="4732"/>
      <c r="AZ289" s="4731"/>
      <c r="BA289" s="4730" t="str">
        <f xml:space="preserve"> IF(OR(BJ287="",BJ287=0),"N/A",BA287)</f>
        <v>N/A</v>
      </c>
      <c r="BB289" s="4732"/>
      <c r="BC289" s="4732"/>
      <c r="BD289" s="4732"/>
      <c r="BE289" s="4732"/>
      <c r="BF289" s="4732"/>
      <c r="BG289" s="4732"/>
      <c r="BH289" s="4732"/>
      <c r="BI289" s="4732"/>
      <c r="BJ289" s="4731"/>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38"/>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33" t="s">
        <v>4544</v>
      </c>
      <c r="U290" s="4734"/>
      <c r="V290" s="3039"/>
      <c r="W290" s="4735"/>
      <c r="X290" s="4736"/>
      <c r="Y290" s="4736"/>
      <c r="Z290" s="4736"/>
      <c r="AA290" s="4736"/>
      <c r="AB290" s="4736"/>
      <c r="AC290" s="4736"/>
      <c r="AD290" s="4736"/>
      <c r="AE290" s="4736"/>
      <c r="AF290" s="4737"/>
      <c r="AG290" s="4735"/>
      <c r="AH290" s="4736"/>
      <c r="AI290" s="4736"/>
      <c r="AJ290" s="4736"/>
      <c r="AK290" s="4736"/>
      <c r="AL290" s="4736"/>
      <c r="AM290" s="4736"/>
      <c r="AN290" s="4736"/>
      <c r="AO290" s="4736"/>
      <c r="AP290" s="4737"/>
      <c r="AQ290" s="4735"/>
      <c r="AR290" s="4736"/>
      <c r="AS290" s="4736"/>
      <c r="AT290" s="4736"/>
      <c r="AU290" s="4736"/>
      <c r="AV290" s="4736"/>
      <c r="AW290" s="4736"/>
      <c r="AX290" s="4736"/>
      <c r="AY290" s="4736"/>
      <c r="AZ290" s="4737"/>
      <c r="BA290" s="4735"/>
      <c r="BB290" s="4736"/>
      <c r="BC290" s="4736"/>
      <c r="BD290" s="4736"/>
      <c r="BE290" s="4736"/>
      <c r="BF290" s="4736"/>
      <c r="BG290" s="4736"/>
      <c r="BH290" s="4736"/>
      <c r="BI290" s="4736"/>
      <c r="BJ290" s="4737"/>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38"/>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54" t="s">
        <v>4546</v>
      </c>
      <c r="U291" s="4755"/>
      <c r="V291" s="3046"/>
      <c r="W291" s="4756"/>
      <c r="X291" s="4757"/>
      <c r="Y291" s="4757"/>
      <c r="Z291" s="4757"/>
      <c r="AA291" s="4757"/>
      <c r="AB291" s="4757"/>
      <c r="AC291" s="4757"/>
      <c r="AD291" s="4757"/>
      <c r="AE291" s="4757"/>
      <c r="AF291" s="4758"/>
      <c r="AG291" s="4756"/>
      <c r="AH291" s="4757"/>
      <c r="AI291" s="4757"/>
      <c r="AJ291" s="4757"/>
      <c r="AK291" s="4757"/>
      <c r="AL291" s="4757"/>
      <c r="AM291" s="4757"/>
      <c r="AN291" s="4757"/>
      <c r="AO291" s="4757"/>
      <c r="AP291" s="4758"/>
      <c r="AQ291" s="4756"/>
      <c r="AR291" s="4757"/>
      <c r="AS291" s="4757"/>
      <c r="AT291" s="4757"/>
      <c r="AU291" s="4757"/>
      <c r="AV291" s="4757"/>
      <c r="AW291" s="4757"/>
      <c r="AX291" s="4757"/>
      <c r="AY291" s="4757"/>
      <c r="AZ291" s="4758"/>
      <c r="BA291" s="4756"/>
      <c r="BB291" s="4757"/>
      <c r="BC291" s="4757"/>
      <c r="BD291" s="4757"/>
      <c r="BE291" s="4757"/>
      <c r="BF291" s="4757"/>
      <c r="BG291" s="4757"/>
      <c r="BH291" s="4757"/>
      <c r="BI291" s="4757"/>
      <c r="BJ291" s="4758"/>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38"/>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38"/>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742"/>
      <c r="BV293" s="4742"/>
      <c r="BW293" s="4742"/>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38"/>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59" t="s">
        <v>4542</v>
      </c>
      <c r="U294" s="4760"/>
      <c r="V294" s="4760"/>
      <c r="W294" s="4760"/>
      <c r="X294" s="4760"/>
      <c r="Y294" s="4760"/>
      <c r="Z294" s="4760"/>
      <c r="AA294" s="4760"/>
      <c r="AB294" s="4760"/>
      <c r="AC294" s="4760"/>
      <c r="AD294" s="4760"/>
      <c r="AE294" s="4760"/>
      <c r="AF294" s="4760"/>
      <c r="AG294" s="4760"/>
      <c r="AH294" s="4760"/>
      <c r="AI294" s="4760"/>
      <c r="AJ294" s="4760"/>
      <c r="AK294" s="4760"/>
      <c r="AL294" s="4760"/>
      <c r="AM294" s="4760"/>
      <c r="AN294" s="4760"/>
      <c r="AO294" s="4760"/>
      <c r="AP294" s="4760"/>
      <c r="AQ294" s="4760"/>
      <c r="AR294" s="4760"/>
      <c r="AS294" s="4760"/>
      <c r="AT294" s="4760"/>
      <c r="AU294" s="4760"/>
      <c r="AV294" s="4760"/>
      <c r="AW294" s="4760"/>
      <c r="AX294" s="4760"/>
      <c r="AY294" s="4760"/>
      <c r="AZ294" s="4760"/>
      <c r="BA294" s="4760"/>
      <c r="BB294" s="4760"/>
      <c r="BC294" s="4760"/>
      <c r="BD294" s="4760"/>
      <c r="BE294" s="4760"/>
      <c r="BF294" s="4760"/>
      <c r="BG294" s="4760"/>
      <c r="BH294" s="4760"/>
      <c r="BI294" s="4760"/>
      <c r="BJ294" s="4760"/>
      <c r="BK294" s="4761"/>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38"/>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30"/>
      <c r="U295" s="4731"/>
      <c r="V295" s="3043" t="str">
        <f>IF(OR(V293=0,V293=""),"N/A",V293)</f>
        <v>N/A</v>
      </c>
      <c r="W295" s="4730" t="str">
        <f xml:space="preserve"> IF(OR(AF293=0,AF293=""),"N/A",W293)</f>
        <v>N/A</v>
      </c>
      <c r="X295" s="4732"/>
      <c r="Y295" s="4732"/>
      <c r="Z295" s="4732"/>
      <c r="AA295" s="4732"/>
      <c r="AB295" s="4732"/>
      <c r="AC295" s="4732"/>
      <c r="AD295" s="4732"/>
      <c r="AE295" s="4732"/>
      <c r="AF295" s="4731"/>
      <c r="AG295" s="4730" t="str">
        <f xml:space="preserve"> IF(OR(AP293="",AP293=0),"N/A",AG293)</f>
        <v>N/A</v>
      </c>
      <c r="AH295" s="4732"/>
      <c r="AI295" s="4732"/>
      <c r="AJ295" s="4732"/>
      <c r="AK295" s="4732"/>
      <c r="AL295" s="4732"/>
      <c r="AM295" s="4732"/>
      <c r="AN295" s="4732"/>
      <c r="AO295" s="4732"/>
      <c r="AP295" s="4731"/>
      <c r="AQ295" s="4730" t="str">
        <f xml:space="preserve"> IF(OR(AZ293="",AZ293=0),"N/A",AQ293)</f>
        <v>N/A</v>
      </c>
      <c r="AR295" s="4732"/>
      <c r="AS295" s="4732"/>
      <c r="AT295" s="4732"/>
      <c r="AU295" s="4732"/>
      <c r="AV295" s="4732"/>
      <c r="AW295" s="4732"/>
      <c r="AX295" s="4732"/>
      <c r="AY295" s="4732"/>
      <c r="AZ295" s="4731"/>
      <c r="BA295" s="4730" t="str">
        <f xml:space="preserve"> IF(OR(BJ293="",BJ293=0),"N/A",BA293)</f>
        <v>N/A</v>
      </c>
      <c r="BB295" s="4732"/>
      <c r="BC295" s="4732"/>
      <c r="BD295" s="4732"/>
      <c r="BE295" s="4732"/>
      <c r="BF295" s="4732"/>
      <c r="BG295" s="4732"/>
      <c r="BH295" s="4732"/>
      <c r="BI295" s="4732"/>
      <c r="BJ295" s="4731"/>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770"/>
      <c r="BV295" s="4770"/>
      <c r="BW295" s="4770"/>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38"/>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33" t="s">
        <v>4544</v>
      </c>
      <c r="U296" s="4734"/>
      <c r="V296" s="3039"/>
      <c r="W296" s="4735"/>
      <c r="X296" s="4736"/>
      <c r="Y296" s="4736"/>
      <c r="Z296" s="4736"/>
      <c r="AA296" s="4736"/>
      <c r="AB296" s="4736"/>
      <c r="AC296" s="4736"/>
      <c r="AD296" s="4736"/>
      <c r="AE296" s="4736"/>
      <c r="AF296" s="4737"/>
      <c r="AG296" s="4735"/>
      <c r="AH296" s="4736"/>
      <c r="AI296" s="4736"/>
      <c r="AJ296" s="4736"/>
      <c r="AK296" s="4736"/>
      <c r="AL296" s="4736"/>
      <c r="AM296" s="4736"/>
      <c r="AN296" s="4736"/>
      <c r="AO296" s="4736"/>
      <c r="AP296" s="4737"/>
      <c r="AQ296" s="4735"/>
      <c r="AR296" s="4736"/>
      <c r="AS296" s="4736"/>
      <c r="AT296" s="4736"/>
      <c r="AU296" s="4736"/>
      <c r="AV296" s="4736"/>
      <c r="AW296" s="4736"/>
      <c r="AX296" s="4736"/>
      <c r="AY296" s="4736"/>
      <c r="AZ296" s="4737"/>
      <c r="BA296" s="4735"/>
      <c r="BB296" s="4736"/>
      <c r="BC296" s="4736"/>
      <c r="BD296" s="4736"/>
      <c r="BE296" s="4736"/>
      <c r="BF296" s="4736"/>
      <c r="BG296" s="4736"/>
      <c r="BH296" s="4736"/>
      <c r="BI296" s="4736"/>
      <c r="BJ296" s="4737"/>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38"/>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48" t="s">
        <v>4546</v>
      </c>
      <c r="U297" s="4749"/>
      <c r="V297" s="3049"/>
      <c r="W297" s="4750"/>
      <c r="X297" s="4751"/>
      <c r="Y297" s="4751"/>
      <c r="Z297" s="4751"/>
      <c r="AA297" s="4751"/>
      <c r="AB297" s="4751"/>
      <c r="AC297" s="4751"/>
      <c r="AD297" s="4751"/>
      <c r="AE297" s="4751"/>
      <c r="AF297" s="4752"/>
      <c r="AG297" s="4750"/>
      <c r="AH297" s="4751"/>
      <c r="AI297" s="4751"/>
      <c r="AJ297" s="4751"/>
      <c r="AK297" s="4751"/>
      <c r="AL297" s="4751"/>
      <c r="AM297" s="4751"/>
      <c r="AN297" s="4751"/>
      <c r="AO297" s="4751"/>
      <c r="AP297" s="4752"/>
      <c r="AQ297" s="4750"/>
      <c r="AR297" s="4751"/>
      <c r="AS297" s="4751"/>
      <c r="AT297" s="4751"/>
      <c r="AU297" s="4751"/>
      <c r="AV297" s="4751"/>
      <c r="AW297" s="4751"/>
      <c r="AX297" s="4751"/>
      <c r="AY297" s="4751"/>
      <c r="AZ297" s="4752"/>
      <c r="BA297" s="4750"/>
      <c r="BB297" s="4751"/>
      <c r="BC297" s="4751"/>
      <c r="BD297" s="4751"/>
      <c r="BE297" s="4751"/>
      <c r="BF297" s="4751"/>
      <c r="BG297" s="4751"/>
      <c r="BH297" s="4751"/>
      <c r="BI297" s="4751"/>
      <c r="BJ297" s="4752"/>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38"/>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53"/>
      <c r="BL298" s="4753"/>
      <c r="BM298" s="4741"/>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740" t="s">
        <v>4555</v>
      </c>
      <c r="BU298" s="4741"/>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38"/>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43" t="str">
        <f>IF(OR(E299='Tablas Técnicas'!A$678,E299='Tablas Técnicas'!A$679,E300='Tablas Técnicas'!A$678,E300='Tablas Técnicas'!A$679,E301='Tablas Técnicas'!A$678,E301='Tablas Técnicas'!A$679),"Selecciona la atadura elemental:","")</f>
        <v/>
      </c>
      <c r="AH299" s="4744"/>
      <c r="AI299" s="4744"/>
      <c r="AJ299" s="4744"/>
      <c r="AK299" s="4744"/>
      <c r="AL299" s="4744"/>
      <c r="AM299" s="4744"/>
      <c r="AN299" s="4744"/>
      <c r="AO299" s="4744"/>
      <c r="AP299" s="4744"/>
      <c r="AQ299" s="4744"/>
      <c r="AR299" s="4744"/>
      <c r="AS299" s="4744"/>
      <c r="AT299" s="4744"/>
      <c r="AU299" s="4744"/>
      <c r="AV299" s="4744"/>
      <c r="AW299" s="4744"/>
      <c r="AX299" s="4744"/>
      <c r="AY299" s="4744"/>
      <c r="AZ299" s="4744"/>
      <c r="BA299" s="4744"/>
      <c r="BB299" s="4744"/>
      <c r="BC299" s="4744"/>
      <c r="BD299" s="4744"/>
      <c r="BE299" s="4744"/>
      <c r="BF299" s="4744"/>
      <c r="BG299" s="4744"/>
      <c r="BH299" s="4744"/>
      <c r="BI299" s="4744"/>
      <c r="BJ299" s="4744"/>
      <c r="BK299" s="4745"/>
      <c r="BL299" s="1453"/>
      <c r="BM299" s="1453"/>
      <c r="BN299" s="1018"/>
      <c r="BO299" s="1018"/>
      <c r="BP299" s="1050"/>
      <c r="BQ299" s="1018"/>
      <c r="BR299" s="1018"/>
      <c r="BS299" s="1018"/>
      <c r="BT299" s="4746">
        <f>D267</f>
        <v>1</v>
      </c>
      <c r="BU299" s="4747"/>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38"/>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38"/>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38"/>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38"/>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38"/>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64" t="s">
        <v>3338</v>
      </c>
      <c r="X304" s="4764"/>
      <c r="Y304" s="4764"/>
      <c r="Z304" s="4764"/>
      <c r="AA304" s="4764"/>
      <c r="AB304" s="4764"/>
      <c r="AC304" s="4764"/>
      <c r="AD304" s="4764"/>
      <c r="AE304" s="4764"/>
      <c r="AF304" s="4764"/>
      <c r="AG304" s="4764"/>
      <c r="AH304" s="4764"/>
      <c r="AI304" s="4764"/>
      <c r="AJ304" s="4764"/>
      <c r="AK304" s="4764"/>
      <c r="AL304" s="4764"/>
      <c r="AM304" s="4764"/>
      <c r="AN304" s="4764"/>
      <c r="AO304" s="4764"/>
      <c r="AP304" s="4764"/>
      <c r="AQ304" s="4764"/>
      <c r="AR304" s="4764"/>
      <c r="AS304" s="4764"/>
      <c r="AT304" s="4764"/>
      <c r="AU304" s="4764"/>
      <c r="AV304" s="4764"/>
      <c r="AW304" s="4764"/>
      <c r="AX304" s="4764"/>
      <c r="AY304" s="4764"/>
      <c r="AZ304" s="4764"/>
      <c r="BA304" s="4764"/>
      <c r="BB304" s="4764"/>
      <c r="BC304" s="4764"/>
      <c r="BD304" s="4764"/>
      <c r="BE304" s="4764"/>
      <c r="BF304" s="4764"/>
      <c r="BG304" s="4764"/>
      <c r="BH304" s="4764"/>
      <c r="BI304" s="4764"/>
      <c r="BJ304" s="4764"/>
      <c r="BK304" s="4764" t="s">
        <v>3339</v>
      </c>
      <c r="BL304" s="4764"/>
      <c r="BM304" s="4765"/>
      <c r="BN304" s="981" t="s">
        <v>4534</v>
      </c>
      <c r="BO304" s="981" t="s">
        <v>4535</v>
      </c>
      <c r="BP304" s="981" t="s">
        <v>4536</v>
      </c>
      <c r="BQ304" s="981" t="s">
        <v>4537</v>
      </c>
      <c r="BR304" s="981" t="s">
        <v>4538</v>
      </c>
      <c r="BS304" s="982" t="s">
        <v>4539</v>
      </c>
      <c r="BT304" s="4762" t="s">
        <v>4540</v>
      </c>
      <c r="BU304" s="4763"/>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38"/>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38"/>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762" t="s">
        <v>4541</v>
      </c>
      <c r="BU306" s="4763"/>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78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38"/>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59" t="s">
        <v>4542</v>
      </c>
      <c r="U307" s="4760"/>
      <c r="V307" s="4760"/>
      <c r="W307" s="4760"/>
      <c r="X307" s="4760"/>
      <c r="Y307" s="4760"/>
      <c r="Z307" s="4760"/>
      <c r="AA307" s="4760"/>
      <c r="AB307" s="4760"/>
      <c r="AC307" s="4760"/>
      <c r="AD307" s="4760"/>
      <c r="AE307" s="4760"/>
      <c r="AF307" s="4760"/>
      <c r="AG307" s="4760"/>
      <c r="AH307" s="4760"/>
      <c r="AI307" s="4760"/>
      <c r="AJ307" s="4760"/>
      <c r="AK307" s="4760"/>
      <c r="AL307" s="4760"/>
      <c r="AM307" s="4760"/>
      <c r="AN307" s="4760"/>
      <c r="AO307" s="4760"/>
      <c r="AP307" s="4760"/>
      <c r="AQ307" s="4760"/>
      <c r="AR307" s="4760"/>
      <c r="AS307" s="4760"/>
      <c r="AT307" s="4760"/>
      <c r="AU307" s="4760"/>
      <c r="AV307" s="4760"/>
      <c r="AW307" s="4760"/>
      <c r="AX307" s="4760"/>
      <c r="AY307" s="4760"/>
      <c r="AZ307" s="4760"/>
      <c r="BA307" s="4760"/>
      <c r="BB307" s="4760"/>
      <c r="BC307" s="4760"/>
      <c r="BD307" s="4760"/>
      <c r="BE307" s="4760"/>
      <c r="BF307" s="4760"/>
      <c r="BG307" s="4760"/>
      <c r="BH307" s="4760"/>
      <c r="BI307" s="4760"/>
      <c r="BJ307" s="4760"/>
      <c r="BK307" s="4761"/>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76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69"/>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780"/>
      <c r="DY307" s="1336"/>
      <c r="DZ307" s="951"/>
      <c r="EA307" s="1482">
        <f t="shared" si="4"/>
        <v>1</v>
      </c>
    </row>
    <row r="308" spans="1:131" x14ac:dyDescent="0.2">
      <c r="A308" s="951"/>
      <c r="B308" s="951"/>
      <c r="C308" s="4738"/>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30"/>
      <c r="U308" s="4731"/>
      <c r="V308" s="3043" t="str">
        <f>IF(OR(V306=0,V306=""),"N/A",V306)</f>
        <v>N/A</v>
      </c>
      <c r="W308" s="4730" t="str">
        <f xml:space="preserve"> IF(OR(AF306=0,AF306=""),"N/A",W306)</f>
        <v>N/A</v>
      </c>
      <c r="X308" s="4732"/>
      <c r="Y308" s="4732"/>
      <c r="Z308" s="4732"/>
      <c r="AA308" s="4732"/>
      <c r="AB308" s="4732"/>
      <c r="AC308" s="4732"/>
      <c r="AD308" s="4732"/>
      <c r="AE308" s="4732"/>
      <c r="AF308" s="4731"/>
      <c r="AG308" s="4730" t="str">
        <f xml:space="preserve"> IF(OR(AP306="",AP306=0),"N/A",AG306)</f>
        <v>N/A</v>
      </c>
      <c r="AH308" s="4732"/>
      <c r="AI308" s="4732"/>
      <c r="AJ308" s="4732"/>
      <c r="AK308" s="4732"/>
      <c r="AL308" s="4732"/>
      <c r="AM308" s="4732"/>
      <c r="AN308" s="4732"/>
      <c r="AO308" s="4732"/>
      <c r="AP308" s="4731"/>
      <c r="AQ308" s="4730" t="str">
        <f xml:space="preserve"> IF(OR(AZ306="",AZ306=0),"N/A",AQ306)</f>
        <v>N/A</v>
      </c>
      <c r="AR308" s="4732"/>
      <c r="AS308" s="4732"/>
      <c r="AT308" s="4732"/>
      <c r="AU308" s="4732"/>
      <c r="AV308" s="4732"/>
      <c r="AW308" s="4732"/>
      <c r="AX308" s="4732"/>
      <c r="AY308" s="4732"/>
      <c r="AZ308" s="4731"/>
      <c r="BA308" s="4730" t="str">
        <f xml:space="preserve"> IF(OR(BJ306="",BJ306=0),"N/A",BA306)</f>
        <v>N/A</v>
      </c>
      <c r="BB308" s="4732"/>
      <c r="BC308" s="4732"/>
      <c r="BD308" s="4732"/>
      <c r="BE308" s="4732"/>
      <c r="BF308" s="4732"/>
      <c r="BG308" s="4732"/>
      <c r="BH308" s="4732"/>
      <c r="BI308" s="4732"/>
      <c r="BJ308" s="4731"/>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780"/>
      <c r="DY308" s="1336"/>
      <c r="DZ308" s="951"/>
      <c r="EA308" s="1482">
        <f t="shared" si="4"/>
        <v>1</v>
      </c>
    </row>
    <row r="309" spans="1:131" x14ac:dyDescent="0.2">
      <c r="A309" s="951"/>
      <c r="B309" s="951"/>
      <c r="C309" s="4738"/>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33" t="s">
        <v>4544</v>
      </c>
      <c r="U309" s="4734"/>
      <c r="V309" s="3039"/>
      <c r="W309" s="4735"/>
      <c r="X309" s="4736"/>
      <c r="Y309" s="4736"/>
      <c r="Z309" s="4736"/>
      <c r="AA309" s="4736"/>
      <c r="AB309" s="4736"/>
      <c r="AC309" s="4736"/>
      <c r="AD309" s="4736"/>
      <c r="AE309" s="4736"/>
      <c r="AF309" s="4737"/>
      <c r="AG309" s="4735"/>
      <c r="AH309" s="4736"/>
      <c r="AI309" s="4736"/>
      <c r="AJ309" s="4736"/>
      <c r="AK309" s="4736"/>
      <c r="AL309" s="4736"/>
      <c r="AM309" s="4736"/>
      <c r="AN309" s="4736"/>
      <c r="AO309" s="4736"/>
      <c r="AP309" s="4737"/>
      <c r="AQ309" s="4735"/>
      <c r="AR309" s="4736"/>
      <c r="AS309" s="4736"/>
      <c r="AT309" s="4736"/>
      <c r="AU309" s="4736"/>
      <c r="AV309" s="4736"/>
      <c r="AW309" s="4736"/>
      <c r="AX309" s="4736"/>
      <c r="AY309" s="4736"/>
      <c r="AZ309" s="4737"/>
      <c r="BA309" s="4735"/>
      <c r="BB309" s="4736"/>
      <c r="BC309" s="4736"/>
      <c r="BD309" s="4736"/>
      <c r="BE309" s="4736"/>
      <c r="BF309" s="4736"/>
      <c r="BG309" s="4736"/>
      <c r="BH309" s="4736"/>
      <c r="BI309" s="4736"/>
      <c r="BJ309" s="4737"/>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762" t="s">
        <v>4545</v>
      </c>
      <c r="BU309" s="4763"/>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780"/>
      <c r="DY309" s="1336"/>
      <c r="DZ309" s="951"/>
      <c r="EA309" s="1482">
        <f t="shared" si="4"/>
        <v>1</v>
      </c>
    </row>
    <row r="310" spans="1:131" x14ac:dyDescent="0.2">
      <c r="A310" s="951"/>
      <c r="B310" s="951"/>
      <c r="C310" s="4738"/>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54" t="s">
        <v>4546</v>
      </c>
      <c r="U310" s="4755"/>
      <c r="V310" s="3046"/>
      <c r="W310" s="4756"/>
      <c r="X310" s="4757"/>
      <c r="Y310" s="4757"/>
      <c r="Z310" s="4757"/>
      <c r="AA310" s="4757"/>
      <c r="AB310" s="4757"/>
      <c r="AC310" s="4757"/>
      <c r="AD310" s="4757"/>
      <c r="AE310" s="4757"/>
      <c r="AF310" s="4758"/>
      <c r="AG310" s="4756"/>
      <c r="AH310" s="4757"/>
      <c r="AI310" s="4757"/>
      <c r="AJ310" s="4757"/>
      <c r="AK310" s="4757"/>
      <c r="AL310" s="4757"/>
      <c r="AM310" s="4757"/>
      <c r="AN310" s="4757"/>
      <c r="AO310" s="4757"/>
      <c r="AP310" s="4758"/>
      <c r="AQ310" s="4756"/>
      <c r="AR310" s="4757"/>
      <c r="AS310" s="4757"/>
      <c r="AT310" s="4757"/>
      <c r="AU310" s="4757"/>
      <c r="AV310" s="4757"/>
      <c r="AW310" s="4757"/>
      <c r="AX310" s="4757"/>
      <c r="AY310" s="4757"/>
      <c r="AZ310" s="4758"/>
      <c r="BA310" s="4756"/>
      <c r="BB310" s="4757"/>
      <c r="BC310" s="4757"/>
      <c r="BD310" s="4757"/>
      <c r="BE310" s="4757"/>
      <c r="BF310" s="4757"/>
      <c r="BG310" s="4757"/>
      <c r="BH310" s="4757"/>
      <c r="BI310" s="4757"/>
      <c r="BJ310" s="4758"/>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766" t="s">
        <v>1690</v>
      </c>
      <c r="BU310" s="4767"/>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780"/>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38"/>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762" t="s">
        <v>4547</v>
      </c>
      <c r="BU311" s="4763"/>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38"/>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766" t="s">
        <v>4527</v>
      </c>
      <c r="BU312" s="4767"/>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38"/>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59" t="s">
        <v>4542</v>
      </c>
      <c r="U313" s="4760"/>
      <c r="V313" s="4760"/>
      <c r="W313" s="4760"/>
      <c r="X313" s="4760"/>
      <c r="Y313" s="4760"/>
      <c r="Z313" s="4760"/>
      <c r="AA313" s="4760"/>
      <c r="AB313" s="4760"/>
      <c r="AC313" s="4760"/>
      <c r="AD313" s="4760"/>
      <c r="AE313" s="4760"/>
      <c r="AF313" s="4760"/>
      <c r="AG313" s="4760"/>
      <c r="AH313" s="4760"/>
      <c r="AI313" s="4760"/>
      <c r="AJ313" s="4760"/>
      <c r="AK313" s="4760"/>
      <c r="AL313" s="4760"/>
      <c r="AM313" s="4760"/>
      <c r="AN313" s="4760"/>
      <c r="AO313" s="4760"/>
      <c r="AP313" s="4760"/>
      <c r="AQ313" s="4760"/>
      <c r="AR313" s="4760"/>
      <c r="AS313" s="4760"/>
      <c r="AT313" s="4760"/>
      <c r="AU313" s="4760"/>
      <c r="AV313" s="4760"/>
      <c r="AW313" s="4760"/>
      <c r="AX313" s="4760"/>
      <c r="AY313" s="4760"/>
      <c r="AZ313" s="4760"/>
      <c r="BA313" s="4760"/>
      <c r="BB313" s="4760"/>
      <c r="BC313" s="4760"/>
      <c r="BD313" s="4760"/>
      <c r="BE313" s="4760"/>
      <c r="BF313" s="4760"/>
      <c r="BG313" s="4760"/>
      <c r="BH313" s="4760"/>
      <c r="BI313" s="4760"/>
      <c r="BJ313" s="4760"/>
      <c r="BK313" s="4761"/>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762" t="s">
        <v>4548</v>
      </c>
      <c r="BU313" s="4763"/>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38"/>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30"/>
      <c r="U314" s="4731"/>
      <c r="V314" s="3043" t="str">
        <f>IF(OR(V312=0,V312=""),"N/A",V312)</f>
        <v>N/A</v>
      </c>
      <c r="W314" s="4730" t="str">
        <f xml:space="preserve"> IF(OR(AF312=0,AF312=""),"N/A",W312)</f>
        <v>N/A</v>
      </c>
      <c r="X314" s="4732"/>
      <c r="Y314" s="4732"/>
      <c r="Z314" s="4732"/>
      <c r="AA314" s="4732"/>
      <c r="AB314" s="4732"/>
      <c r="AC314" s="4732"/>
      <c r="AD314" s="4732"/>
      <c r="AE314" s="4732"/>
      <c r="AF314" s="4731"/>
      <c r="AG314" s="4730" t="str">
        <f xml:space="preserve"> IF(OR(AP312="",AP312=0),"N/A",AG312)</f>
        <v>N/A</v>
      </c>
      <c r="AH314" s="4732"/>
      <c r="AI314" s="4732"/>
      <c r="AJ314" s="4732"/>
      <c r="AK314" s="4732"/>
      <c r="AL314" s="4732"/>
      <c r="AM314" s="4732"/>
      <c r="AN314" s="4732"/>
      <c r="AO314" s="4732"/>
      <c r="AP314" s="4731"/>
      <c r="AQ314" s="4730" t="str">
        <f xml:space="preserve"> IF(OR(AZ312="",AZ312=0),"N/A",AQ312)</f>
        <v>N/A</v>
      </c>
      <c r="AR314" s="4732"/>
      <c r="AS314" s="4732"/>
      <c r="AT314" s="4732"/>
      <c r="AU314" s="4732"/>
      <c r="AV314" s="4732"/>
      <c r="AW314" s="4732"/>
      <c r="AX314" s="4732"/>
      <c r="AY314" s="4732"/>
      <c r="AZ314" s="4731"/>
      <c r="BA314" s="4730" t="str">
        <f xml:space="preserve"> IF(OR(BJ312="",BJ312=0),"N/A",BA312)</f>
        <v>N/A</v>
      </c>
      <c r="BB314" s="4732"/>
      <c r="BC314" s="4732"/>
      <c r="BD314" s="4732"/>
      <c r="BE314" s="4732"/>
      <c r="BF314" s="4732"/>
      <c r="BG314" s="4732"/>
      <c r="BH314" s="4732"/>
      <c r="BI314" s="4732"/>
      <c r="BJ314" s="4731"/>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766" t="s">
        <v>4521</v>
      </c>
      <c r="BU314" s="4767"/>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38"/>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33" t="s">
        <v>4544</v>
      </c>
      <c r="U315" s="4734"/>
      <c r="V315" s="3039"/>
      <c r="W315" s="4735"/>
      <c r="X315" s="4736"/>
      <c r="Y315" s="4736"/>
      <c r="Z315" s="4736"/>
      <c r="AA315" s="4736"/>
      <c r="AB315" s="4736"/>
      <c r="AC315" s="4736"/>
      <c r="AD315" s="4736"/>
      <c r="AE315" s="4736"/>
      <c r="AF315" s="4737"/>
      <c r="AG315" s="4735"/>
      <c r="AH315" s="4736"/>
      <c r="AI315" s="4736"/>
      <c r="AJ315" s="4736"/>
      <c r="AK315" s="4736"/>
      <c r="AL315" s="4736"/>
      <c r="AM315" s="4736"/>
      <c r="AN315" s="4736"/>
      <c r="AO315" s="4736"/>
      <c r="AP315" s="4737"/>
      <c r="AQ315" s="4735"/>
      <c r="AR315" s="4736"/>
      <c r="AS315" s="4736"/>
      <c r="AT315" s="4736"/>
      <c r="AU315" s="4736"/>
      <c r="AV315" s="4736"/>
      <c r="AW315" s="4736"/>
      <c r="AX315" s="4736"/>
      <c r="AY315" s="4736"/>
      <c r="AZ315" s="4737"/>
      <c r="BA315" s="4735"/>
      <c r="BB315" s="4736"/>
      <c r="BC315" s="4736"/>
      <c r="BD315" s="4736"/>
      <c r="BE315" s="4736"/>
      <c r="BF315" s="4736"/>
      <c r="BG315" s="4736"/>
      <c r="BH315" s="4736"/>
      <c r="BI315" s="4736"/>
      <c r="BJ315" s="4737"/>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740" t="s">
        <v>4549</v>
      </c>
      <c r="BU315" s="4741"/>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38"/>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54" t="s">
        <v>4546</v>
      </c>
      <c r="U316" s="4755"/>
      <c r="V316" s="3046"/>
      <c r="W316" s="4756"/>
      <c r="X316" s="4757"/>
      <c r="Y316" s="4757"/>
      <c r="Z316" s="4757"/>
      <c r="AA316" s="4757"/>
      <c r="AB316" s="4757"/>
      <c r="AC316" s="4757"/>
      <c r="AD316" s="4757"/>
      <c r="AE316" s="4757"/>
      <c r="AF316" s="4758"/>
      <c r="AG316" s="4756"/>
      <c r="AH316" s="4757"/>
      <c r="AI316" s="4757"/>
      <c r="AJ316" s="4757"/>
      <c r="AK316" s="4757"/>
      <c r="AL316" s="4757"/>
      <c r="AM316" s="4757"/>
      <c r="AN316" s="4757"/>
      <c r="AO316" s="4757"/>
      <c r="AP316" s="4758"/>
      <c r="AQ316" s="4756"/>
      <c r="AR316" s="4757"/>
      <c r="AS316" s="4757"/>
      <c r="AT316" s="4757"/>
      <c r="AU316" s="4757"/>
      <c r="AV316" s="4757"/>
      <c r="AW316" s="4757"/>
      <c r="AX316" s="4757"/>
      <c r="AY316" s="4757"/>
      <c r="AZ316" s="4758"/>
      <c r="BA316" s="4756"/>
      <c r="BB316" s="4757"/>
      <c r="BC316" s="4757"/>
      <c r="BD316" s="4757"/>
      <c r="BE316" s="4757"/>
      <c r="BF316" s="4757"/>
      <c r="BG316" s="4757"/>
      <c r="BH316" s="4757"/>
      <c r="BI316" s="4757"/>
      <c r="BJ316" s="4758"/>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38"/>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38"/>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38"/>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59" t="s">
        <v>4542</v>
      </c>
      <c r="U319" s="4760"/>
      <c r="V319" s="4760"/>
      <c r="W319" s="4760"/>
      <c r="X319" s="4760"/>
      <c r="Y319" s="4760"/>
      <c r="Z319" s="4760"/>
      <c r="AA319" s="4760"/>
      <c r="AB319" s="4760"/>
      <c r="AC319" s="4760"/>
      <c r="AD319" s="4760"/>
      <c r="AE319" s="4760"/>
      <c r="AF319" s="4760"/>
      <c r="AG319" s="4760"/>
      <c r="AH319" s="4760"/>
      <c r="AI319" s="4760"/>
      <c r="AJ319" s="4760"/>
      <c r="AK319" s="4760"/>
      <c r="AL319" s="4760"/>
      <c r="AM319" s="4760"/>
      <c r="AN319" s="4760"/>
      <c r="AO319" s="4760"/>
      <c r="AP319" s="4760"/>
      <c r="AQ319" s="4760"/>
      <c r="AR319" s="4760"/>
      <c r="AS319" s="4760"/>
      <c r="AT319" s="4760"/>
      <c r="AU319" s="4760"/>
      <c r="AV319" s="4760"/>
      <c r="AW319" s="4760"/>
      <c r="AX319" s="4760"/>
      <c r="AY319" s="4760"/>
      <c r="AZ319" s="4760"/>
      <c r="BA319" s="4760"/>
      <c r="BB319" s="4760"/>
      <c r="BC319" s="4760"/>
      <c r="BD319" s="4760"/>
      <c r="BE319" s="4760"/>
      <c r="BF319" s="4760"/>
      <c r="BG319" s="4760"/>
      <c r="BH319" s="4760"/>
      <c r="BI319" s="4760"/>
      <c r="BJ319" s="4760"/>
      <c r="BK319" s="4761"/>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38"/>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30"/>
      <c r="U320" s="4731"/>
      <c r="V320" s="3043" t="str">
        <f>IF(OR(V318=0,V318=""),"N/A",V318)</f>
        <v>N/A</v>
      </c>
      <c r="W320" s="4730" t="str">
        <f xml:space="preserve"> IF(OR(AF318=0,AF318=""),"N/A",W318)</f>
        <v>N/A</v>
      </c>
      <c r="X320" s="4732"/>
      <c r="Y320" s="4732"/>
      <c r="Z320" s="4732"/>
      <c r="AA320" s="4732"/>
      <c r="AB320" s="4732"/>
      <c r="AC320" s="4732"/>
      <c r="AD320" s="4732"/>
      <c r="AE320" s="4732"/>
      <c r="AF320" s="4731"/>
      <c r="AG320" s="4730" t="str">
        <f xml:space="preserve"> IF(OR(AP318="",AP318=0),"N/A",AG318)</f>
        <v>N/A</v>
      </c>
      <c r="AH320" s="4732"/>
      <c r="AI320" s="4732"/>
      <c r="AJ320" s="4732"/>
      <c r="AK320" s="4732"/>
      <c r="AL320" s="4732"/>
      <c r="AM320" s="4732"/>
      <c r="AN320" s="4732"/>
      <c r="AO320" s="4732"/>
      <c r="AP320" s="4731"/>
      <c r="AQ320" s="4730" t="str">
        <f xml:space="preserve"> IF(OR(AZ318="",AZ318=0),"N/A",AQ318)</f>
        <v>N/A</v>
      </c>
      <c r="AR320" s="4732"/>
      <c r="AS320" s="4732"/>
      <c r="AT320" s="4732"/>
      <c r="AU320" s="4732"/>
      <c r="AV320" s="4732"/>
      <c r="AW320" s="4732"/>
      <c r="AX320" s="4732"/>
      <c r="AY320" s="4732"/>
      <c r="AZ320" s="4731"/>
      <c r="BA320" s="4730" t="str">
        <f xml:space="preserve"> IF(OR(BJ318="",BJ318=0),"N/A",BA318)</f>
        <v>N/A</v>
      </c>
      <c r="BB320" s="4732"/>
      <c r="BC320" s="4732"/>
      <c r="BD320" s="4732"/>
      <c r="BE320" s="4732"/>
      <c r="BF320" s="4732"/>
      <c r="BG320" s="4732"/>
      <c r="BH320" s="4732"/>
      <c r="BI320" s="4732"/>
      <c r="BJ320" s="4731"/>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38"/>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33" t="s">
        <v>4544</v>
      </c>
      <c r="U321" s="4734"/>
      <c r="V321" s="3039"/>
      <c r="W321" s="4735"/>
      <c r="X321" s="4736"/>
      <c r="Y321" s="4736"/>
      <c r="Z321" s="4736"/>
      <c r="AA321" s="4736"/>
      <c r="AB321" s="4736"/>
      <c r="AC321" s="4736"/>
      <c r="AD321" s="4736"/>
      <c r="AE321" s="4736"/>
      <c r="AF321" s="4737"/>
      <c r="AG321" s="4735"/>
      <c r="AH321" s="4736"/>
      <c r="AI321" s="4736"/>
      <c r="AJ321" s="4736"/>
      <c r="AK321" s="4736"/>
      <c r="AL321" s="4736"/>
      <c r="AM321" s="4736"/>
      <c r="AN321" s="4736"/>
      <c r="AO321" s="4736"/>
      <c r="AP321" s="4737"/>
      <c r="AQ321" s="4735"/>
      <c r="AR321" s="4736"/>
      <c r="AS321" s="4736"/>
      <c r="AT321" s="4736"/>
      <c r="AU321" s="4736"/>
      <c r="AV321" s="4736"/>
      <c r="AW321" s="4736"/>
      <c r="AX321" s="4736"/>
      <c r="AY321" s="4736"/>
      <c r="AZ321" s="4737"/>
      <c r="BA321" s="4735"/>
      <c r="BB321" s="4736"/>
      <c r="BC321" s="4736"/>
      <c r="BD321" s="4736"/>
      <c r="BE321" s="4736"/>
      <c r="BF321" s="4736"/>
      <c r="BG321" s="4736"/>
      <c r="BH321" s="4736"/>
      <c r="BI321" s="4736"/>
      <c r="BJ321" s="4737"/>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38"/>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54" t="s">
        <v>4546</v>
      </c>
      <c r="U322" s="4755"/>
      <c r="V322" s="3046"/>
      <c r="W322" s="4756"/>
      <c r="X322" s="4757"/>
      <c r="Y322" s="4757"/>
      <c r="Z322" s="4757"/>
      <c r="AA322" s="4757"/>
      <c r="AB322" s="4757"/>
      <c r="AC322" s="4757"/>
      <c r="AD322" s="4757"/>
      <c r="AE322" s="4757"/>
      <c r="AF322" s="4758"/>
      <c r="AG322" s="4756"/>
      <c r="AH322" s="4757"/>
      <c r="AI322" s="4757"/>
      <c r="AJ322" s="4757"/>
      <c r="AK322" s="4757"/>
      <c r="AL322" s="4757"/>
      <c r="AM322" s="4757"/>
      <c r="AN322" s="4757"/>
      <c r="AO322" s="4757"/>
      <c r="AP322" s="4758"/>
      <c r="AQ322" s="4756"/>
      <c r="AR322" s="4757"/>
      <c r="AS322" s="4757"/>
      <c r="AT322" s="4757"/>
      <c r="AU322" s="4757"/>
      <c r="AV322" s="4757"/>
      <c r="AW322" s="4757"/>
      <c r="AX322" s="4757"/>
      <c r="AY322" s="4757"/>
      <c r="AZ322" s="4758"/>
      <c r="BA322" s="4756"/>
      <c r="BB322" s="4757"/>
      <c r="BC322" s="4757"/>
      <c r="BD322" s="4757"/>
      <c r="BE322" s="4757"/>
      <c r="BF322" s="4757"/>
      <c r="BG322" s="4757"/>
      <c r="BH322" s="4757"/>
      <c r="BI322" s="4757"/>
      <c r="BJ322" s="4758"/>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38"/>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38"/>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38"/>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59" t="s">
        <v>4542</v>
      </c>
      <c r="U325" s="4760"/>
      <c r="V325" s="4760"/>
      <c r="W325" s="4760"/>
      <c r="X325" s="4760"/>
      <c r="Y325" s="4760"/>
      <c r="Z325" s="4760"/>
      <c r="AA325" s="4760"/>
      <c r="AB325" s="4760"/>
      <c r="AC325" s="4760"/>
      <c r="AD325" s="4760"/>
      <c r="AE325" s="4760"/>
      <c r="AF325" s="4760"/>
      <c r="AG325" s="4760"/>
      <c r="AH325" s="4760"/>
      <c r="AI325" s="4760"/>
      <c r="AJ325" s="4760"/>
      <c r="AK325" s="4760"/>
      <c r="AL325" s="4760"/>
      <c r="AM325" s="4760"/>
      <c r="AN325" s="4760"/>
      <c r="AO325" s="4760"/>
      <c r="AP325" s="4760"/>
      <c r="AQ325" s="4760"/>
      <c r="AR325" s="4760"/>
      <c r="AS325" s="4760"/>
      <c r="AT325" s="4760"/>
      <c r="AU325" s="4760"/>
      <c r="AV325" s="4760"/>
      <c r="AW325" s="4760"/>
      <c r="AX325" s="4760"/>
      <c r="AY325" s="4760"/>
      <c r="AZ325" s="4760"/>
      <c r="BA325" s="4760"/>
      <c r="BB325" s="4760"/>
      <c r="BC325" s="4760"/>
      <c r="BD325" s="4760"/>
      <c r="BE325" s="4760"/>
      <c r="BF325" s="4760"/>
      <c r="BG325" s="4760"/>
      <c r="BH325" s="4760"/>
      <c r="BI325" s="4760"/>
      <c r="BJ325" s="4760"/>
      <c r="BK325" s="4761"/>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38"/>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30"/>
      <c r="U326" s="4731"/>
      <c r="V326" s="3043" t="str">
        <f>IF(OR(V324=0,V324=""),"N/A",V324)</f>
        <v>N/A</v>
      </c>
      <c r="W326" s="4730" t="str">
        <f xml:space="preserve"> IF(OR(AF324=0,AF324=""),"N/A",W324)</f>
        <v>N/A</v>
      </c>
      <c r="X326" s="4732"/>
      <c r="Y326" s="4732"/>
      <c r="Z326" s="4732"/>
      <c r="AA326" s="4732"/>
      <c r="AB326" s="4732"/>
      <c r="AC326" s="4732"/>
      <c r="AD326" s="4732"/>
      <c r="AE326" s="4732"/>
      <c r="AF326" s="4731"/>
      <c r="AG326" s="4730" t="str">
        <f xml:space="preserve"> IF(OR(AP324="",AP324=0),"N/A",AG324)</f>
        <v>N/A</v>
      </c>
      <c r="AH326" s="4732"/>
      <c r="AI326" s="4732"/>
      <c r="AJ326" s="4732"/>
      <c r="AK326" s="4732"/>
      <c r="AL326" s="4732"/>
      <c r="AM326" s="4732"/>
      <c r="AN326" s="4732"/>
      <c r="AO326" s="4732"/>
      <c r="AP326" s="4731"/>
      <c r="AQ326" s="4730" t="str">
        <f xml:space="preserve"> IF(OR(AZ324="",AZ324=0),"N/A",AQ324)</f>
        <v>N/A</v>
      </c>
      <c r="AR326" s="4732"/>
      <c r="AS326" s="4732"/>
      <c r="AT326" s="4732"/>
      <c r="AU326" s="4732"/>
      <c r="AV326" s="4732"/>
      <c r="AW326" s="4732"/>
      <c r="AX326" s="4732"/>
      <c r="AY326" s="4732"/>
      <c r="AZ326" s="4731"/>
      <c r="BA326" s="4730" t="str">
        <f xml:space="preserve"> IF(OR(BJ324="",BJ324=0),"N/A",BA324)</f>
        <v>N/A</v>
      </c>
      <c r="BB326" s="4732"/>
      <c r="BC326" s="4732"/>
      <c r="BD326" s="4732"/>
      <c r="BE326" s="4732"/>
      <c r="BF326" s="4732"/>
      <c r="BG326" s="4732"/>
      <c r="BH326" s="4732"/>
      <c r="BI326" s="4732"/>
      <c r="BJ326" s="4731"/>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38"/>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33" t="s">
        <v>4544</v>
      </c>
      <c r="U327" s="4734"/>
      <c r="V327" s="3039"/>
      <c r="W327" s="4735"/>
      <c r="X327" s="4736"/>
      <c r="Y327" s="4736"/>
      <c r="Z327" s="4736"/>
      <c r="AA327" s="4736"/>
      <c r="AB327" s="4736"/>
      <c r="AC327" s="4736"/>
      <c r="AD327" s="4736"/>
      <c r="AE327" s="4736"/>
      <c r="AF327" s="4737"/>
      <c r="AG327" s="4735"/>
      <c r="AH327" s="4736"/>
      <c r="AI327" s="4736"/>
      <c r="AJ327" s="4736"/>
      <c r="AK327" s="4736"/>
      <c r="AL327" s="4736"/>
      <c r="AM327" s="4736"/>
      <c r="AN327" s="4736"/>
      <c r="AO327" s="4736"/>
      <c r="AP327" s="4737"/>
      <c r="AQ327" s="4735"/>
      <c r="AR327" s="4736"/>
      <c r="AS327" s="4736"/>
      <c r="AT327" s="4736"/>
      <c r="AU327" s="4736"/>
      <c r="AV327" s="4736"/>
      <c r="AW327" s="4736"/>
      <c r="AX327" s="4736"/>
      <c r="AY327" s="4736"/>
      <c r="AZ327" s="4737"/>
      <c r="BA327" s="4735"/>
      <c r="BB327" s="4736"/>
      <c r="BC327" s="4736"/>
      <c r="BD327" s="4736"/>
      <c r="BE327" s="4736"/>
      <c r="BF327" s="4736"/>
      <c r="BG327" s="4736"/>
      <c r="BH327" s="4736"/>
      <c r="BI327" s="4736"/>
      <c r="BJ327" s="4737"/>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38"/>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54" t="s">
        <v>4546</v>
      </c>
      <c r="U328" s="4755"/>
      <c r="V328" s="3046"/>
      <c r="W328" s="4756"/>
      <c r="X328" s="4757"/>
      <c r="Y328" s="4757"/>
      <c r="Z328" s="4757"/>
      <c r="AA328" s="4757"/>
      <c r="AB328" s="4757"/>
      <c r="AC328" s="4757"/>
      <c r="AD328" s="4757"/>
      <c r="AE328" s="4757"/>
      <c r="AF328" s="4758"/>
      <c r="AG328" s="4756"/>
      <c r="AH328" s="4757"/>
      <c r="AI328" s="4757"/>
      <c r="AJ328" s="4757"/>
      <c r="AK328" s="4757"/>
      <c r="AL328" s="4757"/>
      <c r="AM328" s="4757"/>
      <c r="AN328" s="4757"/>
      <c r="AO328" s="4757"/>
      <c r="AP328" s="4758"/>
      <c r="AQ328" s="4756"/>
      <c r="AR328" s="4757"/>
      <c r="AS328" s="4757"/>
      <c r="AT328" s="4757"/>
      <c r="AU328" s="4757"/>
      <c r="AV328" s="4757"/>
      <c r="AW328" s="4757"/>
      <c r="AX328" s="4757"/>
      <c r="AY328" s="4757"/>
      <c r="AZ328" s="4758"/>
      <c r="BA328" s="4756"/>
      <c r="BB328" s="4757"/>
      <c r="BC328" s="4757"/>
      <c r="BD328" s="4757"/>
      <c r="BE328" s="4757"/>
      <c r="BF328" s="4757"/>
      <c r="BG328" s="4757"/>
      <c r="BH328" s="4757"/>
      <c r="BI328" s="4757"/>
      <c r="BJ328" s="4758"/>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38"/>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38"/>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742"/>
      <c r="BV330" s="4742"/>
      <c r="BW330" s="4742"/>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38"/>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59" t="s">
        <v>4542</v>
      </c>
      <c r="U331" s="4760"/>
      <c r="V331" s="4760"/>
      <c r="W331" s="4760"/>
      <c r="X331" s="4760"/>
      <c r="Y331" s="4760"/>
      <c r="Z331" s="4760"/>
      <c r="AA331" s="4760"/>
      <c r="AB331" s="4760"/>
      <c r="AC331" s="4760"/>
      <c r="AD331" s="4760"/>
      <c r="AE331" s="4760"/>
      <c r="AF331" s="4760"/>
      <c r="AG331" s="4760"/>
      <c r="AH331" s="4760"/>
      <c r="AI331" s="4760"/>
      <c r="AJ331" s="4760"/>
      <c r="AK331" s="4760"/>
      <c r="AL331" s="4760"/>
      <c r="AM331" s="4760"/>
      <c r="AN331" s="4760"/>
      <c r="AO331" s="4760"/>
      <c r="AP331" s="4760"/>
      <c r="AQ331" s="4760"/>
      <c r="AR331" s="4760"/>
      <c r="AS331" s="4760"/>
      <c r="AT331" s="4760"/>
      <c r="AU331" s="4760"/>
      <c r="AV331" s="4760"/>
      <c r="AW331" s="4760"/>
      <c r="AX331" s="4760"/>
      <c r="AY331" s="4760"/>
      <c r="AZ331" s="4760"/>
      <c r="BA331" s="4760"/>
      <c r="BB331" s="4760"/>
      <c r="BC331" s="4760"/>
      <c r="BD331" s="4760"/>
      <c r="BE331" s="4760"/>
      <c r="BF331" s="4760"/>
      <c r="BG331" s="4760"/>
      <c r="BH331" s="4760"/>
      <c r="BI331" s="4760"/>
      <c r="BJ331" s="4760"/>
      <c r="BK331" s="4761"/>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38"/>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30"/>
      <c r="U332" s="4731"/>
      <c r="V332" s="3043" t="str">
        <f>IF(OR(V330=0,V330=""),"N/A",V330)</f>
        <v>N/A</v>
      </c>
      <c r="W332" s="4730" t="str">
        <f xml:space="preserve"> IF(OR(AF330=0,AF330=""),"N/A",W330)</f>
        <v>N/A</v>
      </c>
      <c r="X332" s="4732"/>
      <c r="Y332" s="4732"/>
      <c r="Z332" s="4732"/>
      <c r="AA332" s="4732"/>
      <c r="AB332" s="4732"/>
      <c r="AC332" s="4732"/>
      <c r="AD332" s="4732"/>
      <c r="AE332" s="4732"/>
      <c r="AF332" s="4731"/>
      <c r="AG332" s="4730" t="str">
        <f xml:space="preserve"> IF(OR(AP330="",AP330=0),"N/A",AG330)</f>
        <v>N/A</v>
      </c>
      <c r="AH332" s="4732"/>
      <c r="AI332" s="4732"/>
      <c r="AJ332" s="4732"/>
      <c r="AK332" s="4732"/>
      <c r="AL332" s="4732"/>
      <c r="AM332" s="4732"/>
      <c r="AN332" s="4732"/>
      <c r="AO332" s="4732"/>
      <c r="AP332" s="4731"/>
      <c r="AQ332" s="4730" t="str">
        <f xml:space="preserve"> IF(OR(AZ330="",AZ330=0),"N/A",AQ330)</f>
        <v>N/A</v>
      </c>
      <c r="AR332" s="4732"/>
      <c r="AS332" s="4732"/>
      <c r="AT332" s="4732"/>
      <c r="AU332" s="4732"/>
      <c r="AV332" s="4732"/>
      <c r="AW332" s="4732"/>
      <c r="AX332" s="4732"/>
      <c r="AY332" s="4732"/>
      <c r="AZ332" s="4731"/>
      <c r="BA332" s="4730" t="str">
        <f xml:space="preserve"> IF(OR(BJ330="",BJ330=0),"N/A",BA330)</f>
        <v>N/A</v>
      </c>
      <c r="BB332" s="4732"/>
      <c r="BC332" s="4732"/>
      <c r="BD332" s="4732"/>
      <c r="BE332" s="4732"/>
      <c r="BF332" s="4732"/>
      <c r="BG332" s="4732"/>
      <c r="BH332" s="4732"/>
      <c r="BI332" s="4732"/>
      <c r="BJ332" s="4731"/>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770"/>
      <c r="BV332" s="4770"/>
      <c r="BW332" s="4770"/>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38"/>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33" t="s">
        <v>4544</v>
      </c>
      <c r="U333" s="4734"/>
      <c r="V333" s="3039"/>
      <c r="W333" s="4735"/>
      <c r="X333" s="4736"/>
      <c r="Y333" s="4736"/>
      <c r="Z333" s="4736"/>
      <c r="AA333" s="4736"/>
      <c r="AB333" s="4736"/>
      <c r="AC333" s="4736"/>
      <c r="AD333" s="4736"/>
      <c r="AE333" s="4736"/>
      <c r="AF333" s="4737"/>
      <c r="AG333" s="4735"/>
      <c r="AH333" s="4736"/>
      <c r="AI333" s="4736"/>
      <c r="AJ333" s="4736"/>
      <c r="AK333" s="4736"/>
      <c r="AL333" s="4736"/>
      <c r="AM333" s="4736"/>
      <c r="AN333" s="4736"/>
      <c r="AO333" s="4736"/>
      <c r="AP333" s="4737"/>
      <c r="AQ333" s="4735"/>
      <c r="AR333" s="4736"/>
      <c r="AS333" s="4736"/>
      <c r="AT333" s="4736"/>
      <c r="AU333" s="4736"/>
      <c r="AV333" s="4736"/>
      <c r="AW333" s="4736"/>
      <c r="AX333" s="4736"/>
      <c r="AY333" s="4736"/>
      <c r="AZ333" s="4737"/>
      <c r="BA333" s="4735"/>
      <c r="BB333" s="4736"/>
      <c r="BC333" s="4736"/>
      <c r="BD333" s="4736"/>
      <c r="BE333" s="4736"/>
      <c r="BF333" s="4736"/>
      <c r="BG333" s="4736"/>
      <c r="BH333" s="4736"/>
      <c r="BI333" s="4736"/>
      <c r="BJ333" s="4737"/>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38"/>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48" t="s">
        <v>4546</v>
      </c>
      <c r="U334" s="4749"/>
      <c r="V334" s="3049"/>
      <c r="W334" s="4750"/>
      <c r="X334" s="4751"/>
      <c r="Y334" s="4751"/>
      <c r="Z334" s="4751"/>
      <c r="AA334" s="4751"/>
      <c r="AB334" s="4751"/>
      <c r="AC334" s="4751"/>
      <c r="AD334" s="4751"/>
      <c r="AE334" s="4751"/>
      <c r="AF334" s="4752"/>
      <c r="AG334" s="4750"/>
      <c r="AH334" s="4751"/>
      <c r="AI334" s="4751"/>
      <c r="AJ334" s="4751"/>
      <c r="AK334" s="4751"/>
      <c r="AL334" s="4751"/>
      <c r="AM334" s="4751"/>
      <c r="AN334" s="4751"/>
      <c r="AO334" s="4751"/>
      <c r="AP334" s="4752"/>
      <c r="AQ334" s="4750"/>
      <c r="AR334" s="4751"/>
      <c r="AS334" s="4751"/>
      <c r="AT334" s="4751"/>
      <c r="AU334" s="4751"/>
      <c r="AV334" s="4751"/>
      <c r="AW334" s="4751"/>
      <c r="AX334" s="4751"/>
      <c r="AY334" s="4751"/>
      <c r="AZ334" s="4752"/>
      <c r="BA334" s="4750"/>
      <c r="BB334" s="4751"/>
      <c r="BC334" s="4751"/>
      <c r="BD334" s="4751"/>
      <c r="BE334" s="4751"/>
      <c r="BF334" s="4751"/>
      <c r="BG334" s="4751"/>
      <c r="BH334" s="4751"/>
      <c r="BI334" s="4751"/>
      <c r="BJ334" s="4752"/>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38"/>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53"/>
      <c r="BL335" s="4753"/>
      <c r="BM335" s="4741"/>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740" t="s">
        <v>4555</v>
      </c>
      <c r="BU335" s="4741"/>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38"/>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43" t="str">
        <f>IF(OR(E336='Tablas Técnicas'!A$678,E336='Tablas Técnicas'!A$679,E337='Tablas Técnicas'!A$678,E337='Tablas Técnicas'!A$679,E338='Tablas Técnicas'!A$678,E338='Tablas Técnicas'!A$679),"Selecciona la atadura elemental:","")</f>
        <v/>
      </c>
      <c r="AH336" s="4744"/>
      <c r="AI336" s="4744"/>
      <c r="AJ336" s="4744"/>
      <c r="AK336" s="4744"/>
      <c r="AL336" s="4744"/>
      <c r="AM336" s="4744"/>
      <c r="AN336" s="4744"/>
      <c r="AO336" s="4744"/>
      <c r="AP336" s="4744"/>
      <c r="AQ336" s="4744"/>
      <c r="AR336" s="4744"/>
      <c r="AS336" s="4744"/>
      <c r="AT336" s="4744"/>
      <c r="AU336" s="4744"/>
      <c r="AV336" s="4744"/>
      <c r="AW336" s="4744"/>
      <c r="AX336" s="4744"/>
      <c r="AY336" s="4744"/>
      <c r="AZ336" s="4744"/>
      <c r="BA336" s="4744"/>
      <c r="BB336" s="4744"/>
      <c r="BC336" s="4744"/>
      <c r="BD336" s="4744"/>
      <c r="BE336" s="4744"/>
      <c r="BF336" s="4744"/>
      <c r="BG336" s="4744"/>
      <c r="BH336" s="4744"/>
      <c r="BI336" s="4744"/>
      <c r="BJ336" s="4744"/>
      <c r="BK336" s="4745"/>
      <c r="BL336" s="1453"/>
      <c r="BM336" s="1453"/>
      <c r="BN336" s="1018"/>
      <c r="BO336" s="1018"/>
      <c r="BP336" s="1050"/>
      <c r="BQ336" s="1018"/>
      <c r="BR336" s="1018"/>
      <c r="BS336" s="1018"/>
      <c r="BT336" s="4746">
        <f>D304</f>
        <v>1</v>
      </c>
      <c r="BU336" s="4747"/>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38"/>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38"/>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38"/>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38"/>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38"/>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64" t="s">
        <v>3338</v>
      </c>
      <c r="X341" s="4764"/>
      <c r="Y341" s="4764"/>
      <c r="Z341" s="4764"/>
      <c r="AA341" s="4764"/>
      <c r="AB341" s="4764"/>
      <c r="AC341" s="4764"/>
      <c r="AD341" s="4764"/>
      <c r="AE341" s="4764"/>
      <c r="AF341" s="4764"/>
      <c r="AG341" s="4764"/>
      <c r="AH341" s="4764"/>
      <c r="AI341" s="4764"/>
      <c r="AJ341" s="4764"/>
      <c r="AK341" s="4764"/>
      <c r="AL341" s="4764"/>
      <c r="AM341" s="4764"/>
      <c r="AN341" s="4764"/>
      <c r="AO341" s="4764"/>
      <c r="AP341" s="4764"/>
      <c r="AQ341" s="4764"/>
      <c r="AR341" s="4764"/>
      <c r="AS341" s="4764"/>
      <c r="AT341" s="4764"/>
      <c r="AU341" s="4764"/>
      <c r="AV341" s="4764"/>
      <c r="AW341" s="4764"/>
      <c r="AX341" s="4764"/>
      <c r="AY341" s="4764"/>
      <c r="AZ341" s="4764"/>
      <c r="BA341" s="4764"/>
      <c r="BB341" s="4764"/>
      <c r="BC341" s="4764"/>
      <c r="BD341" s="4764"/>
      <c r="BE341" s="4764"/>
      <c r="BF341" s="4764"/>
      <c r="BG341" s="4764"/>
      <c r="BH341" s="4764"/>
      <c r="BI341" s="4764"/>
      <c r="BJ341" s="4764"/>
      <c r="BK341" s="4764" t="s">
        <v>3339</v>
      </c>
      <c r="BL341" s="4764"/>
      <c r="BM341" s="4765"/>
      <c r="BN341" s="981" t="s">
        <v>4534</v>
      </c>
      <c r="BO341" s="981" t="s">
        <v>4535</v>
      </c>
      <c r="BP341" s="981" t="s">
        <v>4536</v>
      </c>
      <c r="BQ341" s="981" t="s">
        <v>4537</v>
      </c>
      <c r="BR341" s="981" t="s">
        <v>4538</v>
      </c>
      <c r="BS341" s="982" t="s">
        <v>4539</v>
      </c>
      <c r="BT341" s="4762" t="s">
        <v>4540</v>
      </c>
      <c r="BU341" s="4763"/>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38"/>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38"/>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762" t="s">
        <v>4541</v>
      </c>
      <c r="BU343" s="4763"/>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78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38"/>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59" t="s">
        <v>4542</v>
      </c>
      <c r="U344" s="4760"/>
      <c r="V344" s="4760"/>
      <c r="W344" s="4760"/>
      <c r="X344" s="4760"/>
      <c r="Y344" s="4760"/>
      <c r="Z344" s="4760"/>
      <c r="AA344" s="4760"/>
      <c r="AB344" s="4760"/>
      <c r="AC344" s="4760"/>
      <c r="AD344" s="4760"/>
      <c r="AE344" s="4760"/>
      <c r="AF344" s="4760"/>
      <c r="AG344" s="4760"/>
      <c r="AH344" s="4760"/>
      <c r="AI344" s="4760"/>
      <c r="AJ344" s="4760"/>
      <c r="AK344" s="4760"/>
      <c r="AL344" s="4760"/>
      <c r="AM344" s="4760"/>
      <c r="AN344" s="4760"/>
      <c r="AO344" s="4760"/>
      <c r="AP344" s="4760"/>
      <c r="AQ344" s="4760"/>
      <c r="AR344" s="4760"/>
      <c r="AS344" s="4760"/>
      <c r="AT344" s="4760"/>
      <c r="AU344" s="4760"/>
      <c r="AV344" s="4760"/>
      <c r="AW344" s="4760"/>
      <c r="AX344" s="4760"/>
      <c r="AY344" s="4760"/>
      <c r="AZ344" s="4760"/>
      <c r="BA344" s="4760"/>
      <c r="BB344" s="4760"/>
      <c r="BC344" s="4760"/>
      <c r="BD344" s="4760"/>
      <c r="BE344" s="4760"/>
      <c r="BF344" s="4760"/>
      <c r="BG344" s="4760"/>
      <c r="BH344" s="4760"/>
      <c r="BI344" s="4760"/>
      <c r="BJ344" s="4760"/>
      <c r="BK344" s="4761"/>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76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69"/>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780"/>
      <c r="DY344" s="1336"/>
      <c r="DZ344" s="951"/>
      <c r="EA344" s="1482">
        <f t="shared" si="5"/>
        <v>1</v>
      </c>
    </row>
    <row r="345" spans="1:132" x14ac:dyDescent="0.2">
      <c r="A345" s="951"/>
      <c r="B345" s="951"/>
      <c r="C345" s="4738"/>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30"/>
      <c r="U345" s="4731"/>
      <c r="V345" s="3043" t="str">
        <f>IF(OR(V343=0,V343=""),"N/A",V343)</f>
        <v>N/A</v>
      </c>
      <c r="W345" s="4730" t="str">
        <f xml:space="preserve"> IF(OR(AF343=0,AF343=""),"N/A",W343)</f>
        <v>N/A</v>
      </c>
      <c r="X345" s="4732"/>
      <c r="Y345" s="4732"/>
      <c r="Z345" s="4732"/>
      <c r="AA345" s="4732"/>
      <c r="AB345" s="4732"/>
      <c r="AC345" s="4732"/>
      <c r="AD345" s="4732"/>
      <c r="AE345" s="4732"/>
      <c r="AF345" s="4731"/>
      <c r="AG345" s="4730" t="str">
        <f xml:space="preserve"> IF(OR(AP343="",AP343=0),"N/A",AG343)</f>
        <v>N/A</v>
      </c>
      <c r="AH345" s="4732"/>
      <c r="AI345" s="4732"/>
      <c r="AJ345" s="4732"/>
      <c r="AK345" s="4732"/>
      <c r="AL345" s="4732"/>
      <c r="AM345" s="4732"/>
      <c r="AN345" s="4732"/>
      <c r="AO345" s="4732"/>
      <c r="AP345" s="4731"/>
      <c r="AQ345" s="4730" t="str">
        <f xml:space="preserve"> IF(OR(AZ343="",AZ343=0),"N/A",AQ343)</f>
        <v>N/A</v>
      </c>
      <c r="AR345" s="4732"/>
      <c r="AS345" s="4732"/>
      <c r="AT345" s="4732"/>
      <c r="AU345" s="4732"/>
      <c r="AV345" s="4732"/>
      <c r="AW345" s="4732"/>
      <c r="AX345" s="4732"/>
      <c r="AY345" s="4732"/>
      <c r="AZ345" s="4731"/>
      <c r="BA345" s="4730" t="str">
        <f xml:space="preserve"> IF(OR(BJ343="",BJ343=0),"N/A",BA343)</f>
        <v>N/A</v>
      </c>
      <c r="BB345" s="4732"/>
      <c r="BC345" s="4732"/>
      <c r="BD345" s="4732"/>
      <c r="BE345" s="4732"/>
      <c r="BF345" s="4732"/>
      <c r="BG345" s="4732"/>
      <c r="BH345" s="4732"/>
      <c r="BI345" s="4732"/>
      <c r="BJ345" s="4731"/>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780"/>
      <c r="DY345" s="1336"/>
      <c r="DZ345" s="951"/>
      <c r="EA345" s="1482">
        <f t="shared" si="5"/>
        <v>1</v>
      </c>
    </row>
    <row r="346" spans="1:132" x14ac:dyDescent="0.2">
      <c r="A346" s="951"/>
      <c r="B346" s="951"/>
      <c r="C346" s="4738"/>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33" t="s">
        <v>4544</v>
      </c>
      <c r="U346" s="4734"/>
      <c r="V346" s="3039"/>
      <c r="W346" s="4735"/>
      <c r="X346" s="4736"/>
      <c r="Y346" s="4736"/>
      <c r="Z346" s="4736"/>
      <c r="AA346" s="4736"/>
      <c r="AB346" s="4736"/>
      <c r="AC346" s="4736"/>
      <c r="AD346" s="4736"/>
      <c r="AE346" s="4736"/>
      <c r="AF346" s="4737"/>
      <c r="AG346" s="4735"/>
      <c r="AH346" s="4736"/>
      <c r="AI346" s="4736"/>
      <c r="AJ346" s="4736"/>
      <c r="AK346" s="4736"/>
      <c r="AL346" s="4736"/>
      <c r="AM346" s="4736"/>
      <c r="AN346" s="4736"/>
      <c r="AO346" s="4736"/>
      <c r="AP346" s="4737"/>
      <c r="AQ346" s="4735"/>
      <c r="AR346" s="4736"/>
      <c r="AS346" s="4736"/>
      <c r="AT346" s="4736"/>
      <c r="AU346" s="4736"/>
      <c r="AV346" s="4736"/>
      <c r="AW346" s="4736"/>
      <c r="AX346" s="4736"/>
      <c r="AY346" s="4736"/>
      <c r="AZ346" s="4737"/>
      <c r="BA346" s="4735"/>
      <c r="BB346" s="4736"/>
      <c r="BC346" s="4736"/>
      <c r="BD346" s="4736"/>
      <c r="BE346" s="4736"/>
      <c r="BF346" s="4736"/>
      <c r="BG346" s="4736"/>
      <c r="BH346" s="4736"/>
      <c r="BI346" s="4736"/>
      <c r="BJ346" s="4737"/>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762" t="s">
        <v>4545</v>
      </c>
      <c r="BU346" s="4763"/>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780"/>
      <c r="DY346" s="1336"/>
      <c r="DZ346" s="951"/>
      <c r="EA346" s="1482">
        <f t="shared" si="5"/>
        <v>1</v>
      </c>
    </row>
    <row r="347" spans="1:132" x14ac:dyDescent="0.2">
      <c r="A347" s="951"/>
      <c r="B347" s="951"/>
      <c r="C347" s="4738"/>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54" t="s">
        <v>4546</v>
      </c>
      <c r="U347" s="4755"/>
      <c r="V347" s="3046"/>
      <c r="W347" s="4756"/>
      <c r="X347" s="4757"/>
      <c r="Y347" s="4757"/>
      <c r="Z347" s="4757"/>
      <c r="AA347" s="4757"/>
      <c r="AB347" s="4757"/>
      <c r="AC347" s="4757"/>
      <c r="AD347" s="4757"/>
      <c r="AE347" s="4757"/>
      <c r="AF347" s="4758"/>
      <c r="AG347" s="4756"/>
      <c r="AH347" s="4757"/>
      <c r="AI347" s="4757"/>
      <c r="AJ347" s="4757"/>
      <c r="AK347" s="4757"/>
      <c r="AL347" s="4757"/>
      <c r="AM347" s="4757"/>
      <c r="AN347" s="4757"/>
      <c r="AO347" s="4757"/>
      <c r="AP347" s="4758"/>
      <c r="AQ347" s="4756"/>
      <c r="AR347" s="4757"/>
      <c r="AS347" s="4757"/>
      <c r="AT347" s="4757"/>
      <c r="AU347" s="4757"/>
      <c r="AV347" s="4757"/>
      <c r="AW347" s="4757"/>
      <c r="AX347" s="4757"/>
      <c r="AY347" s="4757"/>
      <c r="AZ347" s="4758"/>
      <c r="BA347" s="4756"/>
      <c r="BB347" s="4757"/>
      <c r="BC347" s="4757"/>
      <c r="BD347" s="4757"/>
      <c r="BE347" s="4757"/>
      <c r="BF347" s="4757"/>
      <c r="BG347" s="4757"/>
      <c r="BH347" s="4757"/>
      <c r="BI347" s="4757"/>
      <c r="BJ347" s="4758"/>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766" t="s">
        <v>1690</v>
      </c>
      <c r="BU347" s="4767"/>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780"/>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38"/>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762" t="s">
        <v>4547</v>
      </c>
      <c r="BU348" s="4763"/>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38"/>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766" t="s">
        <v>4527</v>
      </c>
      <c r="BU349" s="4767"/>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38"/>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59" t="s">
        <v>4542</v>
      </c>
      <c r="U350" s="4760"/>
      <c r="V350" s="4760"/>
      <c r="W350" s="4760"/>
      <c r="X350" s="4760"/>
      <c r="Y350" s="4760"/>
      <c r="Z350" s="4760"/>
      <c r="AA350" s="4760"/>
      <c r="AB350" s="4760"/>
      <c r="AC350" s="4760"/>
      <c r="AD350" s="4760"/>
      <c r="AE350" s="4760"/>
      <c r="AF350" s="4760"/>
      <c r="AG350" s="4760"/>
      <c r="AH350" s="4760"/>
      <c r="AI350" s="4760"/>
      <c r="AJ350" s="4760"/>
      <c r="AK350" s="4760"/>
      <c r="AL350" s="4760"/>
      <c r="AM350" s="4760"/>
      <c r="AN350" s="4760"/>
      <c r="AO350" s="4760"/>
      <c r="AP350" s="4760"/>
      <c r="AQ350" s="4760"/>
      <c r="AR350" s="4760"/>
      <c r="AS350" s="4760"/>
      <c r="AT350" s="4760"/>
      <c r="AU350" s="4760"/>
      <c r="AV350" s="4760"/>
      <c r="AW350" s="4760"/>
      <c r="AX350" s="4760"/>
      <c r="AY350" s="4760"/>
      <c r="AZ350" s="4760"/>
      <c r="BA350" s="4760"/>
      <c r="BB350" s="4760"/>
      <c r="BC350" s="4760"/>
      <c r="BD350" s="4760"/>
      <c r="BE350" s="4760"/>
      <c r="BF350" s="4760"/>
      <c r="BG350" s="4760"/>
      <c r="BH350" s="4760"/>
      <c r="BI350" s="4760"/>
      <c r="BJ350" s="4760"/>
      <c r="BK350" s="4761"/>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762" t="s">
        <v>4548</v>
      </c>
      <c r="BU350" s="4763"/>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38"/>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30"/>
      <c r="U351" s="4731"/>
      <c r="V351" s="3043" t="str">
        <f>IF(OR(V349=0,V349=""),"N/A",V349)</f>
        <v>N/A</v>
      </c>
      <c r="W351" s="4730" t="str">
        <f xml:space="preserve"> IF(OR(AF349=0,AF349=""),"N/A",W349)</f>
        <v>N/A</v>
      </c>
      <c r="X351" s="4732"/>
      <c r="Y351" s="4732"/>
      <c r="Z351" s="4732"/>
      <c r="AA351" s="4732"/>
      <c r="AB351" s="4732"/>
      <c r="AC351" s="4732"/>
      <c r="AD351" s="4732"/>
      <c r="AE351" s="4732"/>
      <c r="AF351" s="4731"/>
      <c r="AG351" s="4730" t="str">
        <f xml:space="preserve"> IF(OR(AP349="",AP349=0),"N/A",AG349)</f>
        <v>N/A</v>
      </c>
      <c r="AH351" s="4732"/>
      <c r="AI351" s="4732"/>
      <c r="AJ351" s="4732"/>
      <c r="AK351" s="4732"/>
      <c r="AL351" s="4732"/>
      <c r="AM351" s="4732"/>
      <c r="AN351" s="4732"/>
      <c r="AO351" s="4732"/>
      <c r="AP351" s="4731"/>
      <c r="AQ351" s="4730" t="str">
        <f xml:space="preserve"> IF(OR(AZ349="",AZ349=0),"N/A",AQ349)</f>
        <v>N/A</v>
      </c>
      <c r="AR351" s="4732"/>
      <c r="AS351" s="4732"/>
      <c r="AT351" s="4732"/>
      <c r="AU351" s="4732"/>
      <c r="AV351" s="4732"/>
      <c r="AW351" s="4732"/>
      <c r="AX351" s="4732"/>
      <c r="AY351" s="4732"/>
      <c r="AZ351" s="4731"/>
      <c r="BA351" s="4730" t="str">
        <f xml:space="preserve"> IF(OR(BJ349="",BJ349=0),"N/A",BA349)</f>
        <v>N/A</v>
      </c>
      <c r="BB351" s="4732"/>
      <c r="BC351" s="4732"/>
      <c r="BD351" s="4732"/>
      <c r="BE351" s="4732"/>
      <c r="BF351" s="4732"/>
      <c r="BG351" s="4732"/>
      <c r="BH351" s="4732"/>
      <c r="BI351" s="4732"/>
      <c r="BJ351" s="4731"/>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766" t="s">
        <v>4521</v>
      </c>
      <c r="BU351" s="4767"/>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38"/>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33" t="s">
        <v>4544</v>
      </c>
      <c r="U352" s="4734"/>
      <c r="V352" s="3039"/>
      <c r="W352" s="4735"/>
      <c r="X352" s="4736"/>
      <c r="Y352" s="4736"/>
      <c r="Z352" s="4736"/>
      <c r="AA352" s="4736"/>
      <c r="AB352" s="4736"/>
      <c r="AC352" s="4736"/>
      <c r="AD352" s="4736"/>
      <c r="AE352" s="4736"/>
      <c r="AF352" s="4737"/>
      <c r="AG352" s="4735"/>
      <c r="AH352" s="4736"/>
      <c r="AI352" s="4736"/>
      <c r="AJ352" s="4736"/>
      <c r="AK352" s="4736"/>
      <c r="AL352" s="4736"/>
      <c r="AM352" s="4736"/>
      <c r="AN352" s="4736"/>
      <c r="AO352" s="4736"/>
      <c r="AP352" s="4737"/>
      <c r="AQ352" s="4735"/>
      <c r="AR352" s="4736"/>
      <c r="AS352" s="4736"/>
      <c r="AT352" s="4736"/>
      <c r="AU352" s="4736"/>
      <c r="AV352" s="4736"/>
      <c r="AW352" s="4736"/>
      <c r="AX352" s="4736"/>
      <c r="AY352" s="4736"/>
      <c r="AZ352" s="4737"/>
      <c r="BA352" s="4735"/>
      <c r="BB352" s="4736"/>
      <c r="BC352" s="4736"/>
      <c r="BD352" s="4736"/>
      <c r="BE352" s="4736"/>
      <c r="BF352" s="4736"/>
      <c r="BG352" s="4736"/>
      <c r="BH352" s="4736"/>
      <c r="BI352" s="4736"/>
      <c r="BJ352" s="4737"/>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740" t="s">
        <v>4549</v>
      </c>
      <c r="BU352" s="4741"/>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38"/>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54" t="s">
        <v>4546</v>
      </c>
      <c r="U353" s="4755"/>
      <c r="V353" s="3046"/>
      <c r="W353" s="4756"/>
      <c r="X353" s="4757"/>
      <c r="Y353" s="4757"/>
      <c r="Z353" s="4757"/>
      <c r="AA353" s="4757"/>
      <c r="AB353" s="4757"/>
      <c r="AC353" s="4757"/>
      <c r="AD353" s="4757"/>
      <c r="AE353" s="4757"/>
      <c r="AF353" s="4758"/>
      <c r="AG353" s="4756"/>
      <c r="AH353" s="4757"/>
      <c r="AI353" s="4757"/>
      <c r="AJ353" s="4757"/>
      <c r="AK353" s="4757"/>
      <c r="AL353" s="4757"/>
      <c r="AM353" s="4757"/>
      <c r="AN353" s="4757"/>
      <c r="AO353" s="4757"/>
      <c r="AP353" s="4758"/>
      <c r="AQ353" s="4756"/>
      <c r="AR353" s="4757"/>
      <c r="AS353" s="4757"/>
      <c r="AT353" s="4757"/>
      <c r="AU353" s="4757"/>
      <c r="AV353" s="4757"/>
      <c r="AW353" s="4757"/>
      <c r="AX353" s="4757"/>
      <c r="AY353" s="4757"/>
      <c r="AZ353" s="4758"/>
      <c r="BA353" s="4756"/>
      <c r="BB353" s="4757"/>
      <c r="BC353" s="4757"/>
      <c r="BD353" s="4757"/>
      <c r="BE353" s="4757"/>
      <c r="BF353" s="4757"/>
      <c r="BG353" s="4757"/>
      <c r="BH353" s="4757"/>
      <c r="BI353" s="4757"/>
      <c r="BJ353" s="4758"/>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38"/>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38"/>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38"/>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59" t="s">
        <v>4542</v>
      </c>
      <c r="U356" s="4760"/>
      <c r="V356" s="4760"/>
      <c r="W356" s="4760"/>
      <c r="X356" s="4760"/>
      <c r="Y356" s="4760"/>
      <c r="Z356" s="4760"/>
      <c r="AA356" s="4760"/>
      <c r="AB356" s="4760"/>
      <c r="AC356" s="4760"/>
      <c r="AD356" s="4760"/>
      <c r="AE356" s="4760"/>
      <c r="AF356" s="4760"/>
      <c r="AG356" s="4760"/>
      <c r="AH356" s="4760"/>
      <c r="AI356" s="4760"/>
      <c r="AJ356" s="4760"/>
      <c r="AK356" s="4760"/>
      <c r="AL356" s="4760"/>
      <c r="AM356" s="4760"/>
      <c r="AN356" s="4760"/>
      <c r="AO356" s="4760"/>
      <c r="AP356" s="4760"/>
      <c r="AQ356" s="4760"/>
      <c r="AR356" s="4760"/>
      <c r="AS356" s="4760"/>
      <c r="AT356" s="4760"/>
      <c r="AU356" s="4760"/>
      <c r="AV356" s="4760"/>
      <c r="AW356" s="4760"/>
      <c r="AX356" s="4760"/>
      <c r="AY356" s="4760"/>
      <c r="AZ356" s="4760"/>
      <c r="BA356" s="4760"/>
      <c r="BB356" s="4760"/>
      <c r="BC356" s="4760"/>
      <c r="BD356" s="4760"/>
      <c r="BE356" s="4760"/>
      <c r="BF356" s="4760"/>
      <c r="BG356" s="4760"/>
      <c r="BH356" s="4760"/>
      <c r="BI356" s="4760"/>
      <c r="BJ356" s="4760"/>
      <c r="BK356" s="4761"/>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38"/>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30"/>
      <c r="U357" s="4731"/>
      <c r="V357" s="3043" t="str">
        <f>IF(OR(V355=0,V355=""),"N/A",V355)</f>
        <v>N/A</v>
      </c>
      <c r="W357" s="4730" t="str">
        <f xml:space="preserve"> IF(OR(AF355=0,AF355=""),"N/A",W355)</f>
        <v>N/A</v>
      </c>
      <c r="X357" s="4732"/>
      <c r="Y357" s="4732"/>
      <c r="Z357" s="4732"/>
      <c r="AA357" s="4732"/>
      <c r="AB357" s="4732"/>
      <c r="AC357" s="4732"/>
      <c r="AD357" s="4732"/>
      <c r="AE357" s="4732"/>
      <c r="AF357" s="4731"/>
      <c r="AG357" s="4730" t="str">
        <f xml:space="preserve"> IF(OR(AP355="",AP355=0),"N/A",AG355)</f>
        <v>N/A</v>
      </c>
      <c r="AH357" s="4732"/>
      <c r="AI357" s="4732"/>
      <c r="AJ357" s="4732"/>
      <c r="AK357" s="4732"/>
      <c r="AL357" s="4732"/>
      <c r="AM357" s="4732"/>
      <c r="AN357" s="4732"/>
      <c r="AO357" s="4732"/>
      <c r="AP357" s="4731"/>
      <c r="AQ357" s="4730" t="str">
        <f xml:space="preserve"> IF(OR(AZ355="",AZ355=0),"N/A",AQ355)</f>
        <v>N/A</v>
      </c>
      <c r="AR357" s="4732"/>
      <c r="AS357" s="4732"/>
      <c r="AT357" s="4732"/>
      <c r="AU357" s="4732"/>
      <c r="AV357" s="4732"/>
      <c r="AW357" s="4732"/>
      <c r="AX357" s="4732"/>
      <c r="AY357" s="4732"/>
      <c r="AZ357" s="4731"/>
      <c r="BA357" s="4730" t="str">
        <f xml:space="preserve"> IF(OR(BJ355="",BJ355=0),"N/A",BA355)</f>
        <v>N/A</v>
      </c>
      <c r="BB357" s="4732"/>
      <c r="BC357" s="4732"/>
      <c r="BD357" s="4732"/>
      <c r="BE357" s="4732"/>
      <c r="BF357" s="4732"/>
      <c r="BG357" s="4732"/>
      <c r="BH357" s="4732"/>
      <c r="BI357" s="4732"/>
      <c r="BJ357" s="4731"/>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38"/>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33" t="s">
        <v>4544</v>
      </c>
      <c r="U358" s="4734"/>
      <c r="V358" s="3039"/>
      <c r="W358" s="4735"/>
      <c r="X358" s="4736"/>
      <c r="Y358" s="4736"/>
      <c r="Z358" s="4736"/>
      <c r="AA358" s="4736"/>
      <c r="AB358" s="4736"/>
      <c r="AC358" s="4736"/>
      <c r="AD358" s="4736"/>
      <c r="AE358" s="4736"/>
      <c r="AF358" s="4737"/>
      <c r="AG358" s="4735"/>
      <c r="AH358" s="4736"/>
      <c r="AI358" s="4736"/>
      <c r="AJ358" s="4736"/>
      <c r="AK358" s="4736"/>
      <c r="AL358" s="4736"/>
      <c r="AM358" s="4736"/>
      <c r="AN358" s="4736"/>
      <c r="AO358" s="4736"/>
      <c r="AP358" s="4737"/>
      <c r="AQ358" s="4735"/>
      <c r="AR358" s="4736"/>
      <c r="AS358" s="4736"/>
      <c r="AT358" s="4736"/>
      <c r="AU358" s="4736"/>
      <c r="AV358" s="4736"/>
      <c r="AW358" s="4736"/>
      <c r="AX358" s="4736"/>
      <c r="AY358" s="4736"/>
      <c r="AZ358" s="4737"/>
      <c r="BA358" s="4735"/>
      <c r="BB358" s="4736"/>
      <c r="BC358" s="4736"/>
      <c r="BD358" s="4736"/>
      <c r="BE358" s="4736"/>
      <c r="BF358" s="4736"/>
      <c r="BG358" s="4736"/>
      <c r="BH358" s="4736"/>
      <c r="BI358" s="4736"/>
      <c r="BJ358" s="4737"/>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38"/>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54" t="s">
        <v>4546</v>
      </c>
      <c r="U359" s="4755"/>
      <c r="V359" s="3046"/>
      <c r="W359" s="4756"/>
      <c r="X359" s="4757"/>
      <c r="Y359" s="4757"/>
      <c r="Z359" s="4757"/>
      <c r="AA359" s="4757"/>
      <c r="AB359" s="4757"/>
      <c r="AC359" s="4757"/>
      <c r="AD359" s="4757"/>
      <c r="AE359" s="4757"/>
      <c r="AF359" s="4758"/>
      <c r="AG359" s="4756"/>
      <c r="AH359" s="4757"/>
      <c r="AI359" s="4757"/>
      <c r="AJ359" s="4757"/>
      <c r="AK359" s="4757"/>
      <c r="AL359" s="4757"/>
      <c r="AM359" s="4757"/>
      <c r="AN359" s="4757"/>
      <c r="AO359" s="4757"/>
      <c r="AP359" s="4758"/>
      <c r="AQ359" s="4756"/>
      <c r="AR359" s="4757"/>
      <c r="AS359" s="4757"/>
      <c r="AT359" s="4757"/>
      <c r="AU359" s="4757"/>
      <c r="AV359" s="4757"/>
      <c r="AW359" s="4757"/>
      <c r="AX359" s="4757"/>
      <c r="AY359" s="4757"/>
      <c r="AZ359" s="4758"/>
      <c r="BA359" s="4756"/>
      <c r="BB359" s="4757"/>
      <c r="BC359" s="4757"/>
      <c r="BD359" s="4757"/>
      <c r="BE359" s="4757"/>
      <c r="BF359" s="4757"/>
      <c r="BG359" s="4757"/>
      <c r="BH359" s="4757"/>
      <c r="BI359" s="4757"/>
      <c r="BJ359" s="4758"/>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38"/>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38"/>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38"/>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59" t="s">
        <v>4542</v>
      </c>
      <c r="U362" s="4760"/>
      <c r="V362" s="4760"/>
      <c r="W362" s="4760"/>
      <c r="X362" s="4760"/>
      <c r="Y362" s="4760"/>
      <c r="Z362" s="4760"/>
      <c r="AA362" s="4760"/>
      <c r="AB362" s="4760"/>
      <c r="AC362" s="4760"/>
      <c r="AD362" s="4760"/>
      <c r="AE362" s="4760"/>
      <c r="AF362" s="4760"/>
      <c r="AG362" s="4760"/>
      <c r="AH362" s="4760"/>
      <c r="AI362" s="4760"/>
      <c r="AJ362" s="4760"/>
      <c r="AK362" s="4760"/>
      <c r="AL362" s="4760"/>
      <c r="AM362" s="4760"/>
      <c r="AN362" s="4760"/>
      <c r="AO362" s="4760"/>
      <c r="AP362" s="4760"/>
      <c r="AQ362" s="4760"/>
      <c r="AR362" s="4760"/>
      <c r="AS362" s="4760"/>
      <c r="AT362" s="4760"/>
      <c r="AU362" s="4760"/>
      <c r="AV362" s="4760"/>
      <c r="AW362" s="4760"/>
      <c r="AX362" s="4760"/>
      <c r="AY362" s="4760"/>
      <c r="AZ362" s="4760"/>
      <c r="BA362" s="4760"/>
      <c r="BB362" s="4760"/>
      <c r="BC362" s="4760"/>
      <c r="BD362" s="4760"/>
      <c r="BE362" s="4760"/>
      <c r="BF362" s="4760"/>
      <c r="BG362" s="4760"/>
      <c r="BH362" s="4760"/>
      <c r="BI362" s="4760"/>
      <c r="BJ362" s="4760"/>
      <c r="BK362" s="4761"/>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38"/>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30"/>
      <c r="U363" s="4731"/>
      <c r="V363" s="3043" t="str">
        <f>IF(OR(V361=0,V361=""),"N/A",V361)</f>
        <v>N/A</v>
      </c>
      <c r="W363" s="4730" t="str">
        <f xml:space="preserve"> IF(OR(AF361=0,AF361=""),"N/A",W361)</f>
        <v>N/A</v>
      </c>
      <c r="X363" s="4732"/>
      <c r="Y363" s="4732"/>
      <c r="Z363" s="4732"/>
      <c r="AA363" s="4732"/>
      <c r="AB363" s="4732"/>
      <c r="AC363" s="4732"/>
      <c r="AD363" s="4732"/>
      <c r="AE363" s="4732"/>
      <c r="AF363" s="4731"/>
      <c r="AG363" s="4730" t="str">
        <f xml:space="preserve"> IF(OR(AP361="",AP361=0),"N/A",AG361)</f>
        <v>N/A</v>
      </c>
      <c r="AH363" s="4732"/>
      <c r="AI363" s="4732"/>
      <c r="AJ363" s="4732"/>
      <c r="AK363" s="4732"/>
      <c r="AL363" s="4732"/>
      <c r="AM363" s="4732"/>
      <c r="AN363" s="4732"/>
      <c r="AO363" s="4732"/>
      <c r="AP363" s="4731"/>
      <c r="AQ363" s="4730" t="str">
        <f xml:space="preserve"> IF(OR(AZ361="",AZ361=0),"N/A",AQ361)</f>
        <v>N/A</v>
      </c>
      <c r="AR363" s="4732"/>
      <c r="AS363" s="4732"/>
      <c r="AT363" s="4732"/>
      <c r="AU363" s="4732"/>
      <c r="AV363" s="4732"/>
      <c r="AW363" s="4732"/>
      <c r="AX363" s="4732"/>
      <c r="AY363" s="4732"/>
      <c r="AZ363" s="4731"/>
      <c r="BA363" s="4730" t="str">
        <f xml:space="preserve"> IF(OR(BJ361="",BJ361=0),"N/A",BA361)</f>
        <v>N/A</v>
      </c>
      <c r="BB363" s="4732"/>
      <c r="BC363" s="4732"/>
      <c r="BD363" s="4732"/>
      <c r="BE363" s="4732"/>
      <c r="BF363" s="4732"/>
      <c r="BG363" s="4732"/>
      <c r="BH363" s="4732"/>
      <c r="BI363" s="4732"/>
      <c r="BJ363" s="4731"/>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38"/>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33" t="s">
        <v>4544</v>
      </c>
      <c r="U364" s="4734"/>
      <c r="V364" s="3039"/>
      <c r="W364" s="4735"/>
      <c r="X364" s="4736"/>
      <c r="Y364" s="4736"/>
      <c r="Z364" s="4736"/>
      <c r="AA364" s="4736"/>
      <c r="AB364" s="4736"/>
      <c r="AC364" s="4736"/>
      <c r="AD364" s="4736"/>
      <c r="AE364" s="4736"/>
      <c r="AF364" s="4737"/>
      <c r="AG364" s="4735"/>
      <c r="AH364" s="4736"/>
      <c r="AI364" s="4736"/>
      <c r="AJ364" s="4736"/>
      <c r="AK364" s="4736"/>
      <c r="AL364" s="4736"/>
      <c r="AM364" s="4736"/>
      <c r="AN364" s="4736"/>
      <c r="AO364" s="4736"/>
      <c r="AP364" s="4737"/>
      <c r="AQ364" s="4735"/>
      <c r="AR364" s="4736"/>
      <c r="AS364" s="4736"/>
      <c r="AT364" s="4736"/>
      <c r="AU364" s="4736"/>
      <c r="AV364" s="4736"/>
      <c r="AW364" s="4736"/>
      <c r="AX364" s="4736"/>
      <c r="AY364" s="4736"/>
      <c r="AZ364" s="4737"/>
      <c r="BA364" s="4735"/>
      <c r="BB364" s="4736"/>
      <c r="BC364" s="4736"/>
      <c r="BD364" s="4736"/>
      <c r="BE364" s="4736"/>
      <c r="BF364" s="4736"/>
      <c r="BG364" s="4736"/>
      <c r="BH364" s="4736"/>
      <c r="BI364" s="4736"/>
      <c r="BJ364" s="4737"/>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38"/>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54" t="s">
        <v>4546</v>
      </c>
      <c r="U365" s="4755"/>
      <c r="V365" s="3046"/>
      <c r="W365" s="4756"/>
      <c r="X365" s="4757"/>
      <c r="Y365" s="4757"/>
      <c r="Z365" s="4757"/>
      <c r="AA365" s="4757"/>
      <c r="AB365" s="4757"/>
      <c r="AC365" s="4757"/>
      <c r="AD365" s="4757"/>
      <c r="AE365" s="4757"/>
      <c r="AF365" s="4758"/>
      <c r="AG365" s="4756"/>
      <c r="AH365" s="4757"/>
      <c r="AI365" s="4757"/>
      <c r="AJ365" s="4757"/>
      <c r="AK365" s="4757"/>
      <c r="AL365" s="4757"/>
      <c r="AM365" s="4757"/>
      <c r="AN365" s="4757"/>
      <c r="AO365" s="4757"/>
      <c r="AP365" s="4758"/>
      <c r="AQ365" s="4756"/>
      <c r="AR365" s="4757"/>
      <c r="AS365" s="4757"/>
      <c r="AT365" s="4757"/>
      <c r="AU365" s="4757"/>
      <c r="AV365" s="4757"/>
      <c r="AW365" s="4757"/>
      <c r="AX365" s="4757"/>
      <c r="AY365" s="4757"/>
      <c r="AZ365" s="4758"/>
      <c r="BA365" s="4756"/>
      <c r="BB365" s="4757"/>
      <c r="BC365" s="4757"/>
      <c r="BD365" s="4757"/>
      <c r="BE365" s="4757"/>
      <c r="BF365" s="4757"/>
      <c r="BG365" s="4757"/>
      <c r="BH365" s="4757"/>
      <c r="BI365" s="4757"/>
      <c r="BJ365" s="4758"/>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38"/>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38"/>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742"/>
      <c r="BV367" s="4742"/>
      <c r="BW367" s="4742"/>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38"/>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59" t="s">
        <v>4542</v>
      </c>
      <c r="U368" s="4760"/>
      <c r="V368" s="4760"/>
      <c r="W368" s="4760"/>
      <c r="X368" s="4760"/>
      <c r="Y368" s="4760"/>
      <c r="Z368" s="4760"/>
      <c r="AA368" s="4760"/>
      <c r="AB368" s="4760"/>
      <c r="AC368" s="4760"/>
      <c r="AD368" s="4760"/>
      <c r="AE368" s="4760"/>
      <c r="AF368" s="4760"/>
      <c r="AG368" s="4760"/>
      <c r="AH368" s="4760"/>
      <c r="AI368" s="4760"/>
      <c r="AJ368" s="4760"/>
      <c r="AK368" s="4760"/>
      <c r="AL368" s="4760"/>
      <c r="AM368" s="4760"/>
      <c r="AN368" s="4760"/>
      <c r="AO368" s="4760"/>
      <c r="AP368" s="4760"/>
      <c r="AQ368" s="4760"/>
      <c r="AR368" s="4760"/>
      <c r="AS368" s="4760"/>
      <c r="AT368" s="4760"/>
      <c r="AU368" s="4760"/>
      <c r="AV368" s="4760"/>
      <c r="AW368" s="4760"/>
      <c r="AX368" s="4760"/>
      <c r="AY368" s="4760"/>
      <c r="AZ368" s="4760"/>
      <c r="BA368" s="4760"/>
      <c r="BB368" s="4760"/>
      <c r="BC368" s="4760"/>
      <c r="BD368" s="4760"/>
      <c r="BE368" s="4760"/>
      <c r="BF368" s="4760"/>
      <c r="BG368" s="4760"/>
      <c r="BH368" s="4760"/>
      <c r="BI368" s="4760"/>
      <c r="BJ368" s="4760"/>
      <c r="BK368" s="4761"/>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38"/>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30"/>
      <c r="U369" s="4731"/>
      <c r="V369" s="3043" t="str">
        <f>IF(OR(V367=0,V367=""),"N/A",V367)</f>
        <v>N/A</v>
      </c>
      <c r="W369" s="4730" t="str">
        <f xml:space="preserve"> IF(OR(AF367=0,AF367=""),"N/A",W367)</f>
        <v>N/A</v>
      </c>
      <c r="X369" s="4732"/>
      <c r="Y369" s="4732"/>
      <c r="Z369" s="4732"/>
      <c r="AA369" s="4732"/>
      <c r="AB369" s="4732"/>
      <c r="AC369" s="4732"/>
      <c r="AD369" s="4732"/>
      <c r="AE369" s="4732"/>
      <c r="AF369" s="4731"/>
      <c r="AG369" s="4730" t="str">
        <f xml:space="preserve"> IF(OR(AP367="",AP367=0),"N/A",AG367)</f>
        <v>N/A</v>
      </c>
      <c r="AH369" s="4732"/>
      <c r="AI369" s="4732"/>
      <c r="AJ369" s="4732"/>
      <c r="AK369" s="4732"/>
      <c r="AL369" s="4732"/>
      <c r="AM369" s="4732"/>
      <c r="AN369" s="4732"/>
      <c r="AO369" s="4732"/>
      <c r="AP369" s="4731"/>
      <c r="AQ369" s="4730" t="str">
        <f xml:space="preserve"> IF(OR(AZ367="",AZ367=0),"N/A",AQ367)</f>
        <v>N/A</v>
      </c>
      <c r="AR369" s="4732"/>
      <c r="AS369" s="4732"/>
      <c r="AT369" s="4732"/>
      <c r="AU369" s="4732"/>
      <c r="AV369" s="4732"/>
      <c r="AW369" s="4732"/>
      <c r="AX369" s="4732"/>
      <c r="AY369" s="4732"/>
      <c r="AZ369" s="4731"/>
      <c r="BA369" s="4730" t="str">
        <f xml:space="preserve"> IF(OR(BJ367="",BJ367=0),"N/A",BA367)</f>
        <v>N/A</v>
      </c>
      <c r="BB369" s="4732"/>
      <c r="BC369" s="4732"/>
      <c r="BD369" s="4732"/>
      <c r="BE369" s="4732"/>
      <c r="BF369" s="4732"/>
      <c r="BG369" s="4732"/>
      <c r="BH369" s="4732"/>
      <c r="BI369" s="4732"/>
      <c r="BJ369" s="4731"/>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770"/>
      <c r="BV369" s="4770"/>
      <c r="BW369" s="4770"/>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38"/>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33" t="s">
        <v>4544</v>
      </c>
      <c r="U370" s="4734"/>
      <c r="V370" s="3039"/>
      <c r="W370" s="4735"/>
      <c r="X370" s="4736"/>
      <c r="Y370" s="4736"/>
      <c r="Z370" s="4736"/>
      <c r="AA370" s="4736"/>
      <c r="AB370" s="4736"/>
      <c r="AC370" s="4736"/>
      <c r="AD370" s="4736"/>
      <c r="AE370" s="4736"/>
      <c r="AF370" s="4737"/>
      <c r="AG370" s="4735"/>
      <c r="AH370" s="4736"/>
      <c r="AI370" s="4736"/>
      <c r="AJ370" s="4736"/>
      <c r="AK370" s="4736"/>
      <c r="AL370" s="4736"/>
      <c r="AM370" s="4736"/>
      <c r="AN370" s="4736"/>
      <c r="AO370" s="4736"/>
      <c r="AP370" s="4737"/>
      <c r="AQ370" s="4735"/>
      <c r="AR370" s="4736"/>
      <c r="AS370" s="4736"/>
      <c r="AT370" s="4736"/>
      <c r="AU370" s="4736"/>
      <c r="AV370" s="4736"/>
      <c r="AW370" s="4736"/>
      <c r="AX370" s="4736"/>
      <c r="AY370" s="4736"/>
      <c r="AZ370" s="4737"/>
      <c r="BA370" s="4735"/>
      <c r="BB370" s="4736"/>
      <c r="BC370" s="4736"/>
      <c r="BD370" s="4736"/>
      <c r="BE370" s="4736"/>
      <c r="BF370" s="4736"/>
      <c r="BG370" s="4736"/>
      <c r="BH370" s="4736"/>
      <c r="BI370" s="4736"/>
      <c r="BJ370" s="4737"/>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38"/>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48" t="s">
        <v>4546</v>
      </c>
      <c r="U371" s="4749"/>
      <c r="V371" s="3049"/>
      <c r="W371" s="4750"/>
      <c r="X371" s="4751"/>
      <c r="Y371" s="4751"/>
      <c r="Z371" s="4751"/>
      <c r="AA371" s="4751"/>
      <c r="AB371" s="4751"/>
      <c r="AC371" s="4751"/>
      <c r="AD371" s="4751"/>
      <c r="AE371" s="4751"/>
      <c r="AF371" s="4752"/>
      <c r="AG371" s="4750"/>
      <c r="AH371" s="4751"/>
      <c r="AI371" s="4751"/>
      <c r="AJ371" s="4751"/>
      <c r="AK371" s="4751"/>
      <c r="AL371" s="4751"/>
      <c r="AM371" s="4751"/>
      <c r="AN371" s="4751"/>
      <c r="AO371" s="4751"/>
      <c r="AP371" s="4752"/>
      <c r="AQ371" s="4750"/>
      <c r="AR371" s="4751"/>
      <c r="AS371" s="4751"/>
      <c r="AT371" s="4751"/>
      <c r="AU371" s="4751"/>
      <c r="AV371" s="4751"/>
      <c r="AW371" s="4751"/>
      <c r="AX371" s="4751"/>
      <c r="AY371" s="4751"/>
      <c r="AZ371" s="4752"/>
      <c r="BA371" s="4750"/>
      <c r="BB371" s="4751"/>
      <c r="BC371" s="4751"/>
      <c r="BD371" s="4751"/>
      <c r="BE371" s="4751"/>
      <c r="BF371" s="4751"/>
      <c r="BG371" s="4751"/>
      <c r="BH371" s="4751"/>
      <c r="BI371" s="4751"/>
      <c r="BJ371" s="4752"/>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38"/>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53"/>
      <c r="BL372" s="4753"/>
      <c r="BM372" s="4741"/>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740" t="s">
        <v>4555</v>
      </c>
      <c r="BU372" s="4741"/>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38"/>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43" t="str">
        <f>IF(OR(E373='Tablas Técnicas'!A$678,E373='Tablas Técnicas'!A$679,E374='Tablas Técnicas'!A$678,E374='Tablas Técnicas'!A$679,E375='Tablas Técnicas'!A$678,E375='Tablas Técnicas'!A$679),"Selecciona la atadura elemental:","")</f>
        <v/>
      </c>
      <c r="AH373" s="4744"/>
      <c r="AI373" s="4744"/>
      <c r="AJ373" s="4744"/>
      <c r="AK373" s="4744"/>
      <c r="AL373" s="4744"/>
      <c r="AM373" s="4744"/>
      <c r="AN373" s="4744"/>
      <c r="AO373" s="4744"/>
      <c r="AP373" s="4744"/>
      <c r="AQ373" s="4744"/>
      <c r="AR373" s="4744"/>
      <c r="AS373" s="4744"/>
      <c r="AT373" s="4744"/>
      <c r="AU373" s="4744"/>
      <c r="AV373" s="4744"/>
      <c r="AW373" s="4744"/>
      <c r="AX373" s="4744"/>
      <c r="AY373" s="4744"/>
      <c r="AZ373" s="4744"/>
      <c r="BA373" s="4744"/>
      <c r="BB373" s="4744"/>
      <c r="BC373" s="4744"/>
      <c r="BD373" s="4744"/>
      <c r="BE373" s="4744"/>
      <c r="BF373" s="4744"/>
      <c r="BG373" s="4744"/>
      <c r="BH373" s="4744"/>
      <c r="BI373" s="4744"/>
      <c r="BJ373" s="4744"/>
      <c r="BK373" s="4745"/>
      <c r="BL373" s="1453"/>
      <c r="BM373" s="1453"/>
      <c r="BN373" s="1018"/>
      <c r="BO373" s="1018"/>
      <c r="BP373" s="1050"/>
      <c r="BQ373" s="1018"/>
      <c r="BR373" s="1018"/>
      <c r="BS373" s="1018"/>
      <c r="BT373" s="4746">
        <f>D341</f>
        <v>1</v>
      </c>
      <c r="BU373" s="4747"/>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38"/>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38"/>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38"/>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555"/>
      <c r="D3" s="4556"/>
      <c r="E3" s="4556"/>
      <c r="F3" s="4556"/>
      <c r="G3" s="4556"/>
      <c r="H3" s="4556"/>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557"/>
      <c r="D4" s="3213"/>
      <c r="E4" s="3213"/>
      <c r="F4" s="3213"/>
      <c r="G4" s="3213"/>
      <c r="H4" s="3213"/>
      <c r="I4" s="12"/>
      <c r="J4" s="3167" t="s">
        <v>1625</v>
      </c>
      <c r="K4" s="3167"/>
      <c r="L4" s="3168" t="str">
        <f>IF(OR(General!$G$22="",General!$G$22=0),"",General!$G$22)</f>
        <v/>
      </c>
      <c r="M4" s="3168"/>
      <c r="N4" s="3168"/>
      <c r="O4" s="3168"/>
      <c r="P4" s="3168"/>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557"/>
      <c r="D5" s="3213"/>
      <c r="E5" s="3213"/>
      <c r="F5" s="3213"/>
      <c r="G5" s="3213"/>
      <c r="H5" s="3213"/>
      <c r="I5" s="12"/>
      <c r="J5" s="3210" t="s">
        <v>1626</v>
      </c>
      <c r="K5" s="3210"/>
      <c r="L5" s="3211" t="str">
        <f>Principal!$L$5</f>
        <v/>
      </c>
      <c r="M5" s="3211"/>
      <c r="N5" s="3211"/>
      <c r="O5" s="14" t="s">
        <v>1627</v>
      </c>
      <c r="P5" s="15" t="str">
        <f>Principal!$P$5</f>
        <v>0</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557"/>
      <c r="D6" s="3213"/>
      <c r="E6" s="3213"/>
      <c r="F6" s="3213"/>
      <c r="G6" s="3213"/>
      <c r="H6" s="3213"/>
      <c r="I6" s="12"/>
      <c r="J6" s="3212" t="s">
        <v>2149</v>
      </c>
      <c r="K6" s="3212"/>
      <c r="L6" s="3212"/>
      <c r="M6" s="3212"/>
      <c r="N6" s="3212"/>
      <c r="O6" s="3212"/>
      <c r="P6" s="3212"/>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557"/>
      <c r="D7" s="3213"/>
      <c r="E7" s="3213"/>
      <c r="F7" s="3213"/>
      <c r="G7" s="3213"/>
      <c r="H7" s="3213"/>
      <c r="I7" s="12"/>
      <c r="J7" s="3212"/>
      <c r="K7" s="3212"/>
      <c r="L7" s="3212"/>
      <c r="M7" s="3212"/>
      <c r="N7" s="3212"/>
      <c r="O7" s="3212"/>
      <c r="P7" s="3212"/>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558"/>
      <c r="D8" s="4559"/>
      <c r="E8" s="4559"/>
      <c r="F8" s="4559"/>
      <c r="G8" s="4559"/>
      <c r="H8" s="4559"/>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ElanPersonalizado</v>
      </c>
      <c r="AM9" s="2773" t="str">
        <f>IF(ISNUMBER(MATCH($U$11,Lista_LuzyOscuridad,0)),$U$11,"ElanPersonalizado")</f>
        <v>ElanPersonalizado</v>
      </c>
      <c r="AQ9" s="43"/>
      <c r="AR9" s="43"/>
      <c r="AS9" s="43"/>
      <c r="AT9" s="43"/>
    </row>
    <row r="10" spans="1:46" ht="12" customHeight="1" thickBot="1" x14ac:dyDescent="0.25">
      <c r="A10" s="173"/>
      <c r="B10" s="1703"/>
      <c r="C10" s="4842" t="s">
        <v>2149</v>
      </c>
      <c r="D10" s="4843"/>
      <c r="E10" s="4843"/>
      <c r="F10" s="4843"/>
      <c r="G10" s="4844"/>
      <c r="H10" s="67"/>
      <c r="I10" s="3458" t="str">
        <f>"Modificadores Elan: "&amp;C11</f>
        <v xml:space="preserve">Modificadores Elan: </v>
      </c>
      <c r="J10" s="3459"/>
      <c r="K10" s="3459"/>
      <c r="L10" s="3459"/>
      <c r="M10" s="3459"/>
      <c r="N10" s="3459"/>
      <c r="O10" s="3459"/>
      <c r="P10" s="3459"/>
      <c r="Q10" s="3461"/>
      <c r="R10" s="157"/>
      <c r="S10" s="2802"/>
      <c r="T10" s="2051"/>
      <c r="U10" s="4842" t="s">
        <v>2149</v>
      </c>
      <c r="V10" s="4843"/>
      <c r="W10" s="4843"/>
      <c r="X10" s="4843"/>
      <c r="Y10" s="4844"/>
      <c r="Z10" s="67"/>
      <c r="AA10" s="3377" t="str">
        <f>"Modificadores Elan: "&amp;U11</f>
        <v xml:space="preserve">Modificadores Elan: </v>
      </c>
      <c r="AB10" s="3378"/>
      <c r="AC10" s="3378"/>
      <c r="AD10" s="3378"/>
      <c r="AE10" s="3378"/>
      <c r="AF10" s="3378"/>
      <c r="AG10" s="3378"/>
      <c r="AH10" s="3378"/>
      <c r="AI10" s="4845"/>
      <c r="AJ10" s="1710"/>
      <c r="AK10" s="173"/>
      <c r="AQ10" s="43"/>
      <c r="AR10" s="43"/>
      <c r="AS10" s="43"/>
      <c r="AT10" s="43"/>
    </row>
    <row r="11" spans="1:46" ht="12" customHeight="1" thickBot="1" x14ac:dyDescent="0.25">
      <c r="A11" s="173"/>
      <c r="B11" s="1703"/>
      <c r="C11" s="4833"/>
      <c r="D11" s="4834"/>
      <c r="E11" s="4834"/>
      <c r="F11" s="4834"/>
      <c r="G11" s="4835"/>
      <c r="H11" s="67"/>
      <c r="I11" s="4814" t="s">
        <v>8088</v>
      </c>
      <c r="J11" s="4815"/>
      <c r="K11" s="4815"/>
      <c r="L11" s="4815"/>
      <c r="M11" s="4815"/>
      <c r="N11" s="4816"/>
      <c r="O11" s="4831" t="s">
        <v>8090</v>
      </c>
      <c r="P11" s="4815"/>
      <c r="Q11" s="4832"/>
      <c r="R11" s="157"/>
      <c r="S11" s="2802"/>
      <c r="T11" s="2051"/>
      <c r="U11" s="4821"/>
      <c r="V11" s="4822"/>
      <c r="W11" s="4822"/>
      <c r="X11" s="4823"/>
      <c r="Y11" s="4827"/>
      <c r="Z11" s="67"/>
      <c r="AA11" s="4814" t="s">
        <v>8088</v>
      </c>
      <c r="AB11" s="4829"/>
      <c r="AC11" s="4829"/>
      <c r="AD11" s="4829"/>
      <c r="AE11" s="4829"/>
      <c r="AF11" s="4830"/>
      <c r="AG11" s="4831" t="s">
        <v>8090</v>
      </c>
      <c r="AH11" s="4829"/>
      <c r="AI11" s="4832"/>
      <c r="AJ11" s="1710"/>
      <c r="AK11" s="173"/>
      <c r="AL11" s="2773" t="s">
        <v>9993</v>
      </c>
      <c r="AQ11" s="43"/>
      <c r="AR11" s="43"/>
      <c r="AS11" s="43"/>
      <c r="AT11" s="43"/>
    </row>
    <row r="12" spans="1:46" ht="12" customHeight="1" x14ac:dyDescent="0.2">
      <c r="A12" s="173"/>
      <c r="B12" s="1703"/>
      <c r="C12" s="4833"/>
      <c r="D12" s="4834"/>
      <c r="E12" s="4834"/>
      <c r="F12" s="4834"/>
      <c r="G12" s="4835"/>
      <c r="H12" s="67"/>
      <c r="I12" s="4818" t="str">
        <f>IF(C$11="","",INDEX(Tabla_ModElan,MATCH(C$11,INDEX(Tabla_ModElan,,1),0)+Tablas!$A1,1))</f>
        <v/>
      </c>
      <c r="J12" s="4819"/>
      <c r="K12" s="4819"/>
      <c r="L12" s="4819"/>
      <c r="M12" s="4820"/>
      <c r="N12" s="2495" t="str">
        <f t="shared" ref="N12:N18" si="0">IF(I12="","",INDEX(Tabla_ModElan,MATCH(I12,INDEX(Tabla_ModElan,,1),0),2))</f>
        <v/>
      </c>
      <c r="O12" s="4791" t="str">
        <f>IF(C$11="","",INDEX(Tabla_ModElan,MATCH(C$11,INDEX(Tabla_ModElan,,1),0)+Tablas!$A1,5))</f>
        <v/>
      </c>
      <c r="P12" s="4792"/>
      <c r="Q12" s="4797" t="str">
        <f>IF(O12="","",INDEX(Tabla_ModElan,MATCH(O12,INDEX(Tabla_ModElan,,5),0),6))</f>
        <v/>
      </c>
      <c r="R12" s="157"/>
      <c r="S12" s="2802"/>
      <c r="T12" s="2051"/>
      <c r="U12" s="4824"/>
      <c r="V12" s="4825"/>
      <c r="W12" s="4825"/>
      <c r="X12" s="4826"/>
      <c r="Y12" s="4828"/>
      <c r="Z12" s="67"/>
      <c r="AA12" s="4818" t="str">
        <f>IF(U$11="","",INDEX(Tabla_ModElan,MATCH(U$11,INDEX(Tabla_ModElan,,1),0)+Tablas!$A1,1))</f>
        <v/>
      </c>
      <c r="AB12" s="4819"/>
      <c r="AC12" s="4819"/>
      <c r="AD12" s="4819"/>
      <c r="AE12" s="4820"/>
      <c r="AF12" s="2495" t="str">
        <f t="shared" ref="AF12:AF18" si="1">IF(AA12="","",INDEX(Tabla_ModElan,MATCH(AA12,INDEX(Tabla_ModElan,,1),0),2))</f>
        <v/>
      </c>
      <c r="AG12" s="4791" t="str">
        <f>IF(U$11="","",INDEX(Tabla_ModElan,MATCH(U$11,INDEX(Tabla_ModElan,,1),0)+Tablas!$A1,5))</f>
        <v/>
      </c>
      <c r="AH12" s="4792"/>
      <c r="AI12" s="4797"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28"/>
      <c r="D13" s="4129"/>
      <c r="E13" s="4129"/>
      <c r="F13" s="4129"/>
      <c r="G13" s="2042" t="str">
        <f t="shared" ref="G13:G25" si="2">IF(C13="","",VLOOKUP(C13,Tabla_Elan,5,FALSE))</f>
        <v/>
      </c>
      <c r="H13" s="67"/>
      <c r="I13" s="4802" t="str">
        <f>IF(C$11="","",INDEX(Tabla_ModElan,MATCH(C$11,INDEX(Tabla_ModElan,,1),0)+Tablas!$A2,1))</f>
        <v/>
      </c>
      <c r="J13" s="3781"/>
      <c r="K13" s="3781"/>
      <c r="L13" s="3781"/>
      <c r="M13" s="4817"/>
      <c r="N13" s="2496" t="str">
        <f t="shared" si="0"/>
        <v/>
      </c>
      <c r="O13" s="4793"/>
      <c r="P13" s="4794"/>
      <c r="Q13" s="4798"/>
      <c r="R13" s="157"/>
      <c r="S13" s="2802"/>
      <c r="T13" s="2051"/>
      <c r="U13" s="4836"/>
      <c r="V13" s="4837"/>
      <c r="W13" s="4837"/>
      <c r="X13" s="4838"/>
      <c r="Y13" s="2042" t="str">
        <f t="shared" ref="Y13:Y25" si="3">IF(U13="","",VLOOKUP(U13,Tabla_Elan,5,FALSE))</f>
        <v/>
      </c>
      <c r="Z13" s="67"/>
      <c r="AA13" s="4802" t="str">
        <f>IF(U$11="","",INDEX(Tabla_ModElan,MATCH(U$11,INDEX(Tabla_ModElan,,1),0)+Tablas!$A2,1))</f>
        <v/>
      </c>
      <c r="AB13" s="3781"/>
      <c r="AC13" s="3781"/>
      <c r="AD13" s="3781"/>
      <c r="AE13" s="4817"/>
      <c r="AF13" s="2496" t="str">
        <f t="shared" si="1"/>
        <v/>
      </c>
      <c r="AG13" s="4793"/>
      <c r="AH13" s="4794"/>
      <c r="AI13" s="4798"/>
      <c r="AJ13" s="1710"/>
      <c r="AK13" s="173"/>
      <c r="AL13" s="2773" t="b">
        <f>IF(OR($G$11="",Elan!C13=""),FALSE,$G$11&lt;VLOOKUP(C13,Tabla_Elan,3,FALSE))</f>
        <v>0</v>
      </c>
      <c r="AM13" s="2773" t="b">
        <f>IF(OR($Y$11="",Elan!U13=""),FALSE,$Y$11&lt;VLOOKUP(U13,Tabla_Elan,3,FALSE))</f>
        <v>0</v>
      </c>
      <c r="AR13" s="96"/>
      <c r="AS13" s="96"/>
      <c r="AT13" s="43"/>
    </row>
    <row r="14" spans="1:46" ht="12" customHeight="1" x14ac:dyDescent="0.2">
      <c r="A14" s="173"/>
      <c r="B14" s="1703"/>
      <c r="C14" s="4800"/>
      <c r="D14" s="4801"/>
      <c r="E14" s="4801"/>
      <c r="F14" s="4801"/>
      <c r="G14" s="2043" t="str">
        <f t="shared" si="2"/>
        <v/>
      </c>
      <c r="H14" s="2717" t="s">
        <v>3056</v>
      </c>
      <c r="I14" s="4802" t="str">
        <f>IF(C$11="","",INDEX(Tabla_ModElan,MATCH(C$11,INDEX(Tabla_ModElan,,1),0)+Tablas!$A3,1))</f>
        <v/>
      </c>
      <c r="J14" s="3781"/>
      <c r="K14" s="3781"/>
      <c r="L14" s="3781"/>
      <c r="M14" s="4817"/>
      <c r="N14" s="2496" t="str">
        <f t="shared" si="0"/>
        <v/>
      </c>
      <c r="O14" s="4795"/>
      <c r="P14" s="4796"/>
      <c r="Q14" s="4799"/>
      <c r="R14" s="157"/>
      <c r="S14" s="2802"/>
      <c r="T14" s="2051"/>
      <c r="U14" s="4839"/>
      <c r="V14" s="4840"/>
      <c r="W14" s="4840"/>
      <c r="X14" s="4841"/>
      <c r="Y14" s="2043" t="str">
        <f t="shared" si="3"/>
        <v/>
      </c>
      <c r="Z14" s="2717" t="s">
        <v>3056</v>
      </c>
      <c r="AA14" s="4802" t="str">
        <f>IF(U$11="","",INDEX(Tabla_ModElan,MATCH(U$11,INDEX(Tabla_ModElan,,1),0)+Tablas!$A3,1))</f>
        <v/>
      </c>
      <c r="AB14" s="3781"/>
      <c r="AC14" s="3781"/>
      <c r="AD14" s="3781"/>
      <c r="AE14" s="4817"/>
      <c r="AF14" s="2496" t="str">
        <f t="shared" si="1"/>
        <v/>
      </c>
      <c r="AG14" s="3285"/>
      <c r="AH14" s="4796"/>
      <c r="AI14" s="4799"/>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32"/>
      <c r="D15" s="4133"/>
      <c r="E15" s="4133"/>
      <c r="F15" s="4133"/>
      <c r="G15" s="2044" t="str">
        <f t="shared" si="2"/>
        <v/>
      </c>
      <c r="H15" s="2717" t="s">
        <v>3054</v>
      </c>
      <c r="I15" s="4802" t="str">
        <f>IF(C$11="","",INDEX(Tabla_ModElan,MATCH(C$11,INDEX(Tabla_ModElan,,1),0)+Tablas!$A4,1))</f>
        <v/>
      </c>
      <c r="J15" s="3781"/>
      <c r="K15" s="3781"/>
      <c r="L15" s="3781"/>
      <c r="M15" s="4817"/>
      <c r="N15" s="2496" t="str">
        <f t="shared" si="0"/>
        <v/>
      </c>
      <c r="O15" s="4791" t="str">
        <f>IF(C$11="","",INDEX(Tabla_ModElan,MATCH(C$11,INDEX(Tabla_ModElan,,1),0)+Tablas!$A2,5))</f>
        <v/>
      </c>
      <c r="P15" s="4792"/>
      <c r="Q15" s="4797" t="str">
        <f>IF(O15="","",INDEX(Tabla_ModElan,MATCH(O15,INDEX(Tabla_ModElan,,5),0),6))</f>
        <v/>
      </c>
      <c r="R15" s="157"/>
      <c r="S15" s="2802"/>
      <c r="T15" s="2051"/>
      <c r="U15" s="4132"/>
      <c r="V15" s="4133"/>
      <c r="W15" s="4133"/>
      <c r="X15" s="4133"/>
      <c r="Y15" s="2044" t="str">
        <f t="shared" si="3"/>
        <v/>
      </c>
      <c r="Z15" s="2717" t="s">
        <v>3054</v>
      </c>
      <c r="AA15" s="4802" t="str">
        <f>IF(U$11="","",INDEX(Tabla_ModElan,MATCH(U$11,INDEX(Tabla_ModElan,,1),0)+Tablas!$A4,1))</f>
        <v/>
      </c>
      <c r="AB15" s="3781"/>
      <c r="AC15" s="3781"/>
      <c r="AD15" s="3781"/>
      <c r="AE15" s="4817"/>
      <c r="AF15" s="2496" t="str">
        <f t="shared" si="1"/>
        <v/>
      </c>
      <c r="AG15" s="4791" t="str">
        <f>IF(U$11="","",INDEX(Tabla_ModElan,MATCH(U$11,INDEX(Tabla_ModElan,,1),0)+Tablas!$A2,5))</f>
        <v/>
      </c>
      <c r="AH15" s="4792"/>
      <c r="AI15" s="4797"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800"/>
      <c r="D16" s="4801"/>
      <c r="E16" s="4801"/>
      <c r="F16" s="4801"/>
      <c r="G16" s="2043" t="str">
        <f t="shared" si="2"/>
        <v/>
      </c>
      <c r="H16" s="67"/>
      <c r="I16" s="4802" t="str">
        <f>IF(C$11="","",INDEX(Tabla_ModElan,MATCH(C$11,INDEX(Tabla_ModElan,,1),0)+Tablas!$A5,1))</f>
        <v/>
      </c>
      <c r="J16" s="3781"/>
      <c r="K16" s="3781"/>
      <c r="L16" s="3781"/>
      <c r="M16" s="4817"/>
      <c r="N16" s="2496" t="str">
        <f t="shared" si="0"/>
        <v/>
      </c>
      <c r="O16" s="4793"/>
      <c r="P16" s="4794"/>
      <c r="Q16" s="4798"/>
      <c r="R16" s="157"/>
      <c r="S16" s="2802"/>
      <c r="T16" s="2051"/>
      <c r="U16" s="4800"/>
      <c r="V16" s="4801"/>
      <c r="W16" s="4801"/>
      <c r="X16" s="4801"/>
      <c r="Y16" s="2043" t="str">
        <f t="shared" si="3"/>
        <v/>
      </c>
      <c r="Z16" s="67"/>
      <c r="AA16" s="4802" t="str">
        <f>IF(U$11="","",INDEX(Tabla_ModElan,MATCH(U$11,INDEX(Tabla_ModElan,,1),0)+Tablas!$A5,1))</f>
        <v/>
      </c>
      <c r="AB16" s="3781"/>
      <c r="AC16" s="3781"/>
      <c r="AD16" s="3781"/>
      <c r="AE16" s="4817"/>
      <c r="AF16" s="2496" t="str">
        <f t="shared" si="1"/>
        <v/>
      </c>
      <c r="AG16" s="4793"/>
      <c r="AH16" s="4794"/>
      <c r="AI16" s="4798"/>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32"/>
      <c r="D17" s="4133"/>
      <c r="E17" s="4133"/>
      <c r="F17" s="4133"/>
      <c r="G17" s="2044" t="str">
        <f t="shared" si="2"/>
        <v/>
      </c>
      <c r="H17" s="67"/>
      <c r="I17" s="4802" t="str">
        <f>IF(C$11="","",INDEX(Tabla_ModElan,MATCH(C$11,INDEX(Tabla_ModElan,,1),0)+Tablas!$A6,1))</f>
        <v/>
      </c>
      <c r="J17" s="3781"/>
      <c r="K17" s="3781"/>
      <c r="L17" s="3781"/>
      <c r="M17" s="4817"/>
      <c r="N17" s="2496" t="str">
        <f t="shared" si="0"/>
        <v/>
      </c>
      <c r="O17" s="4795"/>
      <c r="P17" s="4796"/>
      <c r="Q17" s="4799"/>
      <c r="R17" s="157"/>
      <c r="S17" s="2802"/>
      <c r="T17" s="2051"/>
      <c r="U17" s="4132"/>
      <c r="V17" s="4133"/>
      <c r="W17" s="4133"/>
      <c r="X17" s="4133"/>
      <c r="Y17" s="2044" t="str">
        <f t="shared" si="3"/>
        <v/>
      </c>
      <c r="Z17" s="67"/>
      <c r="AA17" s="4802" t="str">
        <f>IF(U$11="","",INDEX(Tabla_ModElan,MATCH(U$11,INDEX(Tabla_ModElan,,1),0)+Tablas!$A6,1))</f>
        <v/>
      </c>
      <c r="AB17" s="3781"/>
      <c r="AC17" s="3781"/>
      <c r="AD17" s="3781"/>
      <c r="AE17" s="4817"/>
      <c r="AF17" s="2496" t="str">
        <f t="shared" si="1"/>
        <v/>
      </c>
      <c r="AG17" s="4795"/>
      <c r="AH17" s="4796"/>
      <c r="AI17" s="4799"/>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800"/>
      <c r="D18" s="4801"/>
      <c r="E18" s="4801"/>
      <c r="F18" s="4801"/>
      <c r="G18" s="2043" t="str">
        <f t="shared" si="2"/>
        <v/>
      </c>
      <c r="H18" s="67"/>
      <c r="I18" s="4811" t="str">
        <f>IF(C$11="","",INDEX(Tabla_ModElan,MATCH(C$11,INDEX(Tabla_ModElan,,1),0)+Tablas!$A7,1))</f>
        <v/>
      </c>
      <c r="J18" s="4812"/>
      <c r="K18" s="4812"/>
      <c r="L18" s="4812"/>
      <c r="M18" s="4813"/>
      <c r="N18" s="2496" t="str">
        <f t="shared" si="0"/>
        <v/>
      </c>
      <c r="O18" s="4791" t="str">
        <f>IF(C$11="","",INDEX(Tabla_ModElan,MATCH(C$11,INDEX(Tabla_ModElan,,1),0)+Tablas!$A3,5))</f>
        <v/>
      </c>
      <c r="P18" s="4792"/>
      <c r="Q18" s="4797" t="str">
        <f>IF(O18="","",INDEX(Tabla_ModElan,MATCH(O18,INDEX(Tabla_ModElan,,5),0),6))</f>
        <v/>
      </c>
      <c r="R18" s="157"/>
      <c r="S18" s="2802"/>
      <c r="T18" s="2051"/>
      <c r="U18" s="4800"/>
      <c r="V18" s="4801"/>
      <c r="W18" s="4801"/>
      <c r="X18" s="4801"/>
      <c r="Y18" s="2043" t="str">
        <f t="shared" si="3"/>
        <v/>
      </c>
      <c r="Z18" s="67"/>
      <c r="AA18" s="4811" t="str">
        <f>IF(U$11="","",INDEX(Tabla_ModElan,MATCH(U$11,INDEX(Tabla_ModElan,,1),0)+Tablas!$A7,1))</f>
        <v/>
      </c>
      <c r="AB18" s="4812"/>
      <c r="AC18" s="4812"/>
      <c r="AD18" s="4812"/>
      <c r="AE18" s="4813"/>
      <c r="AF18" s="2496" t="str">
        <f t="shared" si="1"/>
        <v/>
      </c>
      <c r="AG18" s="4791" t="str">
        <f>IF(U$11="","",INDEX(Tabla_ModElan,MATCH(U$11,INDEX(Tabla_ModElan,,1),0)+Tablas!$A3,5))</f>
        <v/>
      </c>
      <c r="AH18" s="4792"/>
      <c r="AI18" s="4797"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32"/>
      <c r="D19" s="4133"/>
      <c r="E19" s="4133"/>
      <c r="F19" s="4133"/>
      <c r="G19" s="2044" t="str">
        <f t="shared" si="2"/>
        <v/>
      </c>
      <c r="H19" s="67"/>
      <c r="I19" s="4814" t="s">
        <v>8089</v>
      </c>
      <c r="J19" s="4815"/>
      <c r="K19" s="4815"/>
      <c r="L19" s="4815"/>
      <c r="M19" s="4815"/>
      <c r="N19" s="4816"/>
      <c r="O19" s="4793"/>
      <c r="P19" s="4794"/>
      <c r="Q19" s="4798"/>
      <c r="R19" s="157"/>
      <c r="S19" s="2802"/>
      <c r="T19" s="2051"/>
      <c r="U19" s="4132"/>
      <c r="V19" s="4133"/>
      <c r="W19" s="4133"/>
      <c r="X19" s="4133"/>
      <c r="Y19" s="2044" t="str">
        <f t="shared" si="3"/>
        <v/>
      </c>
      <c r="Z19" s="67"/>
      <c r="AA19" s="4814" t="s">
        <v>8089</v>
      </c>
      <c r="AB19" s="4815"/>
      <c r="AC19" s="4815"/>
      <c r="AD19" s="4815"/>
      <c r="AE19" s="4815"/>
      <c r="AF19" s="4816"/>
      <c r="AG19" s="4793"/>
      <c r="AH19" s="4794"/>
      <c r="AI19" s="4798"/>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800"/>
      <c r="D20" s="4801"/>
      <c r="E20" s="4801"/>
      <c r="F20" s="4801"/>
      <c r="G20" s="2045" t="str">
        <f t="shared" si="2"/>
        <v/>
      </c>
      <c r="H20" s="67"/>
      <c r="I20" s="4818" t="str">
        <f>IF(C$11="","",INDEX(Tabla_ModElan,MATCH(C$11,INDEX(Tabla_ModElan,,1),0)+Tablas!$A1,3))</f>
        <v/>
      </c>
      <c r="J20" s="4819"/>
      <c r="K20" s="4819"/>
      <c r="L20" s="4819"/>
      <c r="M20" s="4820"/>
      <c r="N20" s="2495" t="str">
        <f t="shared" ref="N20:N26" si="4">IF(I20="","",INDEX(Tabla_ModElan,MATCH(I20,INDEX(Tabla_ModElan,,3),0),4))</f>
        <v/>
      </c>
      <c r="O20" s="4795"/>
      <c r="P20" s="4796"/>
      <c r="Q20" s="4799"/>
      <c r="R20" s="157"/>
      <c r="S20" s="2802"/>
      <c r="T20" s="2051"/>
      <c r="U20" s="4800"/>
      <c r="V20" s="4801"/>
      <c r="W20" s="4801"/>
      <c r="X20" s="4801"/>
      <c r="Y20" s="2045" t="str">
        <f t="shared" si="3"/>
        <v/>
      </c>
      <c r="Z20" s="67"/>
      <c r="AA20" s="4818" t="str">
        <f>IF(U$11="","",INDEX(Tabla_ModElan,MATCH(U$11,INDEX(Tabla_ModElan,,1),0)+Tablas!$A1,3))</f>
        <v/>
      </c>
      <c r="AB20" s="4819"/>
      <c r="AC20" s="4819"/>
      <c r="AD20" s="4819"/>
      <c r="AE20" s="4820"/>
      <c r="AF20" s="2495" t="str">
        <f t="shared" ref="AF20:AF26" si="5">IF(AA20="","",INDEX(Tabla_ModElan,MATCH(AA20,INDEX(Tabla_ModElan,,3),0),4))</f>
        <v/>
      </c>
      <c r="AG20" s="4795"/>
      <c r="AH20" s="4796"/>
      <c r="AI20" s="4799"/>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32"/>
      <c r="D21" s="4133"/>
      <c r="E21" s="4133"/>
      <c r="F21" s="4133"/>
      <c r="G21" s="2044" t="str">
        <f t="shared" si="2"/>
        <v/>
      </c>
      <c r="H21" s="67"/>
      <c r="I21" s="4802" t="str">
        <f>IF(C$11="","",INDEX(Tabla_ModElan,MATCH(C$11,INDEX(Tabla_ModElan,,1),0)+Tablas!$A2,3))</f>
        <v/>
      </c>
      <c r="J21" s="3781"/>
      <c r="K21" s="3781"/>
      <c r="L21" s="3781"/>
      <c r="M21" s="3781"/>
      <c r="N21" s="2496" t="str">
        <f t="shared" si="4"/>
        <v/>
      </c>
      <c r="O21" s="4791" t="str">
        <f>IF(C$11="","",INDEX(Tabla_ModElan,MATCH(C$11,INDEX(Tabla_ModElan,,1),0)+Tablas!$A4,5))</f>
        <v/>
      </c>
      <c r="P21" s="4792"/>
      <c r="Q21" s="4797" t="str">
        <f>IF(O21="","",INDEX(Tabla_ModElan,MATCH(O21,INDEX(Tabla_ModElan,,5),0),6))</f>
        <v/>
      </c>
      <c r="R21" s="157"/>
      <c r="S21" s="2802"/>
      <c r="T21" s="2051"/>
      <c r="U21" s="4132"/>
      <c r="V21" s="4133"/>
      <c r="W21" s="4133"/>
      <c r="X21" s="4133"/>
      <c r="Y21" s="2044" t="str">
        <f t="shared" si="3"/>
        <v/>
      </c>
      <c r="Z21" s="67"/>
      <c r="AA21" s="4802" t="str">
        <f>IF(U$11="","",INDEX(Tabla_ModElan,MATCH(U$11,INDEX(Tabla_ModElan,,1),0)+Tablas!$A2,3))</f>
        <v/>
      </c>
      <c r="AB21" s="3781"/>
      <c r="AC21" s="3781"/>
      <c r="AD21" s="3781"/>
      <c r="AE21" s="3781"/>
      <c r="AF21" s="2496" t="str">
        <f t="shared" si="5"/>
        <v/>
      </c>
      <c r="AG21" s="4791" t="str">
        <f>IF(U$11="","",INDEX(Tabla_ModElan,MATCH(U$11,INDEX(Tabla_ModElan,,1),0)+Tablas!$A4,5))</f>
        <v/>
      </c>
      <c r="AH21" s="4792"/>
      <c r="AI21" s="4797"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800"/>
      <c r="D22" s="4801"/>
      <c r="E22" s="4801"/>
      <c r="F22" s="4801"/>
      <c r="G22" s="2045" t="str">
        <f t="shared" si="2"/>
        <v/>
      </c>
      <c r="H22" s="67"/>
      <c r="I22" s="4802" t="str">
        <f>IF(C$11="","",INDEX(Tabla_ModElan,MATCH(C$11,INDEX(Tabla_ModElan,,1),0)+Tablas!$A3,3))</f>
        <v/>
      </c>
      <c r="J22" s="3781"/>
      <c r="K22" s="3781"/>
      <c r="L22" s="3781"/>
      <c r="M22" s="3781"/>
      <c r="N22" s="2496" t="str">
        <f t="shared" si="4"/>
        <v/>
      </c>
      <c r="O22" s="4793"/>
      <c r="P22" s="4794"/>
      <c r="Q22" s="4798"/>
      <c r="R22" s="157"/>
      <c r="S22" s="2802"/>
      <c r="T22" s="2051"/>
      <c r="U22" s="4800"/>
      <c r="V22" s="4801"/>
      <c r="W22" s="4801"/>
      <c r="X22" s="4801"/>
      <c r="Y22" s="2045" t="str">
        <f t="shared" si="3"/>
        <v/>
      </c>
      <c r="Z22" s="67"/>
      <c r="AA22" s="4802" t="str">
        <f>IF(U$11="","",INDEX(Tabla_ModElan,MATCH(U$11,INDEX(Tabla_ModElan,,1),0)+Tablas!$A3,3))</f>
        <v/>
      </c>
      <c r="AB22" s="3781"/>
      <c r="AC22" s="3781"/>
      <c r="AD22" s="3781"/>
      <c r="AE22" s="3781"/>
      <c r="AF22" s="2496" t="str">
        <f t="shared" si="5"/>
        <v/>
      </c>
      <c r="AG22" s="4793"/>
      <c r="AH22" s="4794"/>
      <c r="AI22" s="4798"/>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32"/>
      <c r="D23" s="4133"/>
      <c r="E23" s="4133"/>
      <c r="F23" s="4133"/>
      <c r="G23" s="2044" t="str">
        <f t="shared" si="2"/>
        <v/>
      </c>
      <c r="H23" s="67"/>
      <c r="I23" s="4802" t="str">
        <f>IF(C$11="","",INDEX(Tabla_ModElan,MATCH(C$11,INDEX(Tabla_ModElan,,1),0)+Tablas!$A4,3))</f>
        <v/>
      </c>
      <c r="J23" s="3781"/>
      <c r="K23" s="3781"/>
      <c r="L23" s="3781"/>
      <c r="M23" s="3781"/>
      <c r="N23" s="2496" t="str">
        <f t="shared" si="4"/>
        <v/>
      </c>
      <c r="O23" s="4795"/>
      <c r="P23" s="4796"/>
      <c r="Q23" s="4799"/>
      <c r="R23" s="157"/>
      <c r="S23" s="2802"/>
      <c r="T23" s="2051"/>
      <c r="U23" s="4132"/>
      <c r="V23" s="4133"/>
      <c r="W23" s="4133"/>
      <c r="X23" s="4133"/>
      <c r="Y23" s="2044" t="str">
        <f t="shared" si="3"/>
        <v/>
      </c>
      <c r="Z23" s="67"/>
      <c r="AA23" s="4802" t="str">
        <f>IF(U$11="","",INDEX(Tabla_ModElan,MATCH(U$11,INDEX(Tabla_ModElan,,1),0)+Tablas!$A4,3))</f>
        <v/>
      </c>
      <c r="AB23" s="3781"/>
      <c r="AC23" s="3781"/>
      <c r="AD23" s="3781"/>
      <c r="AE23" s="3781"/>
      <c r="AF23" s="2496" t="str">
        <f t="shared" si="5"/>
        <v/>
      </c>
      <c r="AG23" s="4795"/>
      <c r="AH23" s="4796"/>
      <c r="AI23" s="4799"/>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800"/>
      <c r="D24" s="4801"/>
      <c r="E24" s="4801"/>
      <c r="F24" s="4801"/>
      <c r="G24" s="2045" t="str">
        <f t="shared" si="2"/>
        <v/>
      </c>
      <c r="H24" s="67"/>
      <c r="I24" s="4802" t="str">
        <f>IF(C$11="","",INDEX(Tabla_ModElan,MATCH(C$11,INDEX(Tabla_ModElan,,1),0)+Tablas!$A5,3))</f>
        <v/>
      </c>
      <c r="J24" s="3781"/>
      <c r="K24" s="3781"/>
      <c r="L24" s="3781"/>
      <c r="M24" s="3781"/>
      <c r="N24" s="2496" t="str">
        <f t="shared" si="4"/>
        <v/>
      </c>
      <c r="O24" s="4791" t="str">
        <f>IF(C$11="","",INDEX(Tabla_ModElan,MATCH(C$11,INDEX(Tabla_ModElan,,1),0)+Tablas!$A5,5))</f>
        <v/>
      </c>
      <c r="P24" s="4792"/>
      <c r="Q24" s="4797" t="str">
        <f>IF(O24="","",INDEX(Tabla_ModElan,MATCH(O24,INDEX(Tabla_ModElan,,5),0),6))</f>
        <v/>
      </c>
      <c r="R24" s="157"/>
      <c r="S24" s="2802"/>
      <c r="T24" s="2051"/>
      <c r="U24" s="4800"/>
      <c r="V24" s="4801"/>
      <c r="W24" s="4801"/>
      <c r="X24" s="4801"/>
      <c r="Y24" s="2045" t="str">
        <f t="shared" si="3"/>
        <v/>
      </c>
      <c r="Z24" s="67"/>
      <c r="AA24" s="4802" t="str">
        <f>IF(U$11="","",INDEX(Tabla_ModElan,MATCH(U$11,INDEX(Tabla_ModElan,,1),0)+Tablas!$A5,3))</f>
        <v/>
      </c>
      <c r="AB24" s="3781"/>
      <c r="AC24" s="3781"/>
      <c r="AD24" s="3781"/>
      <c r="AE24" s="3781"/>
      <c r="AF24" s="2496" t="str">
        <f t="shared" si="5"/>
        <v/>
      </c>
      <c r="AG24" s="4791" t="str">
        <f>IF(U$11="","",INDEX(Tabla_ModElan,MATCH(U$11,INDEX(Tabla_ModElan,,1),0)+Tablas!$A5,5))</f>
        <v/>
      </c>
      <c r="AH24" s="4792"/>
      <c r="AI24" s="4797"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32"/>
      <c r="D25" s="4133"/>
      <c r="E25" s="4133"/>
      <c r="F25" s="4133"/>
      <c r="G25" s="2044" t="str">
        <f t="shared" si="2"/>
        <v/>
      </c>
      <c r="H25" s="67"/>
      <c r="I25" s="4802" t="str">
        <f>IF(C$11="","",INDEX(Tabla_ModElan,MATCH(C$11,INDEX(Tabla_ModElan,,1),0)+Tablas!$A6,3))</f>
        <v/>
      </c>
      <c r="J25" s="3781"/>
      <c r="K25" s="3781"/>
      <c r="L25" s="3781"/>
      <c r="M25" s="3781"/>
      <c r="N25" s="2496" t="str">
        <f t="shared" si="4"/>
        <v/>
      </c>
      <c r="O25" s="4793"/>
      <c r="P25" s="4794"/>
      <c r="Q25" s="4798"/>
      <c r="R25" s="157"/>
      <c r="S25" s="2802"/>
      <c r="T25" s="2051"/>
      <c r="U25" s="4132"/>
      <c r="V25" s="4133"/>
      <c r="W25" s="4133"/>
      <c r="X25" s="4133"/>
      <c r="Y25" s="2044" t="str">
        <f t="shared" si="3"/>
        <v/>
      </c>
      <c r="Z25" s="67"/>
      <c r="AA25" s="4802" t="str">
        <f>IF(U$11="","",INDEX(Tabla_ModElan,MATCH(U$11,INDEX(Tabla_ModElan,,1),0)+Tablas!$A6,3))</f>
        <v/>
      </c>
      <c r="AB25" s="3781"/>
      <c r="AC25" s="3781"/>
      <c r="AD25" s="3781"/>
      <c r="AE25" s="3781"/>
      <c r="AF25" s="2496" t="str">
        <f t="shared" si="5"/>
        <v/>
      </c>
      <c r="AG25" s="4793"/>
      <c r="AH25" s="4794"/>
      <c r="AI25" s="4798"/>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803" t="str">
        <f>IF(SUM(G13:G25)&gt;G11,"Exceso de Elán utilizado","")</f>
        <v/>
      </c>
      <c r="D26" s="4804"/>
      <c r="E26" s="4804"/>
      <c r="F26" s="4804"/>
      <c r="G26" s="4805"/>
      <c r="H26" s="67"/>
      <c r="I26" s="4806" t="str">
        <f>IF(C$11="","",INDEX(Tabla_ModElan,MATCH(C$11,INDEX(Tabla_ModElan,,1),0)+Tablas!$A7,3))</f>
        <v/>
      </c>
      <c r="J26" s="4807"/>
      <c r="K26" s="4807"/>
      <c r="L26" s="4807"/>
      <c r="M26" s="4807"/>
      <c r="N26" s="2497" t="str">
        <f t="shared" si="4"/>
        <v/>
      </c>
      <c r="O26" s="4808"/>
      <c r="P26" s="4809"/>
      <c r="Q26" s="4810"/>
      <c r="R26" s="157"/>
      <c r="S26" s="2802"/>
      <c r="T26" s="2051"/>
      <c r="U26" s="4803" t="str">
        <f>IF(SUM(Y13:Y25)&gt;Y11,"Exceso de Elán utilizado","")</f>
        <v/>
      </c>
      <c r="V26" s="4804"/>
      <c r="W26" s="4804"/>
      <c r="X26" s="4804"/>
      <c r="Y26" s="4805"/>
      <c r="Z26" s="67"/>
      <c r="AA26" s="4806" t="str">
        <f>IF(U$11="","",INDEX(Tabla_ModElan,MATCH(U$11,INDEX(Tabla_ModElan,,1),0)+Tablas!$A7,3))</f>
        <v/>
      </c>
      <c r="AB26" s="4807"/>
      <c r="AC26" s="4807"/>
      <c r="AD26" s="4807"/>
      <c r="AE26" s="4807"/>
      <c r="AF26" s="2497" t="str">
        <f t="shared" si="5"/>
        <v/>
      </c>
      <c r="AG26" s="4808"/>
      <c r="AH26" s="4809"/>
      <c r="AI26" s="4810"/>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77" t="s">
        <v>8417</v>
      </c>
      <c r="D28" s="3378"/>
      <c r="E28" s="3378"/>
      <c r="F28" s="3378"/>
      <c r="G28" s="4788" t="s">
        <v>1861</v>
      </c>
      <c r="H28" s="4789"/>
      <c r="I28" s="4789"/>
      <c r="J28" s="4789"/>
      <c r="K28" s="4789"/>
      <c r="L28" s="4789"/>
      <c r="M28" s="4789"/>
      <c r="N28" s="4789"/>
      <c r="O28" s="4789"/>
      <c r="P28" s="4789"/>
      <c r="Q28" s="4789"/>
      <c r="R28" s="4789"/>
      <c r="S28" s="4789"/>
      <c r="T28" s="4789"/>
      <c r="U28" s="4789"/>
      <c r="V28" s="4789"/>
      <c r="W28" s="4789"/>
      <c r="X28" s="4789"/>
      <c r="Y28" s="4789"/>
      <c r="Z28" s="4789"/>
      <c r="AA28" s="4789"/>
      <c r="AB28" s="4789"/>
      <c r="AC28" s="4789"/>
      <c r="AD28" s="4789"/>
      <c r="AE28" s="4789"/>
      <c r="AF28" s="4789"/>
      <c r="AG28" s="4789"/>
      <c r="AH28" s="4789"/>
      <c r="AI28" s="4790"/>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
      </c>
      <c r="G29" s="4787" t="str">
        <f t="shared" ref="G29:G49" si="6">IF(F29="","",VLOOKUP(F29,Tabla_Elan,8,FALSE))</f>
        <v/>
      </c>
      <c r="H29" s="3272"/>
      <c r="I29" s="3272"/>
      <c r="J29" s="3272"/>
      <c r="K29" s="3272"/>
      <c r="L29" s="3272"/>
      <c r="M29" s="3272"/>
      <c r="N29" s="3272"/>
      <c r="O29" s="3272"/>
      <c r="P29" s="3272"/>
      <c r="Q29" s="3272"/>
      <c r="R29" s="3272"/>
      <c r="S29" s="3272"/>
      <c r="T29" s="3272"/>
      <c r="U29" s="3272"/>
      <c r="V29" s="3272"/>
      <c r="W29" s="3272"/>
      <c r="X29" s="3272"/>
      <c r="Y29" s="3272"/>
      <c r="Z29" s="3272"/>
      <c r="AA29" s="3272"/>
      <c r="AB29" s="3272"/>
      <c r="AC29" s="3272"/>
      <c r="AD29" s="3272"/>
      <c r="AE29" s="3272"/>
      <c r="AF29" s="3272"/>
      <c r="AG29" s="3272"/>
      <c r="AH29" s="3272"/>
      <c r="AI29" s="4159"/>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787" t="str">
        <f t="shared" si="6"/>
        <v/>
      </c>
      <c r="H30" s="3272"/>
      <c r="I30" s="3272"/>
      <c r="J30" s="3272"/>
      <c r="K30" s="3272"/>
      <c r="L30" s="3272"/>
      <c r="M30" s="3272"/>
      <c r="N30" s="3272"/>
      <c r="O30" s="3272"/>
      <c r="P30" s="3272"/>
      <c r="Q30" s="3272"/>
      <c r="R30" s="3272"/>
      <c r="S30" s="3272"/>
      <c r="T30" s="3272"/>
      <c r="U30" s="3272"/>
      <c r="V30" s="3272"/>
      <c r="W30" s="3272"/>
      <c r="X30" s="3272"/>
      <c r="Y30" s="3272"/>
      <c r="Z30" s="3272"/>
      <c r="AA30" s="3272"/>
      <c r="AB30" s="3272"/>
      <c r="AC30" s="3272"/>
      <c r="AD30" s="3272"/>
      <c r="AE30" s="3272"/>
      <c r="AF30" s="3272"/>
      <c r="AG30" s="3272"/>
      <c r="AH30" s="3272"/>
      <c r="AI30" s="4159"/>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787" t="str">
        <f t="shared" si="6"/>
        <v/>
      </c>
      <c r="H31" s="3272"/>
      <c r="I31" s="3272"/>
      <c r="J31" s="3272"/>
      <c r="K31" s="3272"/>
      <c r="L31" s="3272"/>
      <c r="M31" s="3272"/>
      <c r="N31" s="3272"/>
      <c r="O31" s="3272"/>
      <c r="P31" s="3272"/>
      <c r="Q31" s="3272"/>
      <c r="R31" s="3272"/>
      <c r="S31" s="3272"/>
      <c r="T31" s="3272"/>
      <c r="U31" s="3272"/>
      <c r="V31" s="3272"/>
      <c r="W31" s="3272"/>
      <c r="X31" s="3272"/>
      <c r="Y31" s="3272"/>
      <c r="Z31" s="3272"/>
      <c r="AA31" s="3272"/>
      <c r="AB31" s="3272"/>
      <c r="AC31" s="3272"/>
      <c r="AD31" s="3272"/>
      <c r="AE31" s="3272"/>
      <c r="AF31" s="3272"/>
      <c r="AG31" s="3272"/>
      <c r="AH31" s="3272"/>
      <c r="AI31" s="4159"/>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787" t="str">
        <f t="shared" si="6"/>
        <v/>
      </c>
      <c r="H32" s="3272"/>
      <c r="I32" s="3272"/>
      <c r="J32" s="3272"/>
      <c r="K32" s="3272"/>
      <c r="L32" s="3272"/>
      <c r="M32" s="3272"/>
      <c r="N32" s="3272"/>
      <c r="O32" s="3272"/>
      <c r="P32" s="3272"/>
      <c r="Q32" s="3272"/>
      <c r="R32" s="3272"/>
      <c r="S32" s="3272"/>
      <c r="T32" s="3272"/>
      <c r="U32" s="3272"/>
      <c r="V32" s="3272"/>
      <c r="W32" s="3272"/>
      <c r="X32" s="3272"/>
      <c r="Y32" s="3272"/>
      <c r="Z32" s="3272"/>
      <c r="AA32" s="3272"/>
      <c r="AB32" s="3272"/>
      <c r="AC32" s="3272"/>
      <c r="AD32" s="3272"/>
      <c r="AE32" s="3272"/>
      <c r="AF32" s="3272"/>
      <c r="AG32" s="3272"/>
      <c r="AH32" s="3272"/>
      <c r="AI32" s="4159"/>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787" t="str">
        <f t="shared" si="6"/>
        <v/>
      </c>
      <c r="H33" s="3272"/>
      <c r="I33" s="3272"/>
      <c r="J33" s="3272"/>
      <c r="K33" s="3272"/>
      <c r="L33" s="3272"/>
      <c r="M33" s="3272"/>
      <c r="N33" s="3272"/>
      <c r="O33" s="3272"/>
      <c r="P33" s="3272"/>
      <c r="Q33" s="3272"/>
      <c r="R33" s="3272"/>
      <c r="S33" s="3272"/>
      <c r="T33" s="3272"/>
      <c r="U33" s="3272"/>
      <c r="V33" s="3272"/>
      <c r="W33" s="3272"/>
      <c r="X33" s="3272"/>
      <c r="Y33" s="3272"/>
      <c r="Z33" s="3272"/>
      <c r="AA33" s="3272"/>
      <c r="AB33" s="3272"/>
      <c r="AC33" s="3272"/>
      <c r="AD33" s="3272"/>
      <c r="AE33" s="3272"/>
      <c r="AF33" s="3272"/>
      <c r="AG33" s="3272"/>
      <c r="AH33" s="3272"/>
      <c r="AI33" s="4159"/>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787" t="str">
        <f t="shared" si="6"/>
        <v/>
      </c>
      <c r="H34" s="3272"/>
      <c r="I34" s="3272"/>
      <c r="J34" s="3272"/>
      <c r="K34" s="3272"/>
      <c r="L34" s="3272"/>
      <c r="M34" s="3272"/>
      <c r="N34" s="3272"/>
      <c r="O34" s="3272"/>
      <c r="P34" s="3272"/>
      <c r="Q34" s="3272"/>
      <c r="R34" s="3272"/>
      <c r="S34" s="3272"/>
      <c r="T34" s="3272"/>
      <c r="U34" s="3272"/>
      <c r="V34" s="3272"/>
      <c r="W34" s="3272"/>
      <c r="X34" s="3272"/>
      <c r="Y34" s="3272"/>
      <c r="Z34" s="3272"/>
      <c r="AA34" s="3272"/>
      <c r="AB34" s="3272"/>
      <c r="AC34" s="3272"/>
      <c r="AD34" s="3272"/>
      <c r="AE34" s="3272"/>
      <c r="AF34" s="3272"/>
      <c r="AG34" s="3272"/>
      <c r="AH34" s="3272"/>
      <c r="AI34" s="4159"/>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787" t="str">
        <f t="shared" si="6"/>
        <v/>
      </c>
      <c r="H35" s="3272"/>
      <c r="I35" s="3272"/>
      <c r="J35" s="3272"/>
      <c r="K35" s="3272"/>
      <c r="L35" s="3272"/>
      <c r="M35" s="3272"/>
      <c r="N35" s="3272"/>
      <c r="O35" s="3272"/>
      <c r="P35" s="3272"/>
      <c r="Q35" s="3272"/>
      <c r="R35" s="3272"/>
      <c r="S35" s="3272"/>
      <c r="T35" s="3272"/>
      <c r="U35" s="3272"/>
      <c r="V35" s="3272"/>
      <c r="W35" s="3272"/>
      <c r="X35" s="3272"/>
      <c r="Y35" s="3272"/>
      <c r="Z35" s="3272"/>
      <c r="AA35" s="3272"/>
      <c r="AB35" s="3272"/>
      <c r="AC35" s="3272"/>
      <c r="AD35" s="3272"/>
      <c r="AE35" s="3272"/>
      <c r="AF35" s="3272"/>
      <c r="AG35" s="3272"/>
      <c r="AH35" s="3272"/>
      <c r="AI35" s="4159"/>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787" t="str">
        <f t="shared" si="6"/>
        <v/>
      </c>
      <c r="H36" s="3272"/>
      <c r="I36" s="3272"/>
      <c r="J36" s="3272"/>
      <c r="K36" s="3272"/>
      <c r="L36" s="3272"/>
      <c r="M36" s="3272"/>
      <c r="N36" s="3272"/>
      <c r="O36" s="3272"/>
      <c r="P36" s="3272"/>
      <c r="Q36" s="3272"/>
      <c r="R36" s="3272"/>
      <c r="S36" s="3272"/>
      <c r="T36" s="3272"/>
      <c r="U36" s="3272"/>
      <c r="V36" s="3272"/>
      <c r="W36" s="3272"/>
      <c r="X36" s="3272"/>
      <c r="Y36" s="3272"/>
      <c r="Z36" s="3272"/>
      <c r="AA36" s="3272"/>
      <c r="AB36" s="3272"/>
      <c r="AC36" s="3272"/>
      <c r="AD36" s="3272"/>
      <c r="AE36" s="3272"/>
      <c r="AF36" s="3272"/>
      <c r="AG36" s="3272"/>
      <c r="AH36" s="3272"/>
      <c r="AI36" s="4159"/>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787" t="str">
        <f t="shared" si="6"/>
        <v/>
      </c>
      <c r="H37" s="3272"/>
      <c r="I37" s="3272"/>
      <c r="J37" s="3272"/>
      <c r="K37" s="3272"/>
      <c r="L37" s="3272"/>
      <c r="M37" s="3272"/>
      <c r="N37" s="3272"/>
      <c r="O37" s="3272"/>
      <c r="P37" s="3272"/>
      <c r="Q37" s="3272"/>
      <c r="R37" s="3272"/>
      <c r="S37" s="3272"/>
      <c r="T37" s="3272"/>
      <c r="U37" s="3272"/>
      <c r="V37" s="3272"/>
      <c r="W37" s="3272"/>
      <c r="X37" s="3272"/>
      <c r="Y37" s="3272"/>
      <c r="Z37" s="3272"/>
      <c r="AA37" s="3272"/>
      <c r="AB37" s="3272"/>
      <c r="AC37" s="3272"/>
      <c r="AD37" s="3272"/>
      <c r="AE37" s="3272"/>
      <c r="AF37" s="3272"/>
      <c r="AG37" s="3272"/>
      <c r="AH37" s="3272"/>
      <c r="AI37" s="4159"/>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787" t="str">
        <f t="shared" si="6"/>
        <v/>
      </c>
      <c r="H38" s="3272"/>
      <c r="I38" s="3272"/>
      <c r="J38" s="3272"/>
      <c r="K38" s="3272"/>
      <c r="L38" s="3272"/>
      <c r="M38" s="3272"/>
      <c r="N38" s="3272"/>
      <c r="O38" s="3272"/>
      <c r="P38" s="3272"/>
      <c r="Q38" s="3272"/>
      <c r="R38" s="3272"/>
      <c r="S38" s="3272"/>
      <c r="T38" s="3272"/>
      <c r="U38" s="3272"/>
      <c r="V38" s="3272"/>
      <c r="W38" s="3272"/>
      <c r="X38" s="3272"/>
      <c r="Y38" s="3272"/>
      <c r="Z38" s="3272"/>
      <c r="AA38" s="3272"/>
      <c r="AB38" s="3272"/>
      <c r="AC38" s="3272"/>
      <c r="AD38" s="3272"/>
      <c r="AE38" s="3272"/>
      <c r="AF38" s="3272"/>
      <c r="AG38" s="3272"/>
      <c r="AH38" s="3272"/>
      <c r="AI38" s="4159"/>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787" t="str">
        <f t="shared" si="6"/>
        <v/>
      </c>
      <c r="H39" s="3272"/>
      <c r="I39" s="3272"/>
      <c r="J39" s="3272"/>
      <c r="K39" s="3272"/>
      <c r="L39" s="3272"/>
      <c r="M39" s="3272"/>
      <c r="N39" s="3272"/>
      <c r="O39" s="3272"/>
      <c r="P39" s="3272"/>
      <c r="Q39" s="3272"/>
      <c r="R39" s="3272"/>
      <c r="S39" s="3272"/>
      <c r="T39" s="3272"/>
      <c r="U39" s="3272"/>
      <c r="V39" s="3272"/>
      <c r="W39" s="3272"/>
      <c r="X39" s="3272"/>
      <c r="Y39" s="3272"/>
      <c r="Z39" s="3272"/>
      <c r="AA39" s="3272"/>
      <c r="AB39" s="3272"/>
      <c r="AC39" s="3272"/>
      <c r="AD39" s="3272"/>
      <c r="AE39" s="3272"/>
      <c r="AF39" s="3272"/>
      <c r="AG39" s="3272"/>
      <c r="AH39" s="3272"/>
      <c r="AI39" s="4159"/>
      <c r="AJ39" s="1710"/>
      <c r="AK39" s="173"/>
    </row>
    <row r="40" spans="1:56" ht="12" customHeight="1" x14ac:dyDescent="0.2">
      <c r="A40" s="173"/>
      <c r="B40" s="1703"/>
      <c r="C40" s="1931"/>
      <c r="D40" s="325"/>
      <c r="E40" s="325"/>
      <c r="F40" s="1930" t="str">
        <f>IF(ISNA(MATCH(Tablas!$A12,INDEX(Tabla_Elan,,14),0)),"",INDEX(INDEX(Tabla_Elan,,1),MATCH(Tablas!$A12,INDEX(Tabla_Elan,,14),0)))</f>
        <v/>
      </c>
      <c r="G40" s="4787" t="str">
        <f t="shared" si="6"/>
        <v/>
      </c>
      <c r="H40" s="3272"/>
      <c r="I40" s="3272"/>
      <c r="J40" s="3272"/>
      <c r="K40" s="3272"/>
      <c r="L40" s="3272"/>
      <c r="M40" s="3272"/>
      <c r="N40" s="3272"/>
      <c r="O40" s="3272"/>
      <c r="P40" s="3272"/>
      <c r="Q40" s="3272"/>
      <c r="R40" s="3272"/>
      <c r="S40" s="3272"/>
      <c r="T40" s="3272"/>
      <c r="U40" s="3272"/>
      <c r="V40" s="3272"/>
      <c r="W40" s="3272"/>
      <c r="X40" s="3272"/>
      <c r="Y40" s="3272"/>
      <c r="Z40" s="3272"/>
      <c r="AA40" s="3272"/>
      <c r="AB40" s="3272"/>
      <c r="AC40" s="3272"/>
      <c r="AD40" s="3272"/>
      <c r="AE40" s="3272"/>
      <c r="AF40" s="3272"/>
      <c r="AG40" s="3272"/>
      <c r="AH40" s="3272"/>
      <c r="AI40" s="4159"/>
      <c r="AJ40" s="1710"/>
      <c r="AK40" s="173"/>
    </row>
    <row r="41" spans="1:56" ht="12" customHeight="1" x14ac:dyDescent="0.2">
      <c r="A41" s="173"/>
      <c r="B41" s="1703"/>
      <c r="C41" s="1931"/>
      <c r="D41" s="325"/>
      <c r="E41" s="325"/>
      <c r="F41" s="1930" t="str">
        <f>IF(ISNA(MATCH(Tablas!$A13,INDEX(Tabla_Elan,,14),0)),"",INDEX(INDEX(Tabla_Elan,,1),MATCH(Tablas!$A13,INDEX(Tabla_Elan,,14),0)))</f>
        <v/>
      </c>
      <c r="G41" s="4787" t="str">
        <f t="shared" si="6"/>
        <v/>
      </c>
      <c r="H41" s="3272"/>
      <c r="I41" s="3272"/>
      <c r="J41" s="3272"/>
      <c r="K41" s="3272"/>
      <c r="L41" s="3272"/>
      <c r="M41" s="3272"/>
      <c r="N41" s="3272"/>
      <c r="O41" s="3272"/>
      <c r="P41" s="3272"/>
      <c r="Q41" s="3272"/>
      <c r="R41" s="3272"/>
      <c r="S41" s="3272"/>
      <c r="T41" s="3272"/>
      <c r="U41" s="3272"/>
      <c r="V41" s="3272"/>
      <c r="W41" s="3272"/>
      <c r="X41" s="3272"/>
      <c r="Y41" s="3272"/>
      <c r="Z41" s="3272"/>
      <c r="AA41" s="3272"/>
      <c r="AB41" s="3272"/>
      <c r="AC41" s="3272"/>
      <c r="AD41" s="3272"/>
      <c r="AE41" s="3272"/>
      <c r="AF41" s="3272"/>
      <c r="AG41" s="3272"/>
      <c r="AH41" s="3272"/>
      <c r="AI41" s="4159"/>
      <c r="AJ41" s="1710"/>
      <c r="AK41" s="173"/>
    </row>
    <row r="42" spans="1:56" ht="12" customHeight="1" x14ac:dyDescent="0.2">
      <c r="A42" s="173"/>
      <c r="B42" s="1703"/>
      <c r="C42" s="1931"/>
      <c r="D42" s="325"/>
      <c r="E42" s="325"/>
      <c r="F42" s="1930" t="str">
        <f>IF(ISNA(MATCH(Tablas!$A14,INDEX(Tabla_Elan,,14),0)),"",INDEX(INDEX(Tabla_Elan,,1),MATCH(Tablas!$A14,INDEX(Tabla_Elan,,14),0)))</f>
        <v/>
      </c>
      <c r="G42" s="4787" t="str">
        <f t="shared" si="6"/>
        <v/>
      </c>
      <c r="H42" s="3272"/>
      <c r="I42" s="3272"/>
      <c r="J42" s="3272"/>
      <c r="K42" s="3272"/>
      <c r="L42" s="3272"/>
      <c r="M42" s="3272"/>
      <c r="N42" s="3272"/>
      <c r="O42" s="3272"/>
      <c r="P42" s="3272"/>
      <c r="Q42" s="3272"/>
      <c r="R42" s="3272"/>
      <c r="S42" s="3272"/>
      <c r="T42" s="3272"/>
      <c r="U42" s="3272"/>
      <c r="V42" s="3272"/>
      <c r="W42" s="3272"/>
      <c r="X42" s="3272"/>
      <c r="Y42" s="3272"/>
      <c r="Z42" s="3272"/>
      <c r="AA42" s="3272"/>
      <c r="AB42" s="3272"/>
      <c r="AC42" s="3272"/>
      <c r="AD42" s="3272"/>
      <c r="AE42" s="3272"/>
      <c r="AF42" s="3272"/>
      <c r="AG42" s="3272"/>
      <c r="AH42" s="3272"/>
      <c r="AI42" s="4159"/>
      <c r="AJ42" s="1710"/>
      <c r="AK42" s="173"/>
    </row>
    <row r="43" spans="1:56" ht="12" customHeight="1" x14ac:dyDescent="0.2">
      <c r="A43" s="173"/>
      <c r="B43" s="1703"/>
      <c r="C43" s="1931"/>
      <c r="D43" s="325"/>
      <c r="E43" s="325"/>
      <c r="F43" s="1930" t="str">
        <f>IF(ISNA(MATCH(Tablas!$A15,INDEX(Tabla_Elan,,14),0)),"",INDEX(INDEX(Tabla_Elan,,1),MATCH(Tablas!$A15,INDEX(Tabla_Elan,,14),0)))</f>
        <v/>
      </c>
      <c r="G43" s="4787" t="str">
        <f t="shared" si="6"/>
        <v/>
      </c>
      <c r="H43" s="3272"/>
      <c r="I43" s="3272"/>
      <c r="J43" s="3272"/>
      <c r="K43" s="3272"/>
      <c r="L43" s="3272"/>
      <c r="M43" s="3272"/>
      <c r="N43" s="3272"/>
      <c r="O43" s="3272"/>
      <c r="P43" s="3272"/>
      <c r="Q43" s="3272"/>
      <c r="R43" s="3272"/>
      <c r="S43" s="3272"/>
      <c r="T43" s="3272"/>
      <c r="U43" s="3272"/>
      <c r="V43" s="3272"/>
      <c r="W43" s="3272"/>
      <c r="X43" s="3272"/>
      <c r="Y43" s="3272"/>
      <c r="Z43" s="3272"/>
      <c r="AA43" s="3272"/>
      <c r="AB43" s="3272"/>
      <c r="AC43" s="3272"/>
      <c r="AD43" s="3272"/>
      <c r="AE43" s="3272"/>
      <c r="AF43" s="3272"/>
      <c r="AG43" s="3272"/>
      <c r="AH43" s="3272"/>
      <c r="AI43" s="4159"/>
      <c r="AJ43" s="1710"/>
      <c r="AK43" s="173"/>
    </row>
    <row r="44" spans="1:56" ht="12" customHeight="1" x14ac:dyDescent="0.2">
      <c r="A44" s="173"/>
      <c r="B44" s="1703"/>
      <c r="C44" s="1931"/>
      <c r="D44" s="325"/>
      <c r="E44" s="325"/>
      <c r="F44" s="1930" t="str">
        <f>IF(ISNA(MATCH(Tablas!$A16,INDEX(Tabla_Elan,,14),0)),"",INDEX(INDEX(Tabla_Elan,,1),MATCH(Tablas!$A16,INDEX(Tabla_Elan,,14),0)))</f>
        <v/>
      </c>
      <c r="G44" s="4787" t="str">
        <f t="shared" si="6"/>
        <v/>
      </c>
      <c r="H44" s="3272"/>
      <c r="I44" s="3272"/>
      <c r="J44" s="3272"/>
      <c r="K44" s="3272"/>
      <c r="L44" s="3272"/>
      <c r="M44" s="3272"/>
      <c r="N44" s="3272"/>
      <c r="O44" s="3272"/>
      <c r="P44" s="3272"/>
      <c r="Q44" s="3272"/>
      <c r="R44" s="3272"/>
      <c r="S44" s="3272"/>
      <c r="T44" s="3272"/>
      <c r="U44" s="3272"/>
      <c r="V44" s="3272"/>
      <c r="W44" s="3272"/>
      <c r="X44" s="3272"/>
      <c r="Y44" s="3272"/>
      <c r="Z44" s="3272"/>
      <c r="AA44" s="3272"/>
      <c r="AB44" s="3272"/>
      <c r="AC44" s="3272"/>
      <c r="AD44" s="3272"/>
      <c r="AE44" s="3272"/>
      <c r="AF44" s="3272"/>
      <c r="AG44" s="3272"/>
      <c r="AH44" s="3272"/>
      <c r="AI44" s="4159"/>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C10" sqref="C10:G10"/>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918" t="s">
        <v>8717</v>
      </c>
      <c r="D3" s="4919"/>
      <c r="E3" s="4919"/>
      <c r="F3" s="4919"/>
      <c r="G3" s="4919"/>
      <c r="H3" s="4919"/>
      <c r="I3" s="4919"/>
      <c r="J3" s="4919"/>
      <c r="K3" s="4919"/>
      <c r="L3" s="4919"/>
      <c r="M3" s="4919"/>
      <c r="N3" s="4919"/>
      <c r="O3" s="4919"/>
      <c r="P3" s="4919"/>
      <c r="Q3" s="4920"/>
      <c r="R3" s="2516"/>
      <c r="S3" s="2455"/>
      <c r="T3" s="2211"/>
      <c r="U3" s="2213"/>
      <c r="V3" s="4918" t="s">
        <v>8721</v>
      </c>
      <c r="W3" s="4919"/>
      <c r="X3" s="4919"/>
      <c r="Y3" s="4919"/>
      <c r="Z3" s="4919"/>
      <c r="AA3" s="4919"/>
      <c r="AB3" s="4919"/>
      <c r="AC3" s="4919"/>
      <c r="AD3" s="4919"/>
      <c r="AE3" s="4919"/>
      <c r="AF3" s="4919"/>
      <c r="AG3" s="4919"/>
      <c r="AH3" s="4919"/>
      <c r="AI3" s="4919"/>
      <c r="AJ3" s="4920"/>
      <c r="AK3" s="2972"/>
      <c r="AL3" s="2969"/>
    </row>
    <row r="4" spans="1:38" ht="12" customHeight="1" thickBot="1" x14ac:dyDescent="0.25">
      <c r="A4" s="2211"/>
      <c r="B4" s="2515"/>
      <c r="C4" s="3562"/>
      <c r="D4" s="3563"/>
      <c r="E4" s="3563"/>
      <c r="F4" s="3563"/>
      <c r="G4" s="3563"/>
      <c r="H4" s="3563"/>
      <c r="I4" s="3563"/>
      <c r="J4" s="3563"/>
      <c r="K4" s="3563"/>
      <c r="L4" s="3563"/>
      <c r="M4" s="3563"/>
      <c r="N4" s="3563"/>
      <c r="O4" s="3563"/>
      <c r="P4" s="3563"/>
      <c r="Q4" s="3564"/>
      <c r="R4" s="2516"/>
      <c r="S4" s="2455"/>
      <c r="T4" s="2211"/>
      <c r="U4" s="2213"/>
      <c r="V4" s="3562"/>
      <c r="W4" s="3563"/>
      <c r="X4" s="3563"/>
      <c r="Y4" s="3563"/>
      <c r="Z4" s="3563"/>
      <c r="AA4" s="3563"/>
      <c r="AB4" s="3563"/>
      <c r="AC4" s="3563"/>
      <c r="AD4" s="3563"/>
      <c r="AE4" s="3563"/>
      <c r="AF4" s="3563"/>
      <c r="AG4" s="3563"/>
      <c r="AH4" s="3563"/>
      <c r="AI4" s="3563"/>
      <c r="AJ4" s="3564"/>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312" t="s">
        <v>8077</v>
      </c>
      <c r="D6" s="4313"/>
      <c r="E6" s="4313"/>
      <c r="F6" s="5006" t="s">
        <v>8674</v>
      </c>
      <c r="G6" s="5007"/>
      <c r="H6" s="2208"/>
      <c r="I6" s="4879" t="s">
        <v>2151</v>
      </c>
      <c r="J6" s="4880"/>
      <c r="K6" s="4880"/>
      <c r="L6" s="4880"/>
      <c r="M6" s="4880"/>
      <c r="N6" s="4880"/>
      <c r="O6" s="4880"/>
      <c r="P6" s="4880"/>
      <c r="Q6" s="4881"/>
      <c r="R6" s="2516"/>
      <c r="S6" s="2455"/>
      <c r="T6" s="2211"/>
      <c r="U6" s="2213"/>
      <c r="V6" s="4873" t="s">
        <v>10041</v>
      </c>
      <c r="W6" s="4852" t="s">
        <v>10045</v>
      </c>
      <c r="X6" s="4852"/>
      <c r="Y6" s="4860" t="s">
        <v>10037</v>
      </c>
      <c r="Z6" s="4860"/>
      <c r="AA6" s="4860" t="s">
        <v>10036</v>
      </c>
      <c r="AB6" s="4860"/>
      <c r="AC6" s="4860" t="s">
        <v>10046</v>
      </c>
      <c r="AD6" s="4860"/>
      <c r="AE6" s="4860" t="s">
        <v>10038</v>
      </c>
      <c r="AF6" s="4860"/>
      <c r="AG6" s="4860" t="s">
        <v>10040</v>
      </c>
      <c r="AH6" s="4860"/>
      <c r="AI6" s="4860" t="s">
        <v>10046</v>
      </c>
      <c r="AJ6" s="4861"/>
      <c r="AK6" s="2972"/>
      <c r="AL6" s="2969"/>
    </row>
    <row r="7" spans="1:38" ht="12" customHeight="1" thickBot="1" x14ac:dyDescent="0.25">
      <c r="A7" s="2211"/>
      <c r="B7" s="2515"/>
      <c r="C7" s="5004"/>
      <c r="D7" s="5005"/>
      <c r="E7" s="5005"/>
      <c r="F7" s="5008"/>
      <c r="G7" s="5009"/>
      <c r="H7" s="2208"/>
      <c r="I7" s="4551" t="s">
        <v>1684</v>
      </c>
      <c r="J7" s="4978"/>
      <c r="K7" s="4978"/>
      <c r="L7" s="4978"/>
      <c r="M7" s="4978"/>
      <c r="N7" s="4978"/>
      <c r="O7" s="3219"/>
      <c r="P7" s="2517" t="s">
        <v>1685</v>
      </c>
      <c r="Q7" s="2518" t="s">
        <v>1686</v>
      </c>
      <c r="R7" s="2516"/>
      <c r="S7" s="2455"/>
      <c r="T7" s="2211"/>
      <c r="U7" s="2213"/>
      <c r="V7" s="4874"/>
      <c r="W7" s="4853" t="s">
        <v>1702</v>
      </c>
      <c r="X7" s="4854"/>
      <c r="Y7" s="4869"/>
      <c r="Z7" s="4859"/>
      <c r="AA7" s="4869"/>
      <c r="AB7" s="4858"/>
      <c r="AC7" s="4862" t="s">
        <v>1896</v>
      </c>
      <c r="AD7" s="4870"/>
      <c r="AE7" s="4869"/>
      <c r="AF7" s="4859"/>
      <c r="AG7" s="4869"/>
      <c r="AH7" s="4858"/>
      <c r="AI7" s="4862" t="s">
        <v>1896</v>
      </c>
      <c r="AJ7" s="4863"/>
      <c r="AK7" s="2972"/>
      <c r="AL7" s="2969"/>
    </row>
    <row r="8" spans="1:38" ht="12" customHeight="1" thickBot="1" x14ac:dyDescent="0.25">
      <c r="A8" s="2211"/>
      <c r="B8" s="2515"/>
      <c r="C8" s="2208"/>
      <c r="D8" s="2208"/>
      <c r="E8" s="2208"/>
      <c r="F8" s="2208"/>
      <c r="G8" s="2208"/>
      <c r="H8" s="2208"/>
      <c r="I8" s="4984"/>
      <c r="J8" s="4985"/>
      <c r="K8" s="4985"/>
      <c r="L8" s="4985"/>
      <c r="M8" s="4985"/>
      <c r="N8" s="4985"/>
      <c r="O8" s="4986"/>
      <c r="P8" s="338"/>
      <c r="Q8" s="22"/>
      <c r="R8" s="2516"/>
      <c r="S8" s="2455"/>
      <c r="T8" s="2211"/>
      <c r="U8" s="2213"/>
      <c r="V8" s="4874"/>
      <c r="W8" s="4853" t="s">
        <v>8850</v>
      </c>
      <c r="X8" s="4854"/>
      <c r="Y8" s="4869"/>
      <c r="Z8" s="4859"/>
      <c r="AA8" s="4869"/>
      <c r="AB8" s="4858"/>
      <c r="AC8" s="4858"/>
      <c r="AD8" s="4859"/>
      <c r="AE8" s="4869"/>
      <c r="AF8" s="4859"/>
      <c r="AG8" s="4869"/>
      <c r="AH8" s="4858"/>
      <c r="AI8" s="4858"/>
      <c r="AJ8" s="4864"/>
      <c r="AK8" s="2972"/>
      <c r="AL8" s="2969"/>
    </row>
    <row r="9" spans="1:38" ht="12" customHeight="1" x14ac:dyDescent="0.2">
      <c r="A9" s="2211"/>
      <c r="B9" s="2515"/>
      <c r="C9" s="3130" t="s">
        <v>2152</v>
      </c>
      <c r="D9" s="3131"/>
      <c r="E9" s="3131"/>
      <c r="F9" s="3131"/>
      <c r="G9" s="3132"/>
      <c r="H9" s="2208"/>
      <c r="I9" s="4882"/>
      <c r="J9" s="4883"/>
      <c r="K9" s="4883"/>
      <c r="L9" s="4883"/>
      <c r="M9" s="4883"/>
      <c r="N9" s="4883"/>
      <c r="O9" s="4884"/>
      <c r="P9" s="338"/>
      <c r="Q9" s="22"/>
      <c r="R9" s="2516"/>
      <c r="S9" s="2455"/>
      <c r="T9" s="2211"/>
      <c r="U9" s="2213"/>
      <c r="V9" s="4874"/>
      <c r="W9" s="4853" t="s">
        <v>10034</v>
      </c>
      <c r="X9" s="4854"/>
      <c r="Y9" s="4869"/>
      <c r="Z9" s="4859"/>
      <c r="AA9" s="4869"/>
      <c r="AB9" s="4858"/>
      <c r="AC9" s="4858"/>
      <c r="AD9" s="4859"/>
      <c r="AE9" s="4869"/>
      <c r="AF9" s="4859"/>
      <c r="AG9" s="4869"/>
      <c r="AH9" s="4858"/>
      <c r="AI9" s="4858"/>
      <c r="AJ9" s="4864"/>
      <c r="AK9" s="2972"/>
      <c r="AL9" s="2969"/>
    </row>
    <row r="10" spans="1:38" ht="12" customHeight="1" x14ac:dyDescent="0.2">
      <c r="A10" s="2211"/>
      <c r="B10" s="2515"/>
      <c r="C10" s="5048"/>
      <c r="D10" s="5049"/>
      <c r="E10" s="5049"/>
      <c r="F10" s="5049"/>
      <c r="G10" s="5050"/>
      <c r="H10" s="2208"/>
      <c r="I10" s="4882"/>
      <c r="J10" s="4883"/>
      <c r="K10" s="4883"/>
      <c r="L10" s="4883"/>
      <c r="M10" s="4883"/>
      <c r="N10" s="4883"/>
      <c r="O10" s="4884"/>
      <c r="P10" s="338"/>
      <c r="Q10" s="22"/>
      <c r="R10" s="2516"/>
      <c r="S10" s="2455"/>
      <c r="T10" s="2211"/>
      <c r="U10" s="2213"/>
      <c r="V10" s="4874"/>
      <c r="W10" s="4853" t="s">
        <v>1882</v>
      </c>
      <c r="X10" s="4854"/>
      <c r="Y10" s="4869"/>
      <c r="Z10" s="4859"/>
      <c r="AA10" s="4869"/>
      <c r="AB10" s="4858"/>
      <c r="AC10" s="4858"/>
      <c r="AD10" s="4859"/>
      <c r="AE10" s="4869"/>
      <c r="AF10" s="4859"/>
      <c r="AG10" s="4869"/>
      <c r="AH10" s="4858"/>
      <c r="AI10" s="4858"/>
      <c r="AJ10" s="4864"/>
      <c r="AK10" s="2972"/>
      <c r="AL10" s="2969"/>
    </row>
    <row r="11" spans="1:38" ht="12" customHeight="1" x14ac:dyDescent="0.2">
      <c r="A11" s="2211"/>
      <c r="B11" s="2515"/>
      <c r="C11" s="5051"/>
      <c r="D11" s="5052"/>
      <c r="E11" s="5052"/>
      <c r="F11" s="5052"/>
      <c r="G11" s="5053"/>
      <c r="H11" s="2208"/>
      <c r="I11" s="4882"/>
      <c r="J11" s="4883"/>
      <c r="K11" s="4883"/>
      <c r="L11" s="4883"/>
      <c r="M11" s="4883"/>
      <c r="N11" s="4883"/>
      <c r="O11" s="4884"/>
      <c r="P11" s="338"/>
      <c r="Q11" s="22"/>
      <c r="R11" s="2516"/>
      <c r="S11" s="2455"/>
      <c r="T11" s="2211"/>
      <c r="U11" s="2213"/>
      <c r="V11" s="4874"/>
      <c r="W11" s="4855" t="s">
        <v>10045</v>
      </c>
      <c r="X11" s="4855"/>
      <c r="Y11" s="4846"/>
      <c r="Z11" s="4847"/>
      <c r="AA11" s="4867" t="s">
        <v>10039</v>
      </c>
      <c r="AB11" s="4867"/>
      <c r="AC11" s="4867" t="s">
        <v>10046</v>
      </c>
      <c r="AD11" s="4867"/>
      <c r="AE11" s="4867" t="s">
        <v>10038</v>
      </c>
      <c r="AF11" s="4867"/>
      <c r="AG11" s="4867" t="s">
        <v>10040</v>
      </c>
      <c r="AH11" s="4867"/>
      <c r="AI11" s="4867" t="s">
        <v>10046</v>
      </c>
      <c r="AJ11" s="4868"/>
      <c r="AK11" s="2972"/>
      <c r="AL11" s="2969"/>
    </row>
    <row r="12" spans="1:38" ht="12" customHeight="1" thickBot="1" x14ac:dyDescent="0.25">
      <c r="A12" s="2211"/>
      <c r="B12" s="2515"/>
      <c r="C12" s="5054"/>
      <c r="D12" s="5055"/>
      <c r="E12" s="5055"/>
      <c r="F12" s="5055"/>
      <c r="G12" s="5056"/>
      <c r="H12" s="2208"/>
      <c r="I12" s="4999"/>
      <c r="J12" s="5000"/>
      <c r="K12" s="5000"/>
      <c r="L12" s="5000"/>
      <c r="M12" s="5000"/>
      <c r="N12" s="5000"/>
      <c r="O12" s="5001"/>
      <c r="P12" s="339"/>
      <c r="Q12" s="24"/>
      <c r="R12" s="2519"/>
      <c r="S12" s="1880"/>
      <c r="T12" s="2211"/>
      <c r="U12" s="2213"/>
      <c r="V12" s="4874"/>
      <c r="W12" s="4853" t="s">
        <v>1702</v>
      </c>
      <c r="X12" s="4854"/>
      <c r="Y12" s="4848"/>
      <c r="Z12" s="4849"/>
      <c r="AA12" s="4869"/>
      <c r="AB12" s="4858"/>
      <c r="AC12" s="4862" t="s">
        <v>1896</v>
      </c>
      <c r="AD12" s="4870"/>
      <c r="AE12" s="4869"/>
      <c r="AF12" s="4859"/>
      <c r="AG12" s="4869"/>
      <c r="AH12" s="4858"/>
      <c r="AI12" s="4862" t="s">
        <v>1896</v>
      </c>
      <c r="AJ12" s="4863"/>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874"/>
      <c r="W13" s="4853" t="s">
        <v>8850</v>
      </c>
      <c r="X13" s="4854"/>
      <c r="Y13" s="4848"/>
      <c r="Z13" s="4849"/>
      <c r="AA13" s="4869"/>
      <c r="AB13" s="4858"/>
      <c r="AC13" s="4858"/>
      <c r="AD13" s="4859"/>
      <c r="AE13" s="4869"/>
      <c r="AF13" s="4859"/>
      <c r="AG13" s="4869"/>
      <c r="AH13" s="4858"/>
      <c r="AI13" s="4858"/>
      <c r="AJ13" s="4864"/>
      <c r="AK13" s="2956"/>
      <c r="AL13" s="2960"/>
    </row>
    <row r="14" spans="1:38" ht="12" customHeight="1" thickBot="1" x14ac:dyDescent="0.25">
      <c r="A14" s="2211"/>
      <c r="B14" s="2515"/>
      <c r="C14" s="3977" t="s">
        <v>2150</v>
      </c>
      <c r="D14" s="3980"/>
      <c r="E14" s="3980"/>
      <c r="F14" s="3980"/>
      <c r="G14" s="3981"/>
      <c r="H14" s="2208"/>
      <c r="I14" s="2208"/>
      <c r="J14" s="2208"/>
      <c r="K14" s="2208"/>
      <c r="L14" s="2208"/>
      <c r="M14" s="2208"/>
      <c r="N14" s="2208"/>
      <c r="O14" s="2208"/>
      <c r="P14" s="2208"/>
      <c r="Q14" s="2208"/>
      <c r="R14" s="2516"/>
      <c r="S14" s="2455"/>
      <c r="T14" s="2211"/>
      <c r="U14" s="2213"/>
      <c r="V14" s="4874"/>
      <c r="W14" s="4853" t="s">
        <v>10034</v>
      </c>
      <c r="X14" s="4854"/>
      <c r="Y14" s="4848"/>
      <c r="Z14" s="4849"/>
      <c r="AA14" s="4869"/>
      <c r="AB14" s="4858"/>
      <c r="AC14" s="4858"/>
      <c r="AD14" s="4859"/>
      <c r="AE14" s="4869"/>
      <c r="AF14" s="4859"/>
      <c r="AG14" s="4869"/>
      <c r="AH14" s="4858"/>
      <c r="AI14" s="4858"/>
      <c r="AJ14" s="4864"/>
      <c r="AK14" s="2972"/>
      <c r="AL14" s="2969"/>
    </row>
    <row r="15" spans="1:38" ht="12" customHeight="1" thickBot="1" x14ac:dyDescent="0.25">
      <c r="A15" s="2211"/>
      <c r="B15" s="2515"/>
      <c r="C15" s="5057" t="s">
        <v>1838</v>
      </c>
      <c r="D15" s="5058"/>
      <c r="E15" s="5058"/>
      <c r="F15" s="5059"/>
      <c r="G15" s="2444" t="s">
        <v>1801</v>
      </c>
      <c r="H15" s="2208"/>
      <c r="I15" s="4879" t="s">
        <v>2153</v>
      </c>
      <c r="J15" s="4880"/>
      <c r="K15" s="4880"/>
      <c r="L15" s="4880"/>
      <c r="M15" s="4880"/>
      <c r="N15" s="4880"/>
      <c r="O15" s="4880"/>
      <c r="P15" s="4880"/>
      <c r="Q15" s="4881"/>
      <c r="R15" s="2516"/>
      <c r="S15" s="2455"/>
      <c r="T15" s="2211"/>
      <c r="U15" s="2213"/>
      <c r="V15" s="4875"/>
      <c r="W15" s="4856" t="s">
        <v>1882</v>
      </c>
      <c r="X15" s="4857"/>
      <c r="Y15" s="4850"/>
      <c r="Z15" s="4851"/>
      <c r="AA15" s="4871"/>
      <c r="AB15" s="4865"/>
      <c r="AC15" s="4865"/>
      <c r="AD15" s="4872"/>
      <c r="AE15" s="4871"/>
      <c r="AF15" s="4872"/>
      <c r="AG15" s="4871"/>
      <c r="AH15" s="4865"/>
      <c r="AI15" s="4865"/>
      <c r="AJ15" s="4866"/>
      <c r="AK15" s="2972"/>
      <c r="AL15" s="2969"/>
    </row>
    <row r="16" spans="1:38" ht="12" customHeight="1" thickBot="1" x14ac:dyDescent="0.25">
      <c r="A16" s="2211"/>
      <c r="B16" s="2515"/>
      <c r="C16" s="4963"/>
      <c r="D16" s="4964"/>
      <c r="E16" s="4964"/>
      <c r="F16" s="4965"/>
      <c r="G16" s="2219"/>
      <c r="H16" s="2208"/>
      <c r="I16" s="4551" t="s">
        <v>1752</v>
      </c>
      <c r="J16" s="4978"/>
      <c r="K16" s="4978"/>
      <c r="L16" s="4978"/>
      <c r="M16" s="4978"/>
      <c r="N16" s="4978"/>
      <c r="O16" s="3219"/>
      <c r="P16" s="74" t="s">
        <v>1685</v>
      </c>
      <c r="Q16" s="21" t="s">
        <v>1686</v>
      </c>
      <c r="R16" s="2516"/>
      <c r="S16" s="2455"/>
      <c r="T16" s="2211"/>
      <c r="U16" s="2213"/>
      <c r="AK16" s="2972"/>
      <c r="AL16" s="2969"/>
    </row>
    <row r="17" spans="1:40" ht="12" customHeight="1" thickBot="1" x14ac:dyDescent="0.25">
      <c r="A17" s="2211"/>
      <c r="B17" s="2515"/>
      <c r="C17" s="5061"/>
      <c r="D17" s="4050"/>
      <c r="E17" s="4050"/>
      <c r="F17" s="4937"/>
      <c r="G17" s="2220"/>
      <c r="H17" s="2208"/>
      <c r="I17" s="4882"/>
      <c r="J17" s="4883"/>
      <c r="K17" s="4883"/>
      <c r="L17" s="4883"/>
      <c r="M17" s="4883"/>
      <c r="N17" s="4883"/>
      <c r="O17" s="4884"/>
      <c r="P17" s="220"/>
      <c r="Q17" s="22"/>
      <c r="R17" s="2516"/>
      <c r="S17" s="2455"/>
      <c r="T17" s="2211"/>
      <c r="U17" s="2213"/>
      <c r="V17" s="4873" t="s">
        <v>2940</v>
      </c>
      <c r="W17" s="4983" t="s">
        <v>8714</v>
      </c>
      <c r="X17" s="4983"/>
      <c r="Y17" s="5045" t="s">
        <v>1766</v>
      </c>
      <c r="Z17" s="5046"/>
      <c r="AB17" s="4987" t="s">
        <v>8718</v>
      </c>
      <c r="AC17" s="4988"/>
      <c r="AD17" s="4988"/>
      <c r="AE17" s="4989"/>
      <c r="AG17" s="4987" t="s">
        <v>8720</v>
      </c>
      <c r="AH17" s="4988"/>
      <c r="AI17" s="4988"/>
      <c r="AJ17" s="4989"/>
      <c r="AK17" s="2972"/>
      <c r="AL17" s="2969"/>
    </row>
    <row r="18" spans="1:40" ht="12" customHeight="1" thickBot="1" x14ac:dyDescent="0.25">
      <c r="A18" s="2211"/>
      <c r="B18" s="2515"/>
      <c r="C18" s="5060"/>
      <c r="D18" s="4051"/>
      <c r="E18" s="4051"/>
      <c r="F18" s="4938"/>
      <c r="G18" s="2221"/>
      <c r="H18" s="2208"/>
      <c r="I18" s="4882"/>
      <c r="J18" s="4883"/>
      <c r="K18" s="4883"/>
      <c r="L18" s="4883"/>
      <c r="M18" s="4883"/>
      <c r="N18" s="4883"/>
      <c r="O18" s="4884"/>
      <c r="P18" s="2439"/>
      <c r="Q18" s="22"/>
      <c r="R18" s="2516"/>
      <c r="S18" s="2455"/>
      <c r="T18" s="2211"/>
      <c r="U18" s="2213"/>
      <c r="V18" s="4874"/>
      <c r="W18" s="4982" t="s">
        <v>8715</v>
      </c>
      <c r="X18" s="4982"/>
      <c r="Y18" s="5047" t="s">
        <v>1766</v>
      </c>
      <c r="Z18" s="5047"/>
      <c r="AB18" s="5002" t="s">
        <v>8719</v>
      </c>
      <c r="AC18" s="5003"/>
      <c r="AD18" s="5003"/>
      <c r="AE18" s="2254" t="s">
        <v>1690</v>
      </c>
      <c r="AG18" s="4996"/>
      <c r="AH18" s="4997"/>
      <c r="AI18" s="4997"/>
      <c r="AJ18" s="4998"/>
      <c r="AK18" s="2972"/>
      <c r="AL18" s="2969"/>
    </row>
    <row r="19" spans="1:40" ht="15" customHeight="1" thickBot="1" x14ac:dyDescent="0.25">
      <c r="A19" s="2211"/>
      <c r="B19" s="2515"/>
      <c r="C19" s="5011"/>
      <c r="D19" s="5012"/>
      <c r="E19" s="5012"/>
      <c r="F19" s="5013"/>
      <c r="G19" s="2230"/>
      <c r="H19" s="2208"/>
      <c r="I19" s="4882"/>
      <c r="J19" s="4883"/>
      <c r="K19" s="4883"/>
      <c r="L19" s="4883"/>
      <c r="M19" s="4883"/>
      <c r="N19" s="4883"/>
      <c r="O19" s="4884"/>
      <c r="P19" s="2439"/>
      <c r="Q19" s="22"/>
      <c r="R19" s="2516"/>
      <c r="S19" s="2455"/>
      <c r="T19" s="2211"/>
      <c r="U19" s="2213"/>
      <c r="V19" s="4874"/>
      <c r="W19" s="5036" t="s">
        <v>8716</v>
      </c>
      <c r="X19" s="5037"/>
      <c r="Y19" s="5037"/>
      <c r="Z19" s="5038"/>
      <c r="AB19" s="4996"/>
      <c r="AC19" s="4997"/>
      <c r="AD19" s="4997"/>
      <c r="AE19" s="4998"/>
      <c r="AG19" s="4990"/>
      <c r="AH19" s="4991"/>
      <c r="AI19" s="4991"/>
      <c r="AJ19" s="4992"/>
      <c r="AK19" s="2972"/>
      <c r="AL19" s="2969"/>
    </row>
    <row r="20" spans="1:40" ht="12" customHeight="1" thickBot="1" x14ac:dyDescent="0.25">
      <c r="A20" s="2211"/>
      <c r="B20" s="2515"/>
      <c r="C20" s="2208"/>
      <c r="D20" s="2208"/>
      <c r="E20" s="2208"/>
      <c r="F20" s="2208"/>
      <c r="G20" s="2208"/>
      <c r="H20" s="2208"/>
      <c r="I20" s="4882"/>
      <c r="J20" s="4883"/>
      <c r="K20" s="4883"/>
      <c r="L20" s="4883"/>
      <c r="M20" s="4883"/>
      <c r="N20" s="4883"/>
      <c r="O20" s="4884"/>
      <c r="P20" s="2439"/>
      <c r="Q20" s="22"/>
      <c r="R20" s="2516"/>
      <c r="S20" s="2455"/>
      <c r="T20" s="2211"/>
      <c r="U20" s="2213"/>
      <c r="V20" s="4874"/>
      <c r="W20" s="5039" t="s">
        <v>1956</v>
      </c>
      <c r="X20" s="5040"/>
      <c r="Y20" s="5040"/>
      <c r="Z20" s="5041"/>
      <c r="AB20" s="4990"/>
      <c r="AC20" s="4991"/>
      <c r="AD20" s="4991"/>
      <c r="AE20" s="4992"/>
      <c r="AG20" s="4993"/>
      <c r="AH20" s="4994"/>
      <c r="AI20" s="4994"/>
      <c r="AJ20" s="4995"/>
      <c r="AK20" s="2972"/>
      <c r="AL20" s="2969"/>
    </row>
    <row r="21" spans="1:40" ht="12" customHeight="1" thickBot="1" x14ac:dyDescent="0.25">
      <c r="A21" s="2211"/>
      <c r="B21" s="2515"/>
      <c r="C21" s="5014" t="s">
        <v>8065</v>
      </c>
      <c r="D21" s="5015"/>
      <c r="E21" s="5015"/>
      <c r="F21" s="5015"/>
      <c r="G21" s="5016"/>
      <c r="H21" s="2208"/>
      <c r="I21" s="4882"/>
      <c r="J21" s="4883"/>
      <c r="K21" s="4883"/>
      <c r="L21" s="4883"/>
      <c r="M21" s="4883"/>
      <c r="N21" s="4883"/>
      <c r="O21" s="4884"/>
      <c r="P21" s="2439"/>
      <c r="Q21" s="22"/>
      <c r="R21" s="2516"/>
      <c r="S21" s="2455"/>
      <c r="T21" s="2211"/>
      <c r="U21" s="2213"/>
      <c r="V21" s="4875"/>
      <c r="W21" s="5042" t="s">
        <v>1956</v>
      </c>
      <c r="X21" s="5043"/>
      <c r="Y21" s="5043"/>
      <c r="Z21" s="5044"/>
      <c r="AB21" s="4979"/>
      <c r="AC21" s="4980"/>
      <c r="AD21" s="4980"/>
      <c r="AE21" s="4981"/>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5029" t="str">
        <f>IF(Tablas!G480&gt;0,"Ventaja elegida","")</f>
        <v/>
      </c>
      <c r="D22" s="4926"/>
      <c r="E22" s="5020" t="str">
        <f>IF(C22="","Aplicar bonos:","")</f>
        <v>Aplicar bonos:</v>
      </c>
      <c r="F22" s="5020"/>
      <c r="G22" s="1879" t="s">
        <v>1690</v>
      </c>
      <c r="H22" s="2208"/>
      <c r="I22" s="4882"/>
      <c r="J22" s="4883"/>
      <c r="K22" s="4883"/>
      <c r="L22" s="4883"/>
      <c r="M22" s="4883"/>
      <c r="N22" s="4883"/>
      <c r="O22" s="4884"/>
      <c r="P22" s="2439"/>
      <c r="Q22" s="22"/>
      <c r="R22" s="2519"/>
      <c r="S22" s="1881"/>
      <c r="T22" s="2211"/>
      <c r="U22" s="2213"/>
      <c r="AK22" s="2956"/>
      <c r="AL22" s="2960"/>
    </row>
    <row r="23" spans="1:40" ht="12" customHeight="1" thickBot="1" x14ac:dyDescent="0.25">
      <c r="A23" s="2211"/>
      <c r="B23" s="2515"/>
      <c r="C23" s="5021" t="str">
        <f>IF(Region="","Región no definida",Region)</f>
        <v>Región no definida</v>
      </c>
      <c r="D23" s="5022"/>
      <c r="E23" s="5022" t="str">
        <f>IF(Region="","Clase social no definida",ClaseSocial)</f>
        <v>Clase social no definida</v>
      </c>
      <c r="F23" s="5022"/>
      <c r="G23" s="5023"/>
      <c r="H23" s="2208"/>
      <c r="I23" s="4882"/>
      <c r="J23" s="4883"/>
      <c r="K23" s="4883"/>
      <c r="L23" s="4883"/>
      <c r="M23" s="4883"/>
      <c r="N23" s="4883"/>
      <c r="O23" s="4884"/>
      <c r="P23" s="2439"/>
      <c r="Q23" s="22"/>
      <c r="R23" s="2516"/>
      <c r="S23" s="2455"/>
      <c r="T23" s="2211"/>
      <c r="U23" s="2213"/>
      <c r="V23" s="3172" t="s">
        <v>2154</v>
      </c>
      <c r="W23" s="3172"/>
      <c r="X23" s="3172"/>
      <c r="Y23" s="3172"/>
      <c r="Z23" s="3172"/>
      <c r="AA23" s="3172"/>
      <c r="AB23" s="3172"/>
      <c r="AC23" s="3172"/>
      <c r="AD23" s="3172"/>
      <c r="AE23" s="3172"/>
      <c r="AF23" s="3172"/>
      <c r="AG23" s="3172"/>
      <c r="AH23" s="3172"/>
      <c r="AI23" s="3172"/>
      <c r="AJ23" s="3172"/>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5021"/>
      <c r="D24" s="5022"/>
      <c r="E24" s="5022"/>
      <c r="F24" s="5022"/>
      <c r="G24" s="5023"/>
      <c r="H24" s="2208"/>
      <c r="I24" s="4882"/>
      <c r="J24" s="4883"/>
      <c r="K24" s="4883"/>
      <c r="L24" s="4883"/>
      <c r="M24" s="4883"/>
      <c r="N24" s="4883"/>
      <c r="O24" s="4884"/>
      <c r="P24" s="2439"/>
      <c r="Q24" s="22"/>
      <c r="R24" s="2516"/>
      <c r="S24" s="2455"/>
      <c r="T24" s="2211"/>
      <c r="U24" s="2213"/>
      <c r="V24" s="3479" t="s">
        <v>1625</v>
      </c>
      <c r="W24" s="3479"/>
      <c r="X24" s="4966"/>
      <c r="Y24" s="4966"/>
      <c r="Z24" s="4966"/>
      <c r="AA24" s="4966"/>
      <c r="AB24" s="4976"/>
      <c r="AC24" s="4976"/>
      <c r="AD24" s="4976"/>
      <c r="AE24" s="4976"/>
      <c r="AF24" s="4976"/>
      <c r="AG24" s="4976"/>
      <c r="AH24" s="4976"/>
      <c r="AI24" s="4976"/>
      <c r="AJ24" s="4976"/>
      <c r="AK24" s="2972"/>
      <c r="AL24" s="2969"/>
      <c r="AM24" s="2715" t="s">
        <v>8063</v>
      </c>
      <c r="AN24" s="2914" t="str">
        <f>IF(Tablas!N136="","","Tablas!$M$33:$M$34")</f>
        <v/>
      </c>
    </row>
    <row r="25" spans="1:40" ht="12" customHeight="1" x14ac:dyDescent="0.2">
      <c r="A25" s="2211"/>
      <c r="B25" s="2515"/>
      <c r="C25" s="5030" t="str">
        <f>IF(Tablas!L136="","","Bono Especial:")</f>
        <v/>
      </c>
      <c r="D25" s="5031"/>
      <c r="E25" s="5017"/>
      <c r="F25" s="5018"/>
      <c r="G25" s="5019"/>
      <c r="H25" s="2208"/>
      <c r="I25" s="4882"/>
      <c r="J25" s="4883"/>
      <c r="K25" s="4883"/>
      <c r="L25" s="4883"/>
      <c r="M25" s="4883"/>
      <c r="N25" s="4883"/>
      <c r="O25" s="4884"/>
      <c r="P25" s="2439"/>
      <c r="Q25" s="22"/>
      <c r="R25" s="2516"/>
      <c r="S25" s="2455"/>
      <c r="T25" s="2211"/>
      <c r="U25" s="2213"/>
      <c r="V25" s="3479" t="s">
        <v>2155</v>
      </c>
      <c r="W25" s="3479"/>
      <c r="X25" s="81" t="s">
        <v>1690</v>
      </c>
      <c r="Y25" s="340" t="s">
        <v>1702</v>
      </c>
      <c r="Z25" s="154" t="s">
        <v>1882</v>
      </c>
      <c r="AA25" s="4126" t="s">
        <v>2156</v>
      </c>
      <c r="AB25" s="4126"/>
      <c r="AC25" s="81"/>
      <c r="AD25" s="238" t="s">
        <v>2157</v>
      </c>
      <c r="AE25" s="149"/>
      <c r="AF25" s="143" t="s">
        <v>1702</v>
      </c>
      <c r="AG25" s="4968" t="str">
        <f>IF(W26="Escudo","Bono de Parada:",IF(W26="Proyectiles","FUE del arma:",""))</f>
        <v/>
      </c>
      <c r="AH25" s="4969"/>
      <c r="AI25" s="4969"/>
      <c r="AJ25" s="112"/>
      <c r="AK25" s="2972"/>
      <c r="AL25" s="2969"/>
    </row>
    <row r="26" spans="1:40" ht="12" customHeight="1" thickBot="1" x14ac:dyDescent="0.25">
      <c r="A26" s="2211"/>
      <c r="B26" s="2515"/>
      <c r="C26" s="5024" t="str">
        <f>IF(Tablas!N136="","","Bono Especial:")</f>
        <v/>
      </c>
      <c r="D26" s="5025"/>
      <c r="E26" s="5026"/>
      <c r="F26" s="5027"/>
      <c r="G26" s="5028"/>
      <c r="H26" s="2208"/>
      <c r="I26" s="4999"/>
      <c r="J26" s="5000"/>
      <c r="K26" s="5000"/>
      <c r="L26" s="5000"/>
      <c r="M26" s="5000"/>
      <c r="N26" s="5000"/>
      <c r="O26" s="5001"/>
      <c r="P26" s="2441"/>
      <c r="Q26" s="24"/>
      <c r="R26" s="2516"/>
      <c r="S26" s="2455"/>
      <c r="T26" s="2211"/>
      <c r="U26" s="2213"/>
      <c r="V26" s="341" t="s">
        <v>2158</v>
      </c>
      <c r="W26" s="3717"/>
      <c r="X26" s="3717"/>
      <c r="Y26" s="4972"/>
      <c r="Z26" s="4972"/>
      <c r="AA26" s="129" t="s">
        <v>1884</v>
      </c>
      <c r="AB26" s="129" t="s">
        <v>1885</v>
      </c>
      <c r="AC26" s="129" t="s">
        <v>1869</v>
      </c>
      <c r="AD26" s="129" t="s">
        <v>1886</v>
      </c>
      <c r="AE26" s="342" t="s">
        <v>1870</v>
      </c>
      <c r="AF26" s="136" t="s">
        <v>2996</v>
      </c>
      <c r="AG26" s="4885" t="str">
        <f>IF(W26="Escudo","Bono de Esquiva:",IF(W26="Proyectiles","Turnos de recarga:",""))</f>
        <v/>
      </c>
      <c r="AH26" s="4886"/>
      <c r="AI26" s="4886"/>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726"/>
      <c r="X27" s="3726"/>
      <c r="Y27" s="4972"/>
      <c r="Z27" s="4972"/>
      <c r="AA27" s="85"/>
      <c r="AB27" s="85"/>
      <c r="AC27" s="85"/>
      <c r="AD27" s="85"/>
      <c r="AE27" s="85"/>
      <c r="AF27" s="541"/>
      <c r="AG27" s="4887" t="str">
        <f>IF(W26="Proyectiles","Alcance:","")</f>
        <v/>
      </c>
      <c r="AH27" s="4887"/>
      <c r="AI27" s="4887"/>
      <c r="AJ27" s="114"/>
      <c r="AK27" s="2972"/>
      <c r="AL27" s="2969"/>
    </row>
    <row r="28" spans="1:40" ht="12" customHeight="1" x14ac:dyDescent="0.2">
      <c r="A28" s="2211"/>
      <c r="B28" s="2515"/>
      <c r="C28" s="2208"/>
      <c r="D28" s="2208"/>
      <c r="E28" s="4929" t="s">
        <v>1837</v>
      </c>
      <c r="F28" s="4788" t="s">
        <v>1838</v>
      </c>
      <c r="G28" s="4789"/>
      <c r="H28" s="4932"/>
      <c r="I28" s="2231" t="s">
        <v>1839</v>
      </c>
      <c r="J28" s="5032" t="s">
        <v>1840</v>
      </c>
      <c r="K28" s="4932"/>
      <c r="L28" s="5032" t="s">
        <v>1841</v>
      </c>
      <c r="M28" s="4789"/>
      <c r="N28" s="5062" t="str">
        <f>IF(SUM(I29:I31)+SUM(I32:I34)&gt;0,"Selecciona la/s Habilidad/es asociadas a las Ventajas",IF(SUM(I29:I31)+SUM(I32:I34)&lt;0,"Exceso de Habilidad/es seleccionadas",""))</f>
        <v/>
      </c>
      <c r="O28" s="5063"/>
      <c r="P28" s="2208"/>
      <c r="Q28" s="2208"/>
      <c r="R28" s="2516"/>
      <c r="S28" s="2455"/>
      <c r="T28" s="2211"/>
      <c r="U28" s="2213"/>
      <c r="V28" s="3479" t="s">
        <v>1625</v>
      </c>
      <c r="W28" s="3479"/>
      <c r="X28" s="4966"/>
      <c r="Y28" s="4966"/>
      <c r="Z28" s="4966"/>
      <c r="AA28" s="4966"/>
      <c r="AB28" s="4967"/>
      <c r="AC28" s="4967"/>
      <c r="AD28" s="4967"/>
      <c r="AE28" s="4967"/>
      <c r="AF28" s="4967"/>
      <c r="AG28" s="4967"/>
      <c r="AH28" s="4967"/>
      <c r="AI28" s="4967"/>
      <c r="AJ28" s="4967"/>
      <c r="AK28" s="2972"/>
      <c r="AL28" s="2969"/>
    </row>
    <row r="29" spans="1:40" ht="12" customHeight="1" x14ac:dyDescent="0.2">
      <c r="A29" s="2211"/>
      <c r="B29" s="2515"/>
      <c r="C29" s="2208"/>
      <c r="D29" s="2208"/>
      <c r="E29" s="4930"/>
      <c r="F29" s="2446" t="s">
        <v>1842</v>
      </c>
      <c r="G29" s="2443"/>
      <c r="H29" s="2443"/>
      <c r="I29" s="97">
        <f>Tablas!$G$276-IF(J29=0,0,1)-IF(L29=0,0,1)</f>
        <v>0</v>
      </c>
      <c r="J29" s="4916"/>
      <c r="K29" s="3719"/>
      <c r="L29" s="5033"/>
      <c r="M29" s="4049"/>
      <c r="N29" s="5064"/>
      <c r="O29" s="5065"/>
      <c r="P29" s="2208"/>
      <c r="Q29" s="2208"/>
      <c r="R29" s="2516"/>
      <c r="S29" s="2455"/>
      <c r="T29" s="2211"/>
      <c r="U29" s="2213"/>
      <c r="V29" s="3479" t="s">
        <v>2155</v>
      </c>
      <c r="W29" s="3479"/>
      <c r="X29" s="81" t="s">
        <v>1690</v>
      </c>
      <c r="Y29" s="340" t="s">
        <v>1702</v>
      </c>
      <c r="Z29" s="154" t="s">
        <v>1882</v>
      </c>
      <c r="AA29" s="4126" t="s">
        <v>2156</v>
      </c>
      <c r="AB29" s="4126"/>
      <c r="AC29" s="81"/>
      <c r="AD29" s="238" t="s">
        <v>2157</v>
      </c>
      <c r="AE29" s="149"/>
      <c r="AF29" s="143" t="s">
        <v>1702</v>
      </c>
      <c r="AG29" s="4968" t="str">
        <f>IF(W30="Escudo","Bono de Parada:",IF(W30="Proyectiles","FUE del arma:",""))</f>
        <v/>
      </c>
      <c r="AH29" s="4969"/>
      <c r="AI29" s="4969"/>
      <c r="AJ29" s="112"/>
      <c r="AK29" s="2972"/>
      <c r="AL29" s="2969"/>
    </row>
    <row r="30" spans="1:40" ht="12" customHeight="1" thickBot="1" x14ac:dyDescent="0.25">
      <c r="A30" s="2211"/>
      <c r="B30" s="2515"/>
      <c r="C30" s="2208"/>
      <c r="D30" s="2208"/>
      <c r="E30" s="4930"/>
      <c r="F30" s="2445" t="s">
        <v>1844</v>
      </c>
      <c r="G30" s="2442"/>
      <c r="H30" s="2442"/>
      <c r="I30" s="181">
        <f>Tablas!$G$277-IF(J30=0,0,1)-IF(L30=0,0,1)</f>
        <v>0</v>
      </c>
      <c r="J30" s="4917"/>
      <c r="K30" s="3722"/>
      <c r="L30" s="5034"/>
      <c r="M30" s="5035"/>
      <c r="N30" s="5064"/>
      <c r="O30" s="5065"/>
      <c r="P30" s="2208"/>
      <c r="Q30" s="2208"/>
      <c r="R30" s="2516"/>
      <c r="S30" s="2455"/>
      <c r="T30" s="2211"/>
      <c r="U30" s="2213"/>
      <c r="V30" s="341" t="s">
        <v>2158</v>
      </c>
      <c r="W30" s="3717"/>
      <c r="X30" s="3717"/>
      <c r="Y30" s="4972"/>
      <c r="Z30" s="4972"/>
      <c r="AA30" s="129" t="s">
        <v>1884</v>
      </c>
      <c r="AB30" s="129" t="s">
        <v>1885</v>
      </c>
      <c r="AC30" s="129" t="s">
        <v>1869</v>
      </c>
      <c r="AD30" s="129" t="s">
        <v>1886</v>
      </c>
      <c r="AE30" s="342" t="s">
        <v>1870</v>
      </c>
      <c r="AF30" s="136" t="s">
        <v>2996</v>
      </c>
      <c r="AG30" s="4885" t="str">
        <f>IF(W30="Escudo","Bono de Esquiva:",IF(W30="Proyectiles","Turnos de recarga:",""))</f>
        <v/>
      </c>
      <c r="AH30" s="4886"/>
      <c r="AI30" s="4886"/>
      <c r="AJ30" s="112"/>
      <c r="AK30" s="2972"/>
      <c r="AL30" s="2969"/>
    </row>
    <row r="31" spans="1:40" ht="12" customHeight="1" thickBot="1" x14ac:dyDescent="0.25">
      <c r="A31" s="2211"/>
      <c r="B31" s="2515"/>
      <c r="C31" s="2208"/>
      <c r="D31" s="2208"/>
      <c r="E31" s="4930"/>
      <c r="F31" s="2447" t="s">
        <v>1846</v>
      </c>
      <c r="G31" s="2448"/>
      <c r="H31" s="2448"/>
      <c r="I31" s="1640">
        <f>Tablas!$G$278-IF(J31=0,0,1)-IF(L31=0,0,1)</f>
        <v>0</v>
      </c>
      <c r="J31" s="4915"/>
      <c r="K31" s="4035"/>
      <c r="L31" s="4076"/>
      <c r="M31" s="4036"/>
      <c r="N31" s="5064"/>
      <c r="O31" s="5065"/>
      <c r="P31" s="2208"/>
      <c r="Q31" s="2208"/>
      <c r="R31" s="2516"/>
      <c r="S31" s="2455"/>
      <c r="T31" s="2211"/>
      <c r="U31" s="2213"/>
      <c r="V31" s="89" t="s">
        <v>2159</v>
      </c>
      <c r="W31" s="3726"/>
      <c r="X31" s="3726"/>
      <c r="Y31" s="4972"/>
      <c r="Z31" s="4972"/>
      <c r="AA31" s="85"/>
      <c r="AB31" s="85"/>
      <c r="AC31" s="85"/>
      <c r="AD31" s="85"/>
      <c r="AE31" s="85"/>
      <c r="AF31" s="541"/>
      <c r="AG31" s="4887" t="str">
        <f>IF(W30="Proyectiles","Alcance:","")</f>
        <v/>
      </c>
      <c r="AH31" s="4887"/>
      <c r="AI31" s="4887"/>
      <c r="AJ31" s="114"/>
      <c r="AK31" s="2972"/>
      <c r="AL31" s="2969"/>
    </row>
    <row r="32" spans="1:40" ht="12" customHeight="1" x14ac:dyDescent="0.2">
      <c r="A32" s="2211"/>
      <c r="B32" s="2515"/>
      <c r="C32" s="2208"/>
      <c r="D32" s="2208"/>
      <c r="E32" s="4930"/>
      <c r="F32" s="4907" t="s">
        <v>1843</v>
      </c>
      <c r="G32" s="3670"/>
      <c r="H32" s="4908"/>
      <c r="I32" s="97">
        <f>Tablas!$G$286-IF(J32=0,0,1)-IF(L32=0,0,1)</f>
        <v>0</v>
      </c>
      <c r="J32" s="4916"/>
      <c r="K32" s="3720"/>
      <c r="L32" s="4916"/>
      <c r="M32" s="4045"/>
      <c r="N32" s="5064"/>
      <c r="O32" s="5065"/>
      <c r="P32" s="2208"/>
      <c r="Q32" s="2208"/>
      <c r="R32" s="2519"/>
      <c r="S32" s="1881"/>
      <c r="T32" s="2211"/>
      <c r="U32" s="2213"/>
      <c r="V32" s="3479" t="s">
        <v>1625</v>
      </c>
      <c r="W32" s="3479"/>
      <c r="X32" s="4966"/>
      <c r="Y32" s="4966"/>
      <c r="Z32" s="4966"/>
      <c r="AA32" s="4966"/>
      <c r="AB32" s="4967"/>
      <c r="AC32" s="4967"/>
      <c r="AD32" s="4967"/>
      <c r="AE32" s="4967"/>
      <c r="AF32" s="4967"/>
      <c r="AG32" s="4967"/>
      <c r="AH32" s="4967"/>
      <c r="AI32" s="4967"/>
      <c r="AJ32" s="4967"/>
      <c r="AK32" s="2956"/>
      <c r="AL32" s="2960"/>
    </row>
    <row r="33" spans="1:56" ht="12" customHeight="1" x14ac:dyDescent="0.2">
      <c r="A33" s="2211"/>
      <c r="B33" s="2515"/>
      <c r="C33" s="2208"/>
      <c r="D33" s="2208"/>
      <c r="E33" s="4930"/>
      <c r="F33" s="4905" t="s">
        <v>1845</v>
      </c>
      <c r="G33" s="3672"/>
      <c r="H33" s="4906"/>
      <c r="I33" s="181">
        <f>Tablas!$G$287-IF(J33=0,0,1)-IF(L33=0,0,1)</f>
        <v>0</v>
      </c>
      <c r="J33" s="4917"/>
      <c r="K33" s="3723"/>
      <c r="L33" s="4917"/>
      <c r="M33" s="5035"/>
      <c r="N33" s="5064"/>
      <c r="O33" s="5065"/>
      <c r="P33" s="2208"/>
      <c r="Q33" s="2208"/>
      <c r="R33" s="2516"/>
      <c r="S33" s="2455"/>
      <c r="T33" s="2211"/>
      <c r="U33" s="2213"/>
      <c r="V33" s="3479" t="s">
        <v>2155</v>
      </c>
      <c r="W33" s="3479"/>
      <c r="X33" s="81" t="s">
        <v>1690</v>
      </c>
      <c r="Y33" s="340" t="s">
        <v>1702</v>
      </c>
      <c r="Z33" s="154" t="s">
        <v>1882</v>
      </c>
      <c r="AA33" s="4126" t="s">
        <v>2156</v>
      </c>
      <c r="AB33" s="4126"/>
      <c r="AC33" s="81"/>
      <c r="AD33" s="238" t="s">
        <v>2157</v>
      </c>
      <c r="AE33" s="149"/>
      <c r="AF33" s="143" t="s">
        <v>1702</v>
      </c>
      <c r="AG33" s="4968" t="str">
        <f>IF(W34="Escudo","Bono de Parada:",IF(W34="Proyectiles","FUE del arma:",""))</f>
        <v/>
      </c>
      <c r="AH33" s="4969"/>
      <c r="AI33" s="4969"/>
      <c r="AJ33" s="112"/>
      <c r="AK33" s="2972"/>
      <c r="AL33" s="2969"/>
    </row>
    <row r="34" spans="1:56" ht="12" customHeight="1" thickBot="1" x14ac:dyDescent="0.25">
      <c r="A34" s="2211"/>
      <c r="B34" s="2515"/>
      <c r="C34" s="2208"/>
      <c r="D34" s="2208"/>
      <c r="E34" s="4931"/>
      <c r="F34" s="4902" t="s">
        <v>1847</v>
      </c>
      <c r="G34" s="4903"/>
      <c r="H34" s="4904"/>
      <c r="I34" s="1640">
        <f>Tablas!$G$288-IF(J34=0,0,1)-IF(L34=0,0,1)</f>
        <v>0</v>
      </c>
      <c r="J34" s="4915"/>
      <c r="K34" s="4928"/>
      <c r="L34" s="4915"/>
      <c r="M34" s="4036"/>
      <c r="N34" s="5066"/>
      <c r="O34" s="5067"/>
      <c r="P34" s="2208"/>
      <c r="Q34" s="2208"/>
      <c r="R34" s="2516"/>
      <c r="S34" s="2455"/>
      <c r="T34" s="2211"/>
      <c r="U34" s="2213"/>
      <c r="V34" s="341" t="s">
        <v>2158</v>
      </c>
      <c r="W34" s="3717"/>
      <c r="X34" s="3717"/>
      <c r="Y34" s="4972"/>
      <c r="Z34" s="4972"/>
      <c r="AA34" s="129" t="s">
        <v>1884</v>
      </c>
      <c r="AB34" s="129" t="s">
        <v>1885</v>
      </c>
      <c r="AC34" s="129" t="s">
        <v>1869</v>
      </c>
      <c r="AD34" s="129" t="s">
        <v>1886</v>
      </c>
      <c r="AE34" s="342" t="s">
        <v>1870</v>
      </c>
      <c r="AF34" s="136" t="s">
        <v>2996</v>
      </c>
      <c r="AG34" s="4885" t="str">
        <f>IF(W34="Escudo","Bono de Esquiva:",IF(W34="Proyectiles","Turnos de recarga:",""))</f>
        <v/>
      </c>
      <c r="AH34" s="4886"/>
      <c r="AI34" s="4886"/>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726"/>
      <c r="X35" s="3726"/>
      <c r="Y35" s="4972"/>
      <c r="Z35" s="4972"/>
      <c r="AA35" s="85"/>
      <c r="AB35" s="85"/>
      <c r="AC35" s="85"/>
      <c r="AD35" s="85"/>
      <c r="AE35" s="85"/>
      <c r="AF35" s="541"/>
      <c r="AG35" s="4887" t="str">
        <f>IF(W34="Proyectiles","Alcance:","")</f>
        <v/>
      </c>
      <c r="AH35" s="4887"/>
      <c r="AI35" s="4887"/>
      <c r="AJ35" s="114"/>
      <c r="AK35" s="2972"/>
      <c r="AL35" s="2969"/>
    </row>
    <row r="36" spans="1:56" ht="12" customHeight="1" thickBot="1" x14ac:dyDescent="0.25">
      <c r="A36" s="2211"/>
      <c r="B36" s="2515"/>
      <c r="C36" s="4918" t="s">
        <v>8922</v>
      </c>
      <c r="D36" s="4919"/>
      <c r="E36" s="4919"/>
      <c r="F36" s="4919"/>
      <c r="G36" s="4919"/>
      <c r="H36" s="4919"/>
      <c r="I36" s="4919"/>
      <c r="J36" s="4919"/>
      <c r="K36" s="4919"/>
      <c r="L36" s="4919"/>
      <c r="M36" s="4919"/>
      <c r="N36" s="4919"/>
      <c r="O36" s="4919"/>
      <c r="P36" s="4919"/>
      <c r="Q36" s="4920"/>
      <c r="R36" s="2516"/>
      <c r="S36" s="2455"/>
      <c r="T36" s="2211"/>
      <c r="U36" s="2213"/>
      <c r="AK36" s="2972"/>
      <c r="AL36" s="2969"/>
    </row>
    <row r="37" spans="1:56" ht="12" customHeight="1" thickBot="1" x14ac:dyDescent="0.25">
      <c r="A37" s="2211"/>
      <c r="B37" s="2515"/>
      <c r="C37" s="3562"/>
      <c r="D37" s="3563"/>
      <c r="E37" s="3563"/>
      <c r="F37" s="3563"/>
      <c r="G37" s="3563"/>
      <c r="H37" s="3563"/>
      <c r="I37" s="3563"/>
      <c r="J37" s="3563"/>
      <c r="K37" s="3563"/>
      <c r="L37" s="3563"/>
      <c r="M37" s="3563"/>
      <c r="N37" s="3563"/>
      <c r="O37" s="3563"/>
      <c r="P37" s="3563"/>
      <c r="Q37" s="3564"/>
      <c r="R37" s="2516"/>
      <c r="S37" s="2455"/>
      <c r="T37" s="2211"/>
      <c r="U37" s="2213"/>
      <c r="V37" s="4971" t="s">
        <v>2162</v>
      </c>
      <c r="W37" s="4957" t="s">
        <v>1625</v>
      </c>
      <c r="X37" s="4957"/>
      <c r="Y37" s="4914"/>
      <c r="Z37" s="4914"/>
      <c r="AA37" s="4914"/>
      <c r="AB37" s="4914"/>
      <c r="AC37" s="4914"/>
      <c r="AD37" s="4957" t="s">
        <v>1625</v>
      </c>
      <c r="AE37" s="4957"/>
      <c r="AF37" s="4914"/>
      <c r="AG37" s="4914"/>
      <c r="AH37" s="4914"/>
      <c r="AI37" s="4914"/>
      <c r="AJ37" s="4914"/>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4971"/>
      <c r="W38" s="4970" t="s">
        <v>2163</v>
      </c>
      <c r="X38" s="4970"/>
      <c r="Y38" s="4958" t="str">
        <f>IF($Y$44="Cabeza","Pen.Percepción","Pen. Natural")</f>
        <v>Pen. Natural</v>
      </c>
      <c r="Z38" s="4958"/>
      <c r="AA38" s="4977" t="s">
        <v>2164</v>
      </c>
      <c r="AB38" s="4977"/>
      <c r="AC38" s="4977"/>
      <c r="AD38" s="4970" t="s">
        <v>2163</v>
      </c>
      <c r="AE38" s="4970"/>
      <c r="AF38" s="4958" t="str">
        <f>IF($AF$44="Cabeza","Pen.Percepción","Pen. Natural")</f>
        <v>Pen. Natural</v>
      </c>
      <c r="AG38" s="4958"/>
      <c r="AH38" s="4977" t="s">
        <v>2164</v>
      </c>
      <c r="AI38" s="4977"/>
      <c r="AJ38" s="4977"/>
      <c r="AK38" s="2972"/>
      <c r="AL38" s="2969"/>
    </row>
    <row r="39" spans="1:56" ht="12" customHeight="1" thickBot="1" x14ac:dyDescent="0.25">
      <c r="A39" s="2211"/>
      <c r="B39" s="2515"/>
      <c r="C39" s="67"/>
      <c r="D39" s="3130" t="s">
        <v>8936</v>
      </c>
      <c r="E39" s="4921"/>
      <c r="F39" s="4925" t="str">
        <f>"Poderes adquiridos: "&amp;IF(Tablas!$J$1801&gt;0,"Influjo Sobrenatural"&amp;IF(Tablas!$J$1806&gt;0,", Demiurgo",""),IF(Tablas!$J$1806&gt;0,"Demiurgo","Ninguno"))</f>
        <v>Poderes adquiridos: Ninguno</v>
      </c>
      <c r="G39" s="4926"/>
      <c r="H39" s="4926"/>
      <c r="I39" s="4926"/>
      <c r="J39" s="4926"/>
      <c r="K39" s="4926"/>
      <c r="L39" s="4926"/>
      <c r="M39" s="4927"/>
      <c r="N39" s="4876" t="s">
        <v>8923</v>
      </c>
      <c r="O39" s="4877"/>
      <c r="P39" s="4878"/>
      <c r="Q39" s="2217"/>
      <c r="R39" s="2516"/>
      <c r="S39" s="2455"/>
      <c r="T39" s="2211"/>
      <c r="U39" s="2213"/>
      <c r="V39" s="4971"/>
      <c r="W39" s="4961"/>
      <c r="X39" s="4961"/>
      <c r="Y39" s="4956"/>
      <c r="Z39" s="4956"/>
      <c r="AA39" s="4897"/>
      <c r="AB39" s="4897"/>
      <c r="AC39" s="4897"/>
      <c r="AD39" s="4961"/>
      <c r="AE39" s="4961"/>
      <c r="AF39" s="4956"/>
      <c r="AG39" s="4956"/>
      <c r="AH39" s="4897"/>
      <c r="AI39" s="4897"/>
      <c r="AJ39" s="4897"/>
      <c r="AK39" s="2972"/>
      <c r="AL39" s="2969"/>
      <c r="AM39" s="1707" t="s">
        <v>8543</v>
      </c>
      <c r="AN39" s="1787"/>
    </row>
    <row r="40" spans="1:56" ht="12" customHeight="1" thickBot="1" x14ac:dyDescent="0.25">
      <c r="A40" s="2211"/>
      <c r="B40" s="2515"/>
      <c r="C40" s="67"/>
      <c r="D40" s="4922"/>
      <c r="E40" s="4923"/>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4971"/>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33"/>
      <c r="E41" s="4924"/>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4971"/>
      <c r="W41" s="4899"/>
      <c r="X41" s="4899"/>
      <c r="Y41" s="4899"/>
      <c r="Z41" s="4899"/>
      <c r="AA41" s="4899"/>
      <c r="AB41" s="4953"/>
      <c r="AC41" s="4959"/>
      <c r="AD41" s="4973"/>
      <c r="AE41" s="4899"/>
      <c r="AF41" s="4899"/>
      <c r="AG41" s="4899"/>
      <c r="AH41" s="4899"/>
      <c r="AI41" s="4953"/>
      <c r="AJ41" s="4959"/>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4971"/>
      <c r="W42" s="4899"/>
      <c r="X42" s="4900"/>
      <c r="Y42" s="4900"/>
      <c r="Z42" s="4900"/>
      <c r="AA42" s="4900"/>
      <c r="AB42" s="4954"/>
      <c r="AC42" s="4960"/>
      <c r="AD42" s="4974"/>
      <c r="AE42" s="4900"/>
      <c r="AF42" s="4900"/>
      <c r="AG42" s="4900"/>
      <c r="AH42" s="4900"/>
      <c r="AI42" s="4975"/>
      <c r="AJ42" s="4960"/>
      <c r="AK42" s="2972"/>
      <c r="AL42" s="2969"/>
      <c r="AM42" s="2973" t="s">
        <v>8546</v>
      </c>
      <c r="AN42" s="2973" t="s">
        <v>3054</v>
      </c>
    </row>
    <row r="43" spans="1:56" ht="12" customHeight="1" thickBot="1" x14ac:dyDescent="0.25">
      <c r="A43" s="2211"/>
      <c r="B43" s="2515"/>
      <c r="C43" s="5068" t="s">
        <v>8925</v>
      </c>
      <c r="D43" s="5078" t="s">
        <v>1625</v>
      </c>
      <c r="E43" s="5079"/>
      <c r="F43" s="5084"/>
      <c r="G43" s="5084"/>
      <c r="H43" s="5084"/>
      <c r="I43" s="5084"/>
      <c r="J43" s="5084"/>
      <c r="K43" s="5084"/>
      <c r="L43" s="5084"/>
      <c r="M43" s="5084"/>
      <c r="N43" s="5084"/>
      <c r="O43" s="5084"/>
      <c r="P43" s="5084"/>
      <c r="Q43" s="5085"/>
      <c r="R43" s="2516"/>
      <c r="S43" s="2455"/>
      <c r="T43" s="2211"/>
      <c r="U43" s="2213"/>
      <c r="V43" s="4971"/>
      <c r="W43" s="3296" t="s">
        <v>2165</v>
      </c>
      <c r="X43" s="3296"/>
      <c r="Y43" s="4051"/>
      <c r="Z43" s="4051"/>
      <c r="AA43" s="3296" t="s">
        <v>2166</v>
      </c>
      <c r="AB43" s="3296"/>
      <c r="AC43" s="1892"/>
      <c r="AD43" s="3296" t="s">
        <v>2165</v>
      </c>
      <c r="AE43" s="3296"/>
      <c r="AF43" s="4051"/>
      <c r="AG43" s="4051"/>
      <c r="AH43" s="3296" t="s">
        <v>2166</v>
      </c>
      <c r="AI43" s="3296"/>
      <c r="AJ43" s="1892"/>
      <c r="AK43" s="2972"/>
      <c r="AL43" s="2969"/>
      <c r="AN43" s="2973" t="s">
        <v>3056</v>
      </c>
    </row>
    <row r="44" spans="1:56" ht="12" customHeight="1" thickBot="1" x14ac:dyDescent="0.25">
      <c r="A44" s="2211"/>
      <c r="B44" s="2515"/>
      <c r="C44" s="5069"/>
      <c r="D44" s="3218" t="s">
        <v>8933</v>
      </c>
      <c r="E44" s="3218"/>
      <c r="F44" s="3218"/>
      <c r="G44" s="2449" t="s">
        <v>2149</v>
      </c>
      <c r="H44" s="2440" t="s">
        <v>1801</v>
      </c>
      <c r="I44" s="3214" t="s">
        <v>1861</v>
      </c>
      <c r="J44" s="3218"/>
      <c r="K44" s="3218"/>
      <c r="L44" s="3218"/>
      <c r="M44" s="3218"/>
      <c r="N44" s="3218"/>
      <c r="O44" s="3218"/>
      <c r="P44" s="3218"/>
      <c r="Q44" s="3215"/>
      <c r="R44" s="2516"/>
      <c r="S44" s="2455"/>
      <c r="T44" s="2211"/>
      <c r="U44" s="2213"/>
      <c r="V44" s="4971"/>
      <c r="W44" s="4552" t="s">
        <v>2167</v>
      </c>
      <c r="X44" s="4552"/>
      <c r="Y44" s="4909"/>
      <c r="Z44" s="4909"/>
      <c r="AA44" s="4955" t="s">
        <v>2168</v>
      </c>
      <c r="AB44" s="4955"/>
      <c r="AC44" s="352"/>
      <c r="AD44" s="4552" t="s">
        <v>2167</v>
      </c>
      <c r="AE44" s="4552"/>
      <c r="AF44" s="4909"/>
      <c r="AG44" s="4909"/>
      <c r="AH44" s="4955" t="s">
        <v>2168</v>
      </c>
      <c r="AI44" s="4955"/>
      <c r="AJ44" s="353"/>
      <c r="AK44" s="2972"/>
      <c r="AL44" s="2969"/>
    </row>
    <row r="45" spans="1:56" ht="12" customHeight="1" thickBot="1" x14ac:dyDescent="0.25">
      <c r="A45" s="2211"/>
      <c r="B45" s="2515"/>
      <c r="C45" s="5069"/>
      <c r="D45" s="5080"/>
      <c r="E45" s="5081"/>
      <c r="F45" s="5082"/>
      <c r="G45" s="2511"/>
      <c r="H45" s="2512"/>
      <c r="I45" s="5086"/>
      <c r="J45" s="5086"/>
      <c r="K45" s="5086"/>
      <c r="L45" s="5086"/>
      <c r="M45" s="5086"/>
      <c r="N45" s="5086"/>
      <c r="O45" s="5086"/>
      <c r="P45" s="5086"/>
      <c r="Q45" s="5087"/>
      <c r="R45" s="2516"/>
      <c r="S45" s="2455"/>
      <c r="T45" s="2211"/>
      <c r="U45" s="2213"/>
      <c r="AK45" s="2972"/>
      <c r="AL45" s="2969"/>
    </row>
    <row r="46" spans="1:56" ht="12" customHeight="1" thickBot="1" x14ac:dyDescent="0.25">
      <c r="A46" s="2211"/>
      <c r="B46" s="2515"/>
      <c r="C46" s="5069"/>
      <c r="D46" s="5080"/>
      <c r="E46" s="5081"/>
      <c r="F46" s="5082"/>
      <c r="G46" s="2511"/>
      <c r="H46" s="2512"/>
      <c r="I46" s="4911"/>
      <c r="J46" s="4911"/>
      <c r="K46" s="4911"/>
      <c r="L46" s="4911"/>
      <c r="M46" s="4911"/>
      <c r="N46" s="4911"/>
      <c r="O46" s="4911"/>
      <c r="P46" s="4911"/>
      <c r="Q46" s="4912"/>
      <c r="R46" s="2516"/>
      <c r="S46" s="2455"/>
      <c r="T46" s="2211"/>
      <c r="U46" s="2213"/>
      <c r="V46" s="3172" t="s">
        <v>2172</v>
      </c>
      <c r="W46" s="3172"/>
      <c r="X46" s="3172"/>
      <c r="Y46" s="3172"/>
      <c r="Z46" s="3172"/>
      <c r="AA46" s="3172"/>
      <c r="AB46" s="3172"/>
      <c r="AC46" s="3172"/>
      <c r="AD46" s="3172"/>
      <c r="AE46" s="3172"/>
      <c r="AF46" s="3172"/>
      <c r="AG46" s="3172"/>
      <c r="AH46" s="3172"/>
      <c r="AI46" s="3172"/>
      <c r="AJ46" s="3172"/>
      <c r="AK46" s="2972"/>
      <c r="AL46" s="2969"/>
    </row>
    <row r="47" spans="1:56" ht="12" customHeight="1" thickBot="1" x14ac:dyDescent="0.25">
      <c r="A47" s="2211"/>
      <c r="B47" s="2515"/>
      <c r="C47" s="5069"/>
      <c r="D47" s="5080"/>
      <c r="E47" s="5081"/>
      <c r="F47" s="5082"/>
      <c r="G47" s="2511"/>
      <c r="H47" s="2512"/>
      <c r="I47" s="4911"/>
      <c r="J47" s="4911"/>
      <c r="K47" s="4911"/>
      <c r="L47" s="4911"/>
      <c r="M47" s="4911"/>
      <c r="N47" s="4911"/>
      <c r="O47" s="4911"/>
      <c r="P47" s="4911"/>
      <c r="Q47" s="4912"/>
      <c r="R47" s="2516"/>
      <c r="S47" s="2455"/>
      <c r="T47" s="2211"/>
      <c r="U47" s="2213"/>
      <c r="V47" s="4893" t="s">
        <v>2173</v>
      </c>
      <c r="W47" s="4893"/>
      <c r="X47" s="4893"/>
      <c r="Y47" s="4894"/>
      <c r="Z47" s="4894"/>
      <c r="AA47" s="4894"/>
      <c r="AB47" s="4895"/>
      <c r="AC47" s="4895"/>
      <c r="AD47" s="4895"/>
      <c r="AE47" s="4895"/>
      <c r="AF47" s="4895"/>
      <c r="AG47" s="4895"/>
      <c r="AH47" s="4896"/>
      <c r="AI47" s="4896"/>
      <c r="AJ47" s="4896"/>
      <c r="AK47" s="2972"/>
      <c r="AL47" s="2969"/>
    </row>
    <row r="48" spans="1:56" ht="12" customHeight="1" x14ac:dyDescent="0.2">
      <c r="A48" s="2211"/>
      <c r="B48" s="2515"/>
      <c r="C48" s="5069"/>
      <c r="D48" s="5080"/>
      <c r="E48" s="5081"/>
      <c r="F48" s="5082"/>
      <c r="G48" s="2511"/>
      <c r="H48" s="2512"/>
      <c r="I48" s="4911"/>
      <c r="J48" s="4911"/>
      <c r="K48" s="4911"/>
      <c r="L48" s="4911"/>
      <c r="M48" s="4911"/>
      <c r="N48" s="4911"/>
      <c r="O48" s="4911"/>
      <c r="P48" s="4911"/>
      <c r="Q48" s="4912"/>
      <c r="R48" s="2516"/>
      <c r="S48" s="2455"/>
      <c r="T48" s="2211"/>
      <c r="U48" s="2213"/>
      <c r="V48" s="4893"/>
      <c r="W48" s="4893"/>
      <c r="X48" s="4893"/>
      <c r="Y48" s="4894"/>
      <c r="Z48" s="4894"/>
      <c r="AA48" s="4894"/>
      <c r="AB48" s="4895"/>
      <c r="AC48" s="4895"/>
      <c r="AD48" s="4895"/>
      <c r="AE48" s="4895"/>
      <c r="AF48" s="4895"/>
      <c r="AG48" s="4895"/>
      <c r="AH48" s="4896"/>
      <c r="AI48" s="4896"/>
      <c r="AJ48" s="4896"/>
      <c r="AK48" s="2972"/>
      <c r="AL48" s="2969"/>
    </row>
    <row r="49" spans="1:38" ht="12" customHeight="1" x14ac:dyDescent="0.2">
      <c r="A49" s="2211"/>
      <c r="B49" s="2515"/>
      <c r="C49" s="5069"/>
      <c r="D49" s="5080"/>
      <c r="E49" s="5081"/>
      <c r="F49" s="5082"/>
      <c r="G49" s="2511"/>
      <c r="H49" s="2512"/>
      <c r="I49" s="4911"/>
      <c r="J49" s="4911"/>
      <c r="K49" s="4911"/>
      <c r="L49" s="4911"/>
      <c r="M49" s="4911"/>
      <c r="N49" s="4911"/>
      <c r="O49" s="4911"/>
      <c r="P49" s="4911"/>
      <c r="Q49" s="4912"/>
      <c r="R49" s="2516"/>
      <c r="S49" s="2455"/>
      <c r="T49" s="2211"/>
      <c r="U49" s="2213"/>
      <c r="V49" s="3301" t="s">
        <v>2176</v>
      </c>
      <c r="W49" s="3301"/>
      <c r="X49" s="3301"/>
      <c r="Y49" s="4962"/>
      <c r="Z49" s="4962"/>
      <c r="AA49" s="4962"/>
      <c r="AB49" s="4952"/>
      <c r="AC49" s="4952"/>
      <c r="AD49" s="4952"/>
      <c r="AE49" s="4952"/>
      <c r="AF49" s="4952"/>
      <c r="AG49" s="4952"/>
      <c r="AH49" s="4913"/>
      <c r="AI49" s="4913"/>
      <c r="AJ49" s="4913"/>
      <c r="AK49" s="2972"/>
      <c r="AL49" s="2969"/>
    </row>
    <row r="50" spans="1:38" ht="12" customHeight="1" x14ac:dyDescent="0.2">
      <c r="A50" s="2211"/>
      <c r="B50" s="2515"/>
      <c r="C50" s="5069"/>
      <c r="D50" s="5080"/>
      <c r="E50" s="5081"/>
      <c r="F50" s="5082"/>
      <c r="G50" s="2511"/>
      <c r="H50" s="2512"/>
      <c r="I50" s="4911"/>
      <c r="J50" s="4911"/>
      <c r="K50" s="4911"/>
      <c r="L50" s="4911"/>
      <c r="M50" s="4911"/>
      <c r="N50" s="4911"/>
      <c r="O50" s="4911"/>
      <c r="P50" s="4911"/>
      <c r="Q50" s="4912"/>
      <c r="R50" s="2516"/>
      <c r="S50" s="2455"/>
      <c r="T50" s="2211"/>
      <c r="U50" s="2213"/>
      <c r="V50" s="4888" t="s">
        <v>2177</v>
      </c>
      <c r="W50" s="4888"/>
      <c r="X50" s="4888"/>
      <c r="Y50" s="4889"/>
      <c r="Z50" s="4889"/>
      <c r="AA50" s="4889"/>
      <c r="AB50" s="4890"/>
      <c r="AC50" s="4890"/>
      <c r="AD50" s="4890"/>
      <c r="AE50" s="4890"/>
      <c r="AF50" s="4890"/>
      <c r="AG50" s="4890"/>
      <c r="AH50" s="4892"/>
      <c r="AI50" s="4892"/>
      <c r="AJ50" s="4892"/>
      <c r="AK50" s="2972"/>
      <c r="AL50" s="2969"/>
    </row>
    <row r="51" spans="1:38" ht="12" customHeight="1" x14ac:dyDescent="0.2">
      <c r="A51" s="2211"/>
      <c r="B51" s="2515"/>
      <c r="C51" s="5069"/>
      <c r="D51" s="5080"/>
      <c r="E51" s="5081"/>
      <c r="F51" s="5082"/>
      <c r="G51" s="2511"/>
      <c r="H51" s="2512"/>
      <c r="I51" s="4911"/>
      <c r="J51" s="4911"/>
      <c r="K51" s="4911"/>
      <c r="L51" s="4911"/>
      <c r="M51" s="4911"/>
      <c r="N51" s="4911"/>
      <c r="O51" s="4911"/>
      <c r="P51" s="4911"/>
      <c r="Q51" s="4912"/>
      <c r="R51" s="2516"/>
      <c r="S51" s="2455"/>
      <c r="T51" s="2211"/>
      <c r="U51" s="2213"/>
      <c r="V51" s="4901" t="s">
        <v>2178</v>
      </c>
      <c r="W51" s="4901"/>
      <c r="X51" s="4901"/>
      <c r="Y51" s="4898"/>
      <c r="Z51" s="4898"/>
      <c r="AA51" s="4898"/>
      <c r="AB51" s="4891"/>
      <c r="AC51" s="4891"/>
      <c r="AD51" s="4891"/>
      <c r="AE51" s="4891"/>
      <c r="AF51" s="4891"/>
      <c r="AG51" s="4891"/>
      <c r="AH51" s="4910"/>
      <c r="AI51" s="4910"/>
      <c r="AJ51" s="4910"/>
      <c r="AK51" s="2972"/>
      <c r="AL51" s="2969"/>
    </row>
    <row r="52" spans="1:38" ht="12" customHeight="1" x14ac:dyDescent="0.2">
      <c r="A52" s="2211"/>
      <c r="B52" s="2515"/>
      <c r="C52" s="5069"/>
      <c r="D52" s="5080"/>
      <c r="E52" s="5081"/>
      <c r="F52" s="5082"/>
      <c r="G52" s="2511"/>
      <c r="H52" s="2512"/>
      <c r="I52" s="4911"/>
      <c r="J52" s="4911"/>
      <c r="K52" s="4911"/>
      <c r="L52" s="4911"/>
      <c r="M52" s="4911"/>
      <c r="N52" s="4911"/>
      <c r="O52" s="4911"/>
      <c r="P52" s="4911"/>
      <c r="Q52" s="4912"/>
      <c r="R52" s="2516"/>
      <c r="S52" s="2455"/>
      <c r="T52" s="2211"/>
      <c r="U52" s="2213"/>
      <c r="V52" s="4888" t="s">
        <v>2179</v>
      </c>
      <c r="W52" s="4888"/>
      <c r="X52" s="4888"/>
      <c r="Y52" s="4889"/>
      <c r="Z52" s="4889"/>
      <c r="AA52" s="4889"/>
      <c r="AB52" s="4890"/>
      <c r="AC52" s="4890"/>
      <c r="AD52" s="4890"/>
      <c r="AE52" s="4890"/>
      <c r="AF52" s="4890"/>
      <c r="AG52" s="4890"/>
      <c r="AH52" s="4892"/>
      <c r="AI52" s="4892"/>
      <c r="AJ52" s="4892"/>
      <c r="AK52" s="2972"/>
      <c r="AL52" s="2969"/>
    </row>
    <row r="53" spans="1:38" ht="12" customHeight="1" thickBot="1" x14ac:dyDescent="0.25">
      <c r="A53" s="2211"/>
      <c r="B53" s="2515"/>
      <c r="C53" s="5069"/>
      <c r="D53" s="5080"/>
      <c r="E53" s="5081"/>
      <c r="F53" s="5082"/>
      <c r="G53" s="2511"/>
      <c r="H53" s="2512"/>
      <c r="I53" s="4911"/>
      <c r="J53" s="4911"/>
      <c r="K53" s="4911"/>
      <c r="L53" s="4911"/>
      <c r="M53" s="4911"/>
      <c r="N53" s="4911"/>
      <c r="O53" s="4911"/>
      <c r="P53" s="4911"/>
      <c r="Q53" s="4912"/>
      <c r="R53" s="2516"/>
      <c r="S53" s="2455"/>
      <c r="T53" s="2211"/>
      <c r="U53" s="2213"/>
      <c r="V53" s="4139" t="s">
        <v>2180</v>
      </c>
      <c r="W53" s="4944"/>
      <c r="X53" s="4945"/>
      <c r="Y53" s="4934"/>
      <c r="Z53" s="4935"/>
      <c r="AA53" s="4936"/>
      <c r="AB53" s="4934"/>
      <c r="AC53" s="4935"/>
      <c r="AD53" s="4936"/>
      <c r="AE53" s="4934"/>
      <c r="AF53" s="4935"/>
      <c r="AG53" s="4936"/>
      <c r="AH53" s="4934"/>
      <c r="AI53" s="4935"/>
      <c r="AJ53" s="4943"/>
      <c r="AK53" s="2972"/>
      <c r="AL53" s="2969"/>
    </row>
    <row r="54" spans="1:38" ht="12" customHeight="1" thickBot="1" x14ac:dyDescent="0.25">
      <c r="A54" s="2211"/>
      <c r="B54" s="2515"/>
      <c r="C54" s="5070"/>
      <c r="D54" s="5083"/>
      <c r="E54" s="5081"/>
      <c r="F54" s="5082"/>
      <c r="G54" s="2511"/>
      <c r="H54" s="2512"/>
      <c r="I54" s="4911"/>
      <c r="J54" s="4911"/>
      <c r="K54" s="4911"/>
      <c r="L54" s="4911"/>
      <c r="M54" s="4911"/>
      <c r="N54" s="4911"/>
      <c r="O54" s="4911"/>
      <c r="P54" s="5071"/>
      <c r="Q54" s="5072"/>
      <c r="R54" s="2516"/>
      <c r="S54" s="2455"/>
      <c r="T54" s="2211"/>
      <c r="U54" s="2213"/>
      <c r="AK54" s="2972"/>
      <c r="AL54" s="2969"/>
    </row>
    <row r="55" spans="1:38" ht="12" customHeight="1" x14ac:dyDescent="0.2">
      <c r="A55" s="2211"/>
      <c r="B55" s="2515"/>
      <c r="C55" s="2457"/>
      <c r="D55" s="2457"/>
      <c r="E55" s="5073" t="s">
        <v>8088</v>
      </c>
      <c r="F55" s="5074"/>
      <c r="G55" s="5074"/>
      <c r="H55" s="5074"/>
      <c r="I55" s="5074"/>
      <c r="J55" s="5074"/>
      <c r="K55" s="5075"/>
      <c r="L55" s="5076" t="s">
        <v>8090</v>
      </c>
      <c r="M55" s="5076"/>
      <c r="N55" s="5076"/>
      <c r="O55" s="5077"/>
      <c r="P55" s="2208"/>
      <c r="Q55" s="2208"/>
      <c r="R55" s="2516"/>
      <c r="S55" s="2455"/>
      <c r="T55" s="2211"/>
      <c r="U55" s="2213"/>
      <c r="V55" s="4918" t="s">
        <v>8722</v>
      </c>
      <c r="W55" s="4919"/>
      <c r="X55" s="4919"/>
      <c r="Y55" s="4919"/>
      <c r="Z55" s="4919"/>
      <c r="AA55" s="4919"/>
      <c r="AB55" s="4919"/>
      <c r="AC55" s="4919"/>
      <c r="AD55" s="4919"/>
      <c r="AE55" s="4919"/>
      <c r="AF55" s="4919"/>
      <c r="AG55" s="4919"/>
      <c r="AH55" s="4919"/>
      <c r="AI55" s="4919"/>
      <c r="AJ55" s="4920"/>
      <c r="AK55" s="2972"/>
      <c r="AL55" s="2969"/>
    </row>
    <row r="56" spans="1:38" ht="12" customHeight="1" thickBot="1" x14ac:dyDescent="0.25">
      <c r="A56" s="2211"/>
      <c r="B56" s="2515"/>
      <c r="C56" s="2457"/>
      <c r="D56" s="2457"/>
      <c r="E56" s="5091"/>
      <c r="F56" s="5092"/>
      <c r="G56" s="5092"/>
      <c r="H56" s="5092"/>
      <c r="I56" s="5092"/>
      <c r="J56" s="5093"/>
      <c r="K56" s="2762"/>
      <c r="L56" s="5089"/>
      <c r="M56" s="5089"/>
      <c r="N56" s="5089"/>
      <c r="O56" s="5010"/>
      <c r="P56" s="2208"/>
      <c r="Q56" s="2208"/>
      <c r="R56" s="2516"/>
      <c r="S56" s="2455"/>
      <c r="T56" s="2211"/>
      <c r="U56" s="2213"/>
      <c r="V56" s="3562"/>
      <c r="W56" s="3563"/>
      <c r="X56" s="3563"/>
      <c r="Y56" s="3563"/>
      <c r="Z56" s="3563"/>
      <c r="AA56" s="3563"/>
      <c r="AB56" s="3563"/>
      <c r="AC56" s="3563"/>
      <c r="AD56" s="3563"/>
      <c r="AE56" s="3563"/>
      <c r="AF56" s="3563"/>
      <c r="AG56" s="3563"/>
      <c r="AH56" s="3563"/>
      <c r="AI56" s="3563"/>
      <c r="AJ56" s="3564"/>
      <c r="AK56" s="2972"/>
      <c r="AL56" s="2969"/>
    </row>
    <row r="57" spans="1:38" ht="12" customHeight="1" thickBot="1" x14ac:dyDescent="0.25">
      <c r="A57" s="2211"/>
      <c r="B57" s="2515"/>
      <c r="C57" s="2457"/>
      <c r="D57" s="2457"/>
      <c r="E57" s="5094"/>
      <c r="F57" s="5095"/>
      <c r="G57" s="5095"/>
      <c r="H57" s="5095"/>
      <c r="I57" s="5095"/>
      <c r="J57" s="5096"/>
      <c r="K57" s="2763"/>
      <c r="L57" s="5089"/>
      <c r="M57" s="5089"/>
      <c r="N57" s="5089"/>
      <c r="O57" s="5010"/>
      <c r="P57" s="2208"/>
      <c r="Q57" s="2208"/>
      <c r="R57" s="2516"/>
      <c r="S57" s="2455"/>
      <c r="T57" s="2211"/>
      <c r="U57" s="2213"/>
      <c r="AK57" s="2972"/>
      <c r="AL57" s="2969"/>
    </row>
    <row r="58" spans="1:38" ht="12" customHeight="1" thickBot="1" x14ac:dyDescent="0.25">
      <c r="A58" s="2211"/>
      <c r="B58" s="2515"/>
      <c r="C58" s="2457"/>
      <c r="D58" s="2457"/>
      <c r="E58" s="5094"/>
      <c r="F58" s="5095"/>
      <c r="G58" s="5095"/>
      <c r="H58" s="5095"/>
      <c r="I58" s="5095"/>
      <c r="J58" s="5096"/>
      <c r="K58" s="2763"/>
      <c r="L58" s="5089"/>
      <c r="M58" s="5089"/>
      <c r="N58" s="5089"/>
      <c r="O58" s="5010"/>
      <c r="P58" s="2208"/>
      <c r="Q58" s="2208"/>
      <c r="R58" s="2516"/>
      <c r="S58" s="2455"/>
      <c r="T58" s="2211"/>
      <c r="U58" s="2213"/>
      <c r="V58" s="3172" t="s">
        <v>2160</v>
      </c>
      <c r="W58" s="3172"/>
      <c r="X58" s="3172"/>
      <c r="Y58" s="3172"/>
      <c r="Z58" s="3172"/>
      <c r="AA58" s="3172"/>
      <c r="AB58" s="3172"/>
      <c r="AC58" s="3172"/>
      <c r="AE58" s="3172" t="s">
        <v>2161</v>
      </c>
      <c r="AF58" s="3172"/>
      <c r="AG58" s="3172"/>
      <c r="AH58" s="3172"/>
      <c r="AI58" s="3172"/>
      <c r="AJ58" s="3172"/>
      <c r="AK58" s="2972"/>
      <c r="AL58" s="2969"/>
    </row>
    <row r="59" spans="1:38" ht="12" customHeight="1" x14ac:dyDescent="0.2">
      <c r="A59" s="2211"/>
      <c r="B59" s="2515"/>
      <c r="C59" s="2208"/>
      <c r="D59" s="2457"/>
      <c r="E59" s="5094"/>
      <c r="F59" s="5095"/>
      <c r="G59" s="5095"/>
      <c r="H59" s="5095"/>
      <c r="I59" s="5095"/>
      <c r="J59" s="5096"/>
      <c r="K59" s="2763"/>
      <c r="L59" s="5089"/>
      <c r="M59" s="5089"/>
      <c r="N59" s="5089"/>
      <c r="O59" s="5010"/>
      <c r="P59" s="2208"/>
      <c r="Q59" s="2208"/>
      <c r="R59" s="2516"/>
      <c r="S59" s="2455"/>
      <c r="T59" s="2211"/>
      <c r="U59" s="2213"/>
      <c r="V59" s="4185" t="s">
        <v>1751</v>
      </c>
      <c r="W59" s="4185"/>
      <c r="X59" s="4185"/>
      <c r="Y59" s="4185"/>
      <c r="Z59" s="4185"/>
      <c r="AA59" s="4185"/>
      <c r="AB59" s="20" t="s">
        <v>2038</v>
      </c>
      <c r="AC59" s="25" t="s">
        <v>1820</v>
      </c>
      <c r="AE59" s="343" t="s">
        <v>1957</v>
      </c>
      <c r="AF59" s="3415" t="s">
        <v>2013</v>
      </c>
      <c r="AG59" s="3415"/>
      <c r="AH59" s="3415"/>
      <c r="AI59" s="3415"/>
      <c r="AJ59" s="1" t="s">
        <v>1712</v>
      </c>
      <c r="AK59" s="2972"/>
      <c r="AL59" s="2969"/>
    </row>
    <row r="60" spans="1:38" ht="12" customHeight="1" x14ac:dyDescent="0.2">
      <c r="A60" s="2211"/>
      <c r="B60" s="2515"/>
      <c r="C60" s="2208"/>
      <c r="D60" s="2457"/>
      <c r="E60" s="5094"/>
      <c r="F60" s="5095"/>
      <c r="G60" s="5095"/>
      <c r="H60" s="5095"/>
      <c r="I60" s="5095"/>
      <c r="J60" s="5096"/>
      <c r="K60" s="2763"/>
      <c r="L60" s="5089"/>
      <c r="M60" s="5089"/>
      <c r="N60" s="5089"/>
      <c r="O60" s="5010"/>
      <c r="P60" s="2208"/>
      <c r="Q60" s="2208"/>
      <c r="R60" s="2516"/>
      <c r="S60" s="2455"/>
      <c r="T60" s="2211"/>
      <c r="U60" s="2213"/>
      <c r="V60" s="4129"/>
      <c r="W60" s="4129"/>
      <c r="X60" s="4129"/>
      <c r="Y60" s="4129"/>
      <c r="Z60" s="4129"/>
      <c r="AA60" s="4129"/>
      <c r="AB60" s="130"/>
      <c r="AC60" s="27"/>
      <c r="AE60" s="344">
        <f>IF(Metamagia!X15=1,30,0)</f>
        <v>0</v>
      </c>
      <c r="AF60" s="4939"/>
      <c r="AG60" s="4939"/>
      <c r="AH60" s="4939"/>
      <c r="AI60" s="4939"/>
      <c r="AJ60" s="73" t="str">
        <f>IF(AF60=0,"",VLOOKUP(AF60,Tablas!$F$1129:$G$1183,2,FALSE))</f>
        <v/>
      </c>
      <c r="AK60" s="2972"/>
      <c r="AL60" s="2969"/>
    </row>
    <row r="61" spans="1:38" ht="12" customHeight="1" x14ac:dyDescent="0.2">
      <c r="A61" s="2211"/>
      <c r="B61" s="2515"/>
      <c r="C61" s="2208"/>
      <c r="D61" s="2457"/>
      <c r="E61" s="5094"/>
      <c r="F61" s="5095"/>
      <c r="G61" s="5095"/>
      <c r="H61" s="5095"/>
      <c r="I61" s="5095"/>
      <c r="J61" s="5096"/>
      <c r="K61" s="2763"/>
      <c r="L61" s="5089"/>
      <c r="M61" s="5089"/>
      <c r="N61" s="5089"/>
      <c r="O61" s="5010"/>
      <c r="P61" s="2208"/>
      <c r="Q61" s="2208"/>
      <c r="R61" s="2516"/>
      <c r="S61" s="2455"/>
      <c r="T61" s="2211"/>
      <c r="U61" s="2213"/>
      <c r="V61" s="4801"/>
      <c r="W61" s="4801"/>
      <c r="X61" s="4801"/>
      <c r="Y61" s="4801"/>
      <c r="Z61" s="4801"/>
      <c r="AA61" s="4801"/>
      <c r="AB61" s="345"/>
      <c r="AC61" s="346"/>
      <c r="AE61" s="347">
        <f>IF(Metamagia!AD15=1,30,0)</f>
        <v>0</v>
      </c>
      <c r="AF61" s="4937"/>
      <c r="AG61" s="4937"/>
      <c r="AH61" s="4937"/>
      <c r="AI61" s="4937"/>
      <c r="AJ61" s="160" t="str">
        <f>IF(AF61=0,"",VLOOKUP(AF61,Tablas!$F$1129:$G$1183,2,FALSE))</f>
        <v/>
      </c>
      <c r="AK61" s="2972"/>
      <c r="AL61" s="2969"/>
    </row>
    <row r="62" spans="1:38" ht="12" customHeight="1" x14ac:dyDescent="0.2">
      <c r="A62" s="2211"/>
      <c r="B62" s="2515"/>
      <c r="C62" s="2457"/>
      <c r="D62" s="2457"/>
      <c r="E62" s="5094"/>
      <c r="F62" s="5095"/>
      <c r="G62" s="5095"/>
      <c r="H62" s="5095"/>
      <c r="I62" s="5095"/>
      <c r="J62" s="5096"/>
      <c r="K62" s="2763"/>
      <c r="L62" s="5089"/>
      <c r="M62" s="5089"/>
      <c r="N62" s="5089"/>
      <c r="O62" s="5010"/>
      <c r="P62" s="2208"/>
      <c r="Q62" s="2208"/>
      <c r="R62" s="2516"/>
      <c r="S62" s="2455"/>
      <c r="T62" s="2211"/>
      <c r="U62" s="2213"/>
      <c r="V62" s="4133"/>
      <c r="W62" s="4133"/>
      <c r="X62" s="4133"/>
      <c r="Y62" s="4133"/>
      <c r="Z62" s="4133"/>
      <c r="AA62" s="4133"/>
      <c r="AB62" s="130"/>
      <c r="AC62" s="27"/>
      <c r="AE62" s="348">
        <f>IF(Metamagia!R29=1,50,0)</f>
        <v>0</v>
      </c>
      <c r="AF62" s="4938"/>
      <c r="AG62" s="4938"/>
      <c r="AH62" s="4938"/>
      <c r="AI62" s="4938"/>
      <c r="AJ62" s="73" t="str">
        <f>IF(AF62=0,"",VLOOKUP(AF62,Tablas!$F$1129:$G$1183,2,FALSE))</f>
        <v/>
      </c>
      <c r="AK62" s="2972"/>
      <c r="AL62" s="2969"/>
    </row>
    <row r="63" spans="1:38" ht="12" customHeight="1" x14ac:dyDescent="0.2">
      <c r="A63" s="2211"/>
      <c r="B63" s="2515"/>
      <c r="C63" s="2457"/>
      <c r="D63" s="2457"/>
      <c r="E63" s="5100" t="s">
        <v>8089</v>
      </c>
      <c r="F63" s="5101"/>
      <c r="G63" s="5101"/>
      <c r="H63" s="5101"/>
      <c r="I63" s="5101"/>
      <c r="J63" s="5101"/>
      <c r="K63" s="5101"/>
      <c r="L63" s="5089"/>
      <c r="M63" s="5089"/>
      <c r="N63" s="5089"/>
      <c r="O63" s="5010"/>
      <c r="P63" s="2208"/>
      <c r="Q63" s="2208"/>
      <c r="R63" s="2516"/>
      <c r="S63" s="2455"/>
      <c r="T63" s="2211"/>
      <c r="U63" s="2213"/>
      <c r="V63" s="4801"/>
      <c r="W63" s="4801"/>
      <c r="X63" s="4801"/>
      <c r="Y63" s="4801"/>
      <c r="Z63" s="4801"/>
      <c r="AA63" s="4801"/>
      <c r="AB63" s="345"/>
      <c r="AC63" s="346"/>
      <c r="AE63" s="347">
        <f>IF(Metamagia!AG24=1,60,0)</f>
        <v>0</v>
      </c>
      <c r="AF63" s="4937"/>
      <c r="AG63" s="4937"/>
      <c r="AH63" s="4937"/>
      <c r="AI63" s="4937"/>
      <c r="AJ63" s="160" t="str">
        <f>IF(AF63=0,"",VLOOKUP(AF63,Tablas!$F$1129:$G$1183,2,FALSE))</f>
        <v/>
      </c>
      <c r="AK63" s="2972"/>
      <c r="AL63" s="2969"/>
    </row>
    <row r="64" spans="1:38" ht="12" customHeight="1" x14ac:dyDescent="0.2">
      <c r="A64" s="2211"/>
      <c r="B64" s="2515"/>
      <c r="C64" s="2457"/>
      <c r="D64" s="2457"/>
      <c r="E64" s="5091"/>
      <c r="F64" s="5092"/>
      <c r="G64" s="5092"/>
      <c r="H64" s="5092"/>
      <c r="I64" s="5092"/>
      <c r="J64" s="5093"/>
      <c r="K64" s="2762"/>
      <c r="L64" s="5089"/>
      <c r="M64" s="5089"/>
      <c r="N64" s="5089"/>
      <c r="O64" s="5010"/>
      <c r="P64" s="2208"/>
      <c r="Q64" s="2208"/>
      <c r="R64" s="2516"/>
      <c r="S64" s="2455"/>
      <c r="T64" s="2211"/>
      <c r="U64" s="2213"/>
      <c r="V64" s="4133"/>
      <c r="W64" s="4133"/>
      <c r="X64" s="4133"/>
      <c r="Y64" s="4133"/>
      <c r="Z64" s="4133"/>
      <c r="AA64" s="4133"/>
      <c r="AB64" s="130"/>
      <c r="AC64" s="27"/>
      <c r="AE64" s="348">
        <f>IF(Metamagia!X24=1,60,0)</f>
        <v>0</v>
      </c>
      <c r="AF64" s="4938"/>
      <c r="AG64" s="4938"/>
      <c r="AH64" s="4938"/>
      <c r="AI64" s="4938"/>
      <c r="AJ64" s="73" t="str">
        <f>IF(AF64=0,"",VLOOKUP(AF64,Tablas!$F$1129:$G$1183,2,FALSE))</f>
        <v/>
      </c>
      <c r="AK64" s="2972"/>
      <c r="AL64" s="2969"/>
    </row>
    <row r="65" spans="1:38" ht="12" customHeight="1" x14ac:dyDescent="0.2">
      <c r="A65" s="2211"/>
      <c r="B65" s="2515"/>
      <c r="C65" s="2457"/>
      <c r="D65" s="2457"/>
      <c r="E65" s="5094"/>
      <c r="F65" s="5095"/>
      <c r="G65" s="5095"/>
      <c r="H65" s="5095"/>
      <c r="I65" s="5095"/>
      <c r="J65" s="5096"/>
      <c r="K65" s="2763"/>
      <c r="L65" s="5089"/>
      <c r="M65" s="5089"/>
      <c r="N65" s="5089"/>
      <c r="O65" s="5010"/>
      <c r="P65" s="2208"/>
      <c r="Q65" s="2208"/>
      <c r="R65" s="2516"/>
      <c r="S65" s="2455"/>
      <c r="T65" s="2211"/>
      <c r="U65" s="2213"/>
      <c r="V65" s="4801"/>
      <c r="W65" s="4801"/>
      <c r="X65" s="4801"/>
      <c r="Y65" s="4801"/>
      <c r="Z65" s="4801"/>
      <c r="AA65" s="4801"/>
      <c r="AB65" s="345"/>
      <c r="AC65" s="346"/>
      <c r="AE65" s="347">
        <f>IF(Metamagia!AG39=1,70,0)</f>
        <v>0</v>
      </c>
      <c r="AF65" s="4937"/>
      <c r="AG65" s="4937"/>
      <c r="AH65" s="4937"/>
      <c r="AI65" s="4937"/>
      <c r="AJ65" s="160" t="str">
        <f>IF(AF65=0,"",VLOOKUP(AF65,Tablas!$F$1129:$G$1183,2,FALSE))</f>
        <v/>
      </c>
      <c r="AK65" s="2972"/>
      <c r="AL65" s="2969"/>
    </row>
    <row r="66" spans="1:38" ht="12" customHeight="1" thickBot="1" x14ac:dyDescent="0.25">
      <c r="A66" s="2211"/>
      <c r="B66" s="2515"/>
      <c r="C66" s="2457"/>
      <c r="D66" s="2457"/>
      <c r="E66" s="5094"/>
      <c r="F66" s="5095"/>
      <c r="G66" s="5095"/>
      <c r="H66" s="5095"/>
      <c r="I66" s="5095"/>
      <c r="J66" s="5096"/>
      <c r="K66" s="2763"/>
      <c r="L66" s="5089"/>
      <c r="M66" s="5089"/>
      <c r="N66" s="5089"/>
      <c r="O66" s="5010"/>
      <c r="P66" s="2208"/>
      <c r="Q66" s="2208"/>
      <c r="R66" s="2516"/>
      <c r="S66" s="2455"/>
      <c r="T66" s="2211"/>
      <c r="U66" s="2213"/>
      <c r="V66" s="4946"/>
      <c r="W66" s="4946"/>
      <c r="X66" s="4946"/>
      <c r="Y66" s="4946"/>
      <c r="Z66" s="4946"/>
      <c r="AA66" s="4946"/>
      <c r="AB66" s="172"/>
      <c r="AC66" s="28"/>
      <c r="AE66" s="351">
        <f>IF(Metamagia!AA29=1,80,0)</f>
        <v>0</v>
      </c>
      <c r="AF66" s="4951"/>
      <c r="AG66" s="4951"/>
      <c r="AH66" s="4951"/>
      <c r="AI66" s="4951"/>
      <c r="AJ66" s="88" t="str">
        <f>IF(AF66=0,"",VLOOKUP(AF66,Tablas!$F$1129:$G$1183,2,FALSE))</f>
        <v/>
      </c>
      <c r="AK66" s="2972"/>
      <c r="AL66" s="2969"/>
    </row>
    <row r="67" spans="1:38" ht="12" customHeight="1" thickBot="1" x14ac:dyDescent="0.25">
      <c r="A67" s="2211"/>
      <c r="B67" s="2515"/>
      <c r="C67" s="2457"/>
      <c r="D67" s="2457"/>
      <c r="E67" s="5094"/>
      <c r="F67" s="5095"/>
      <c r="G67" s="5095"/>
      <c r="H67" s="5095"/>
      <c r="I67" s="5095"/>
      <c r="J67" s="5096"/>
      <c r="K67" s="2763"/>
      <c r="L67" s="5089"/>
      <c r="M67" s="5089"/>
      <c r="N67" s="5089"/>
      <c r="O67" s="5010"/>
      <c r="P67" s="2208"/>
      <c r="Q67" s="2208"/>
      <c r="R67" s="2516"/>
      <c r="S67" s="2455"/>
      <c r="T67" s="2211"/>
      <c r="U67" s="2213"/>
      <c r="AK67" s="2972"/>
      <c r="AL67" s="2969"/>
    </row>
    <row r="68" spans="1:38" ht="12" customHeight="1" x14ac:dyDescent="0.2">
      <c r="A68" s="2211"/>
      <c r="B68" s="2515"/>
      <c r="C68" s="2457"/>
      <c r="D68" s="2457"/>
      <c r="E68" s="5094"/>
      <c r="F68" s="5095"/>
      <c r="G68" s="5095"/>
      <c r="H68" s="5095"/>
      <c r="I68" s="5095"/>
      <c r="J68" s="5096"/>
      <c r="K68" s="2763"/>
      <c r="L68" s="5089"/>
      <c r="M68" s="5089"/>
      <c r="N68" s="5089"/>
      <c r="O68" s="5010"/>
      <c r="P68" s="2208"/>
      <c r="Q68" s="2208"/>
      <c r="R68" s="2516"/>
      <c r="S68" s="2455"/>
      <c r="T68" s="2211"/>
      <c r="U68" s="2213"/>
      <c r="V68" s="4940" t="s">
        <v>2169</v>
      </c>
      <c r="W68" s="4551" t="s">
        <v>2170</v>
      </c>
      <c r="X68" s="4551"/>
      <c r="Y68" s="4551"/>
      <c r="Z68" s="4551"/>
      <c r="AA68" s="4551"/>
      <c r="AB68" s="93" t="s">
        <v>1801</v>
      </c>
      <c r="AC68" s="212" t="s">
        <v>2171</v>
      </c>
      <c r="AD68" s="4278" t="s">
        <v>1861</v>
      </c>
      <c r="AE68" s="4278"/>
      <c r="AF68" s="4278"/>
      <c r="AG68" s="4278"/>
      <c r="AH68" s="4278"/>
      <c r="AI68" s="4278"/>
      <c r="AJ68" s="4278"/>
      <c r="AK68" s="2972"/>
      <c r="AL68" s="2969"/>
    </row>
    <row r="69" spans="1:38" ht="12" customHeight="1" x14ac:dyDescent="0.2">
      <c r="A69" s="2211"/>
      <c r="B69" s="2515"/>
      <c r="C69" s="2457"/>
      <c r="D69" s="2457"/>
      <c r="E69" s="5094"/>
      <c r="F69" s="5095"/>
      <c r="G69" s="5095"/>
      <c r="H69" s="5095"/>
      <c r="I69" s="5095"/>
      <c r="J69" s="5096"/>
      <c r="K69" s="2763"/>
      <c r="L69" s="5089"/>
      <c r="M69" s="5089"/>
      <c r="N69" s="5089"/>
      <c r="O69" s="5010"/>
      <c r="P69" s="2208"/>
      <c r="Q69" s="2208"/>
      <c r="R69" s="2516"/>
      <c r="S69" s="2455"/>
      <c r="T69" s="2211"/>
      <c r="U69" s="2213"/>
      <c r="V69" s="4941"/>
      <c r="W69" s="4949"/>
      <c r="X69" s="4949"/>
      <c r="Y69" s="4949"/>
      <c r="Z69" s="4949"/>
      <c r="AA69" s="4949"/>
      <c r="AB69" s="354"/>
      <c r="AC69" s="354"/>
      <c r="AD69" s="4950"/>
      <c r="AE69" s="4950"/>
      <c r="AF69" s="4950"/>
      <c r="AG69" s="4950"/>
      <c r="AH69" s="4950"/>
      <c r="AI69" s="4950"/>
      <c r="AJ69" s="4950"/>
      <c r="AK69" s="2972"/>
      <c r="AL69" s="2969"/>
    </row>
    <row r="70" spans="1:38" ht="12" customHeight="1" thickBot="1" x14ac:dyDescent="0.25">
      <c r="A70" s="2211"/>
      <c r="B70" s="2515"/>
      <c r="C70" s="2457"/>
      <c r="D70" s="2457"/>
      <c r="E70" s="5097"/>
      <c r="F70" s="5098"/>
      <c r="G70" s="5098"/>
      <c r="H70" s="5098"/>
      <c r="I70" s="5098"/>
      <c r="J70" s="5099"/>
      <c r="K70" s="2764"/>
      <c r="L70" s="5090"/>
      <c r="M70" s="5090"/>
      <c r="N70" s="5090"/>
      <c r="O70" s="5088"/>
      <c r="P70" s="2208"/>
      <c r="Q70" s="2208"/>
      <c r="R70" s="2516"/>
      <c r="S70" s="2455"/>
      <c r="T70" s="2211"/>
      <c r="U70" s="2213"/>
      <c r="V70" s="4941"/>
      <c r="W70" s="4947" t="s">
        <v>2174</v>
      </c>
      <c r="X70" s="4947"/>
      <c r="Y70" s="4948"/>
      <c r="Z70" s="4948"/>
      <c r="AA70" s="4948"/>
      <c r="AB70" s="4948"/>
      <c r="AC70" s="4948"/>
      <c r="AD70" s="4948"/>
      <c r="AE70" s="4948"/>
      <c r="AF70" s="4948"/>
      <c r="AG70" s="4948"/>
      <c r="AH70" s="4948"/>
      <c r="AI70" s="4948"/>
      <c r="AJ70" s="4948"/>
      <c r="AK70" s="2972"/>
      <c r="AL70" s="2969"/>
    </row>
    <row r="71" spans="1:38" ht="12" customHeight="1" thickBot="1" x14ac:dyDescent="0.25">
      <c r="A71" s="2211"/>
      <c r="B71" s="2515"/>
      <c r="R71" s="2516"/>
      <c r="S71" s="2455"/>
      <c r="T71" s="2211"/>
      <c r="U71" s="2213"/>
      <c r="V71" s="4941"/>
      <c r="W71" s="4258" t="s">
        <v>2175</v>
      </c>
      <c r="X71" s="4258"/>
      <c r="Y71" s="4933"/>
      <c r="Z71" s="4933"/>
      <c r="AA71" s="4933"/>
      <c r="AB71" s="4933"/>
      <c r="AC71" s="4933"/>
      <c r="AD71" s="4933"/>
      <c r="AE71" s="4933"/>
      <c r="AF71" s="4933"/>
      <c r="AG71" s="4933"/>
      <c r="AH71" s="4933"/>
      <c r="AI71" s="4933"/>
      <c r="AJ71" s="4933"/>
      <c r="AK71" s="2972"/>
      <c r="AL71" s="2969"/>
    </row>
    <row r="72" spans="1:38" ht="12" customHeight="1" x14ac:dyDescent="0.2">
      <c r="A72" s="2211"/>
      <c r="B72" s="2515"/>
      <c r="R72" s="2516"/>
      <c r="S72" s="2455"/>
      <c r="T72" s="2211"/>
      <c r="U72" s="2213"/>
      <c r="V72" s="4941"/>
      <c r="W72" s="4551" t="s">
        <v>2170</v>
      </c>
      <c r="X72" s="4551"/>
      <c r="Y72" s="4551"/>
      <c r="Z72" s="4551"/>
      <c r="AA72" s="4551"/>
      <c r="AB72" s="93" t="s">
        <v>1801</v>
      </c>
      <c r="AC72" s="212" t="s">
        <v>2171</v>
      </c>
      <c r="AD72" s="4278" t="s">
        <v>1861</v>
      </c>
      <c r="AE72" s="4278"/>
      <c r="AF72" s="4278"/>
      <c r="AG72" s="4278"/>
      <c r="AH72" s="4278"/>
      <c r="AI72" s="4278"/>
      <c r="AJ72" s="4278"/>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4941"/>
      <c r="W73" s="4949"/>
      <c r="X73" s="4949"/>
      <c r="Y73" s="4949"/>
      <c r="Z73" s="4949"/>
      <c r="AA73" s="4949"/>
      <c r="AB73" s="354"/>
      <c r="AC73" s="354"/>
      <c r="AD73" s="4950"/>
      <c r="AE73" s="4950"/>
      <c r="AF73" s="4950"/>
      <c r="AG73" s="4950"/>
      <c r="AH73" s="4950"/>
      <c r="AI73" s="4950"/>
      <c r="AJ73" s="4950"/>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4941"/>
      <c r="W74" s="4947" t="s">
        <v>2174</v>
      </c>
      <c r="X74" s="4947"/>
      <c r="Y74" s="4948"/>
      <c r="Z74" s="4948"/>
      <c r="AA74" s="4948"/>
      <c r="AB74" s="4948"/>
      <c r="AC74" s="4948"/>
      <c r="AD74" s="4948"/>
      <c r="AE74" s="4948"/>
      <c r="AF74" s="4948"/>
      <c r="AG74" s="4948"/>
      <c r="AH74" s="4948"/>
      <c r="AI74" s="4948"/>
      <c r="AJ74" s="4948"/>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4942"/>
      <c r="W75" s="4258" t="s">
        <v>2175</v>
      </c>
      <c r="X75" s="4258"/>
      <c r="Y75" s="4933"/>
      <c r="Z75" s="4933"/>
      <c r="AA75" s="4933"/>
      <c r="AB75" s="4933"/>
      <c r="AC75" s="4933"/>
      <c r="AD75" s="4933"/>
      <c r="AE75" s="4933"/>
      <c r="AF75" s="4933"/>
      <c r="AG75" s="4933"/>
      <c r="AH75" s="4933"/>
      <c r="AI75" s="4933"/>
      <c r="AJ75" s="4933"/>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N595" zoomScaleNormal="100" workbookViewId="0">
      <selection activeCell="AE613" sqref="AE613"/>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1" width="25.140625" style="363" customWidth="1"/>
    <col min="12"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77" customWidth="1"/>
    <col min="29" max="35" width="9.5703125" style="363" customWidth="1"/>
    <col min="36"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108"/>
      <c r="C2" s="5107" t="s">
        <v>8945</v>
      </c>
      <c r="D2" s="5107"/>
      <c r="E2" s="5107"/>
      <c r="F2" s="5107"/>
      <c r="G2" s="5107"/>
      <c r="H2" s="5107"/>
      <c r="I2" s="5107"/>
      <c r="J2" s="5107"/>
      <c r="K2" s="5107"/>
      <c r="L2" s="5107"/>
      <c r="M2" s="5107"/>
      <c r="N2" s="5107"/>
      <c r="O2" s="5107"/>
      <c r="P2" s="5107"/>
      <c r="Q2" s="5107"/>
      <c r="R2" s="5107"/>
      <c r="S2" s="5107"/>
      <c r="T2" s="5107"/>
      <c r="U2" s="5107"/>
      <c r="V2" s="5107"/>
      <c r="W2" s="5107"/>
      <c r="X2" s="5107"/>
      <c r="Y2" s="5107"/>
      <c r="Z2" s="5107"/>
      <c r="AA2" s="5107"/>
      <c r="AB2" s="5107"/>
      <c r="AC2" s="5107"/>
      <c r="AD2" s="5107"/>
      <c r="AE2" s="5107"/>
      <c r="AF2" s="5107"/>
      <c r="AG2" s="5107"/>
      <c r="AH2" s="5107"/>
      <c r="AI2" s="5107"/>
    </row>
    <row r="3" spans="1:263" ht="12.75" customHeight="1" x14ac:dyDescent="0.2">
      <c r="A3" s="1927">
        <v>3</v>
      </c>
      <c r="B3" s="5108"/>
      <c r="C3" s="5107"/>
      <c r="D3" s="5107"/>
      <c r="E3" s="5107"/>
      <c r="F3" s="5107"/>
      <c r="G3" s="5107"/>
      <c r="H3" s="5107"/>
      <c r="I3" s="5107"/>
      <c r="J3" s="5107"/>
      <c r="K3" s="5107"/>
      <c r="L3" s="5107"/>
      <c r="M3" s="5107"/>
      <c r="N3" s="5107"/>
      <c r="O3" s="5107"/>
      <c r="P3" s="5107"/>
      <c r="Q3" s="5107"/>
      <c r="R3" s="5107"/>
      <c r="S3" s="5107"/>
      <c r="T3" s="5107"/>
      <c r="U3" s="5107"/>
      <c r="V3" s="5107"/>
      <c r="W3" s="5107"/>
      <c r="X3" s="5107"/>
      <c r="Y3" s="5107"/>
      <c r="Z3" s="5107"/>
      <c r="AA3" s="5107"/>
      <c r="AB3" s="5107"/>
      <c r="AC3" s="5107"/>
      <c r="AD3" s="5107"/>
      <c r="AE3" s="5107"/>
      <c r="AF3" s="5107"/>
      <c r="AG3" s="5107"/>
      <c r="AH3" s="5107"/>
      <c r="AI3" s="5107"/>
    </row>
    <row r="4" spans="1:263" ht="12.75" customHeight="1" x14ac:dyDescent="0.2">
      <c r="A4" s="1928">
        <v>4</v>
      </c>
      <c r="B4" s="5108"/>
      <c r="C4" s="5107"/>
      <c r="D4" s="5107"/>
      <c r="E4" s="5107"/>
      <c r="F4" s="5107"/>
      <c r="G4" s="5107"/>
      <c r="H4" s="5107"/>
      <c r="I4" s="5107"/>
      <c r="J4" s="5107"/>
      <c r="K4" s="5107"/>
      <c r="L4" s="5107"/>
      <c r="M4" s="5107"/>
      <c r="N4" s="5107"/>
      <c r="O4" s="5107"/>
      <c r="P4" s="5107"/>
      <c r="Q4" s="5107"/>
      <c r="R4" s="5107"/>
      <c r="S4" s="5107"/>
      <c r="T4" s="5107"/>
      <c r="U4" s="5107"/>
      <c r="V4" s="5107"/>
      <c r="W4" s="5107"/>
      <c r="X4" s="5107"/>
      <c r="Y4" s="5107"/>
      <c r="Z4" s="5107"/>
      <c r="AA4" s="5107"/>
      <c r="AB4" s="5107"/>
      <c r="AC4" s="5107"/>
      <c r="AD4" s="5107"/>
      <c r="AE4" s="5107"/>
      <c r="AF4" s="5107"/>
      <c r="AG4" s="5107"/>
      <c r="AH4" s="5107"/>
      <c r="AI4" s="5107"/>
    </row>
    <row r="5" spans="1:263" ht="13.5" customHeight="1" thickBot="1" x14ac:dyDescent="0.25">
      <c r="A5" s="1928">
        <v>5</v>
      </c>
      <c r="B5" s="5108"/>
      <c r="H5" s="363"/>
      <c r="I5" s="1665"/>
      <c r="N5" s="363"/>
      <c r="O5" s="2011"/>
    </row>
    <row r="6" spans="1:263" ht="12.75" customHeight="1" thickBot="1" x14ac:dyDescent="0.25">
      <c r="A6" s="1928">
        <v>6</v>
      </c>
      <c r="B6" s="5108"/>
      <c r="C6" s="3172" t="s">
        <v>2445</v>
      </c>
      <c r="E6" s="3172" t="s">
        <v>1605</v>
      </c>
      <c r="G6" s="3172" t="s">
        <v>1079</v>
      </c>
      <c r="H6" s="3172"/>
      <c r="I6" s="1665"/>
      <c r="N6" s="363"/>
      <c r="O6" s="2011"/>
      <c r="S6" s="5112" t="s">
        <v>8077</v>
      </c>
      <c r="T6" s="5113"/>
      <c r="U6" s="5113"/>
      <c r="V6" s="5113"/>
      <c r="W6" s="5113"/>
      <c r="X6" s="5114"/>
      <c r="Y6" s="1092"/>
      <c r="Z6" s="1092"/>
    </row>
    <row r="7" spans="1:263" ht="12.75" customHeight="1" thickBot="1" x14ac:dyDescent="0.25">
      <c r="A7" s="1928">
        <v>7</v>
      </c>
      <c r="B7" s="5108"/>
      <c r="C7" s="3172"/>
      <c r="E7" s="3172"/>
      <c r="G7" s="3172"/>
      <c r="H7" s="3172"/>
      <c r="I7" s="1665"/>
      <c r="N7" s="363"/>
      <c r="O7" s="2011"/>
      <c r="S7" s="5115"/>
      <c r="T7" s="5116"/>
      <c r="U7" s="5116"/>
      <c r="V7" s="5116"/>
      <c r="W7" s="5116"/>
      <c r="X7" s="5117"/>
      <c r="Y7" s="1092"/>
      <c r="Z7" s="1092"/>
    </row>
    <row r="8" spans="1:263" ht="12.75" customHeight="1" thickBot="1" x14ac:dyDescent="0.25">
      <c r="A8" s="1928">
        <v>8</v>
      </c>
      <c r="B8" s="5108"/>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108"/>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108"/>
      <c r="H10" s="363"/>
      <c r="I10" s="1665"/>
      <c r="N10" s="363"/>
      <c r="O10" s="2011"/>
      <c r="P10" s="5110" t="s">
        <v>1503</v>
      </c>
      <c r="Q10" s="5110"/>
      <c r="S10" s="1776" t="s">
        <v>2052</v>
      </c>
      <c r="T10" s="213">
        <f>VLOOKUP($S10&amp;$X$15,$U$14:$W$22,2,FALSE)</f>
        <v>10</v>
      </c>
      <c r="U10" s="213">
        <f>VLOOKUP($S10&amp;$X$15,$U$14:$W$22,3,FALSE)</f>
        <v>0.1</v>
      </c>
      <c r="V10" s="213">
        <v>0.5</v>
      </c>
      <c r="W10" s="213"/>
      <c r="X10" s="1877">
        <v>1</v>
      </c>
    </row>
    <row r="11" spans="1:263" ht="12.75" customHeight="1" thickBot="1" x14ac:dyDescent="0.25">
      <c r="A11" s="1927">
        <v>11</v>
      </c>
      <c r="B11" s="5108"/>
      <c r="C11" s="5155" t="s">
        <v>2318</v>
      </c>
      <c r="D11" s="5155"/>
      <c r="E11" s="5155"/>
      <c r="G11" s="5102" t="s">
        <v>2360</v>
      </c>
      <c r="H11" s="5102"/>
      <c r="I11" s="5102"/>
      <c r="J11" s="5102"/>
      <c r="L11" s="5155" t="s">
        <v>1445</v>
      </c>
      <c r="M11" s="5155"/>
      <c r="N11" s="363"/>
      <c r="O11" s="2011"/>
      <c r="P11" s="5110"/>
      <c r="Q11" s="5110"/>
      <c r="S11" s="1776" t="s">
        <v>8079</v>
      </c>
      <c r="T11" s="213">
        <f>VLOOKUP($S11&amp;$X$15,$U$14:$W$22,2,FALSE)</f>
        <v>20</v>
      </c>
      <c r="U11" s="213">
        <f>VLOOKUP($S11&amp;$X$15,$U$14:$W$22,3,FALSE)</f>
        <v>0.25</v>
      </c>
      <c r="V11" s="213">
        <v>1</v>
      </c>
      <c r="W11" s="213"/>
      <c r="X11" s="1877">
        <v>1</v>
      </c>
    </row>
    <row r="12" spans="1:263" ht="12.75" customHeight="1" thickBot="1" x14ac:dyDescent="0.25">
      <c r="A12" s="1927">
        <v>12</v>
      </c>
      <c r="B12" s="5108"/>
      <c r="C12" s="5155"/>
      <c r="D12" s="5155"/>
      <c r="E12" s="5155"/>
      <c r="G12" s="5102"/>
      <c r="H12" s="5102"/>
      <c r="I12" s="5102"/>
      <c r="J12" s="5102"/>
      <c r="L12" s="5155"/>
      <c r="M12" s="5155"/>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108"/>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108"/>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
      </c>
    </row>
    <row r="15" spans="1:263" ht="12.75" customHeight="1" thickBot="1" x14ac:dyDescent="0.25">
      <c r="A15" s="1928">
        <v>15</v>
      </c>
      <c r="B15" s="5108"/>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108"/>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108"/>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108"/>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108"/>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220" t="s">
        <v>8763</v>
      </c>
    </row>
    <row r="20" spans="1:113" ht="12.75" customHeight="1" x14ac:dyDescent="0.2">
      <c r="A20" s="1928">
        <v>20</v>
      </c>
      <c r="B20" s="5108"/>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221"/>
    </row>
    <row r="21" spans="1:113" ht="12.75" customHeight="1" x14ac:dyDescent="0.2">
      <c r="A21" s="1928">
        <v>21</v>
      </c>
      <c r="B21" s="5108"/>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222" t="b">
        <f>AND(Nivel_Sobrenatural&lt;&gt;Tablas!S12,General!$V$12="")</f>
        <v>0</v>
      </c>
    </row>
    <row r="22" spans="1:113" ht="12.75" customHeight="1" thickBot="1" x14ac:dyDescent="0.25">
      <c r="A22" s="1928">
        <v>22</v>
      </c>
      <c r="B22" s="5108"/>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23"/>
    </row>
    <row r="23" spans="1:113" ht="12.75" customHeight="1" thickBot="1" x14ac:dyDescent="0.25">
      <c r="A23" s="1928">
        <v>23</v>
      </c>
      <c r="B23" s="5108"/>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108"/>
      <c r="C24" s="1754">
        <v>11</v>
      </c>
      <c r="D24" s="213">
        <v>20</v>
      </c>
      <c r="E24" s="234">
        <v>20</v>
      </c>
      <c r="G24" s="389">
        <v>11</v>
      </c>
      <c r="H24" s="213">
        <v>3</v>
      </c>
      <c r="I24" s="213">
        <v>200</v>
      </c>
      <c r="J24" s="234">
        <v>600</v>
      </c>
      <c r="L24" s="216">
        <v>14</v>
      </c>
      <c r="M24" s="234">
        <v>1000</v>
      </c>
      <c r="N24" s="363"/>
      <c r="O24" s="2011"/>
      <c r="P24" s="185">
        <v>12</v>
      </c>
      <c r="Q24" s="463">
        <v>2</v>
      </c>
      <c r="S24" s="5281" t="s">
        <v>8786</v>
      </c>
      <c r="T24" s="5282"/>
      <c r="V24" s="5155" t="s">
        <v>1443</v>
      </c>
      <c r="W24" s="5155"/>
      <c r="X24" s="5155"/>
      <c r="Z24" s="5155" t="s">
        <v>2431</v>
      </c>
      <c r="AA24" s="5155"/>
      <c r="AB24" s="5155"/>
      <c r="AD24" s="5155" t="s">
        <v>2434</v>
      </c>
      <c r="AE24" s="5155"/>
      <c r="AF24" s="5155"/>
      <c r="AH24" s="5102" t="s">
        <v>1785</v>
      </c>
      <c r="AI24" s="5102"/>
    </row>
    <row r="25" spans="1:113" ht="12.75" customHeight="1" x14ac:dyDescent="0.2">
      <c r="A25" s="1927">
        <v>25</v>
      </c>
      <c r="B25" s="5108"/>
      <c r="C25" s="1754">
        <v>12</v>
      </c>
      <c r="D25" s="213">
        <v>20</v>
      </c>
      <c r="E25" s="234">
        <v>30</v>
      </c>
      <c r="G25" s="389">
        <v>12</v>
      </c>
      <c r="H25" s="213">
        <v>3</v>
      </c>
      <c r="I25" s="213">
        <v>350</v>
      </c>
      <c r="J25" s="234">
        <v>1000</v>
      </c>
      <c r="L25" s="216">
        <v>15</v>
      </c>
      <c r="M25" s="234">
        <v>5000</v>
      </c>
      <c r="N25" s="363"/>
      <c r="O25" s="2011"/>
      <c r="P25" s="185">
        <v>13</v>
      </c>
      <c r="Q25" s="463">
        <v>3</v>
      </c>
      <c r="S25" s="5283"/>
      <c r="T25" s="5284"/>
      <c r="V25" s="5155"/>
      <c r="W25" s="5155"/>
      <c r="X25" s="5155"/>
      <c r="Z25" s="5155"/>
      <c r="AA25" s="5155"/>
      <c r="AB25" s="5155"/>
      <c r="AD25" s="5155"/>
      <c r="AE25" s="5155"/>
      <c r="AF25" s="5155"/>
      <c r="AH25" s="5102"/>
      <c r="AI25" s="5102"/>
    </row>
    <row r="26" spans="1:113" ht="13.5" customHeight="1" thickBot="1" x14ac:dyDescent="0.25">
      <c r="A26" s="1927">
        <v>26</v>
      </c>
      <c r="B26" s="5108"/>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108"/>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108"/>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108"/>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108"/>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108"/>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108"/>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108"/>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108"/>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108"/>
      <c r="C35" s="3188" t="s">
        <v>2320</v>
      </c>
      <c r="D35" s="3188"/>
      <c r="E35" s="3188"/>
      <c r="F35" s="3188"/>
      <c r="G35" s="3188"/>
      <c r="H35" s="363"/>
      <c r="I35" s="3188" t="s">
        <v>2364</v>
      </c>
      <c r="J35" s="3188"/>
      <c r="L35" s="5102" t="s">
        <v>2450</v>
      </c>
      <c r="M35" s="5102"/>
      <c r="N35" s="5102"/>
      <c r="O35" s="2011"/>
      <c r="P35" s="3188" t="s">
        <v>2447</v>
      </c>
      <c r="Q35" s="3188"/>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108"/>
      <c r="C36" s="3188"/>
      <c r="D36" s="3188"/>
      <c r="E36" s="3188"/>
      <c r="F36" s="3188"/>
      <c r="G36" s="3188"/>
      <c r="H36" s="363"/>
      <c r="I36" s="3188"/>
      <c r="J36" s="3188"/>
      <c r="L36" s="430" t="s">
        <v>2451</v>
      </c>
      <c r="M36" s="367" t="s">
        <v>2452</v>
      </c>
      <c r="N36" s="368" t="s">
        <v>2453</v>
      </c>
      <c r="O36" s="2011"/>
      <c r="P36" s="3188"/>
      <c r="Q36" s="3188"/>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108"/>
      <c r="C37" s="366" t="s">
        <v>1809</v>
      </c>
      <c r="D37" s="1757" t="s">
        <v>1677</v>
      </c>
      <c r="E37" s="5285" t="s">
        <v>2321</v>
      </c>
      <c r="F37" s="5285"/>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108"/>
      <c r="C38" s="216">
        <v>1</v>
      </c>
      <c r="D38" s="255">
        <v>0</v>
      </c>
      <c r="E38" s="5154" t="s">
        <v>2323</v>
      </c>
      <c r="F38" s="5154"/>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108"/>
      <c r="C39" s="216">
        <v>2</v>
      </c>
      <c r="D39" s="255">
        <v>0</v>
      </c>
      <c r="E39" s="5154" t="s">
        <v>2323</v>
      </c>
      <c r="F39" s="5154"/>
      <c r="G39" s="392" t="s">
        <v>2323</v>
      </c>
      <c r="H39" s="363"/>
      <c r="I39" s="216">
        <v>2</v>
      </c>
      <c r="J39" s="392" t="s">
        <v>2367</v>
      </c>
      <c r="L39" s="431">
        <v>3</v>
      </c>
      <c r="M39" s="305">
        <v>40</v>
      </c>
      <c r="N39" s="193">
        <v>0</v>
      </c>
      <c r="O39" s="2011"/>
      <c r="P39" s="216">
        <v>11</v>
      </c>
      <c r="Q39" s="234">
        <v>2</v>
      </c>
      <c r="V39" s="4071" t="s">
        <v>8667</v>
      </c>
      <c r="W39" s="4073"/>
      <c r="AB39" s="363"/>
      <c r="AH39" s="474">
        <v>13</v>
      </c>
      <c r="AI39" s="193">
        <v>8</v>
      </c>
    </row>
    <row r="40" spans="1:113" ht="12.75" customHeight="1" thickBot="1" x14ac:dyDescent="0.25">
      <c r="A40" s="1927">
        <v>40</v>
      </c>
      <c r="B40" s="5108"/>
      <c r="C40" s="216">
        <v>3</v>
      </c>
      <c r="D40" s="255">
        <v>1</v>
      </c>
      <c r="E40" s="5154" t="s">
        <v>2324</v>
      </c>
      <c r="F40" s="5154"/>
      <c r="G40" s="393" t="s">
        <v>2325</v>
      </c>
      <c r="H40" s="363"/>
      <c r="I40" s="216">
        <v>3</v>
      </c>
      <c r="J40" s="392" t="s">
        <v>2368</v>
      </c>
      <c r="L40" s="431">
        <v>4</v>
      </c>
      <c r="M40" s="305">
        <v>55</v>
      </c>
      <c r="N40" s="193">
        <v>0</v>
      </c>
      <c r="O40" s="2011"/>
      <c r="P40" s="216">
        <v>15</v>
      </c>
      <c r="Q40" s="234">
        <v>3</v>
      </c>
      <c r="S40" s="3172" t="s">
        <v>1548</v>
      </c>
      <c r="T40" s="3172"/>
      <c r="V40" s="5178"/>
      <c r="W40" s="5208"/>
      <c r="AB40" s="363"/>
      <c r="AH40" s="474">
        <v>14</v>
      </c>
      <c r="AI40" s="193">
        <v>9</v>
      </c>
    </row>
    <row r="41" spans="1:113" ht="12.75" customHeight="1" thickBot="1" x14ac:dyDescent="0.25">
      <c r="A41" s="1927">
        <v>41</v>
      </c>
      <c r="B41" s="5108"/>
      <c r="C41" s="216">
        <v>4</v>
      </c>
      <c r="D41" s="255">
        <v>1</v>
      </c>
      <c r="E41" s="5154" t="s">
        <v>2324</v>
      </c>
      <c r="F41" s="5154"/>
      <c r="G41" s="393" t="s">
        <v>2325</v>
      </c>
      <c r="H41" s="363"/>
      <c r="I41" s="216">
        <v>4</v>
      </c>
      <c r="J41" s="392" t="s">
        <v>2369</v>
      </c>
      <c r="L41" s="431">
        <v>5</v>
      </c>
      <c r="M41" s="305">
        <v>70</v>
      </c>
      <c r="N41" s="193">
        <v>5</v>
      </c>
      <c r="O41" s="2011"/>
      <c r="P41" s="216">
        <v>20</v>
      </c>
      <c r="Q41" s="234">
        <v>4</v>
      </c>
      <c r="S41" s="3172"/>
      <c r="T41" s="3172"/>
      <c r="V41" s="1859" t="s">
        <v>1686</v>
      </c>
      <c r="W41" s="1780"/>
      <c r="AB41" s="363"/>
      <c r="AH41" s="474">
        <v>15</v>
      </c>
      <c r="AI41" s="193">
        <v>10</v>
      </c>
    </row>
    <row r="42" spans="1:113" ht="12.75" customHeight="1" thickBot="1" x14ac:dyDescent="0.25">
      <c r="A42" s="1927">
        <v>42</v>
      </c>
      <c r="B42" s="5108"/>
      <c r="C42" s="216">
        <v>5</v>
      </c>
      <c r="D42" s="255">
        <v>1</v>
      </c>
      <c r="E42" s="5154" t="s">
        <v>2324</v>
      </c>
      <c r="F42" s="5154"/>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108"/>
      <c r="C43" s="216">
        <v>6</v>
      </c>
      <c r="D43" s="255">
        <v>1</v>
      </c>
      <c r="E43" s="5154" t="s">
        <v>2324</v>
      </c>
      <c r="F43" s="5154"/>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108"/>
      <c r="C44" s="216">
        <v>7</v>
      </c>
      <c r="D44" s="255">
        <v>1</v>
      </c>
      <c r="E44" s="5154" t="s">
        <v>2324</v>
      </c>
      <c r="F44" s="5154"/>
      <c r="G44" s="393" t="s">
        <v>2325</v>
      </c>
      <c r="H44" s="363"/>
      <c r="I44" s="216">
        <v>7</v>
      </c>
      <c r="J44" s="392" t="s">
        <v>2372</v>
      </c>
      <c r="L44" s="431">
        <v>8</v>
      </c>
      <c r="M44" s="305">
        <v>110</v>
      </c>
      <c r="N44" s="193">
        <v>10</v>
      </c>
      <c r="O44" s="2011"/>
      <c r="P44" s="216">
        <v>29</v>
      </c>
      <c r="Q44" s="234">
        <v>8</v>
      </c>
      <c r="S44" s="185">
        <v>7</v>
      </c>
      <c r="T44" s="234">
        <v>320</v>
      </c>
      <c r="V44" s="5155" t="s">
        <v>2294</v>
      </c>
      <c r="W44" s="5155"/>
      <c r="X44" s="5155"/>
      <c r="Y44" s="5155"/>
      <c r="Z44" s="5155"/>
      <c r="AA44" s="5155"/>
      <c r="AB44" s="5155"/>
      <c r="AC44" s="5155"/>
      <c r="AD44" s="5155"/>
      <c r="AE44" s="5155"/>
      <c r="AH44" s="474">
        <v>18</v>
      </c>
      <c r="AI44" s="193">
        <v>10</v>
      </c>
    </row>
    <row r="45" spans="1:113" ht="14.85" customHeight="1" thickBot="1" x14ac:dyDescent="0.25">
      <c r="A45" s="1928">
        <v>45</v>
      </c>
      <c r="B45" s="5108"/>
      <c r="C45" s="216">
        <v>8</v>
      </c>
      <c r="D45" s="255">
        <v>2</v>
      </c>
      <c r="E45" s="5154" t="s">
        <v>2326</v>
      </c>
      <c r="F45" s="5154"/>
      <c r="G45" s="393" t="s">
        <v>2325</v>
      </c>
      <c r="H45" s="363"/>
      <c r="I45" s="216">
        <v>8</v>
      </c>
      <c r="J45" s="392" t="s">
        <v>2373</v>
      </c>
      <c r="L45" s="431">
        <v>9</v>
      </c>
      <c r="M45" s="305">
        <v>120</v>
      </c>
      <c r="N45" s="193">
        <v>10</v>
      </c>
      <c r="O45" s="2011"/>
      <c r="P45" s="383">
        <v>32</v>
      </c>
      <c r="Q45" s="376">
        <v>10</v>
      </c>
      <c r="S45" s="493">
        <v>10</v>
      </c>
      <c r="T45" s="376">
        <v>1000</v>
      </c>
      <c r="V45" s="5155"/>
      <c r="W45" s="5155"/>
      <c r="X45" s="5155"/>
      <c r="Y45" s="5155"/>
      <c r="Z45" s="5155"/>
      <c r="AA45" s="5155"/>
      <c r="AB45" s="5155"/>
      <c r="AC45" s="5155"/>
      <c r="AD45" s="5155"/>
      <c r="AE45" s="5155"/>
      <c r="AH45" s="474">
        <v>19</v>
      </c>
      <c r="AI45" s="193">
        <v>10</v>
      </c>
    </row>
    <row r="46" spans="1:113" ht="14.85" customHeight="1" thickBot="1" x14ac:dyDescent="0.25">
      <c r="A46" s="1927">
        <v>46</v>
      </c>
      <c r="B46" s="5108"/>
      <c r="C46" s="216">
        <v>9</v>
      </c>
      <c r="D46" s="255">
        <v>2</v>
      </c>
      <c r="E46" s="5154" t="s">
        <v>2326</v>
      </c>
      <c r="F46" s="5154"/>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108"/>
      <c r="C47" s="216">
        <v>10</v>
      </c>
      <c r="D47" s="255">
        <v>3</v>
      </c>
      <c r="E47" s="5154" t="s">
        <v>2327</v>
      </c>
      <c r="F47" s="5154"/>
      <c r="G47" s="393" t="s">
        <v>2325</v>
      </c>
      <c r="H47" s="363"/>
      <c r="I47" s="216">
        <v>10</v>
      </c>
      <c r="J47" s="392" t="s">
        <v>2375</v>
      </c>
      <c r="L47" s="431">
        <v>11</v>
      </c>
      <c r="M47" s="305">
        <v>150</v>
      </c>
      <c r="N47" s="193">
        <v>10</v>
      </c>
      <c r="O47" s="2011"/>
      <c r="S47" s="3172"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108"/>
      <c r="C48" s="216">
        <v>11</v>
      </c>
      <c r="D48" s="255">
        <v>4</v>
      </c>
      <c r="E48" s="5154" t="s">
        <v>2328</v>
      </c>
      <c r="F48" s="5154"/>
      <c r="G48" s="393" t="s">
        <v>2329</v>
      </c>
      <c r="H48" s="363"/>
      <c r="I48" s="216">
        <v>11</v>
      </c>
      <c r="J48" s="392" t="s">
        <v>2376</v>
      </c>
      <c r="L48" s="431">
        <v>12</v>
      </c>
      <c r="M48" s="305">
        <v>160</v>
      </c>
      <c r="N48" s="193">
        <v>15</v>
      </c>
      <c r="O48" s="2011"/>
      <c r="S48" s="3172"/>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108"/>
      <c r="C49" s="216">
        <v>12</v>
      </c>
      <c r="D49" s="255">
        <v>5</v>
      </c>
      <c r="E49" s="5154" t="s">
        <v>2330</v>
      </c>
      <c r="F49" s="5154"/>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108"/>
      <c r="C50" s="216">
        <v>13</v>
      </c>
      <c r="D50" s="255">
        <v>6</v>
      </c>
      <c r="E50" s="5154" t="s">
        <v>2331</v>
      </c>
      <c r="F50" s="5154"/>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108"/>
      <c r="C51" s="216">
        <v>14</v>
      </c>
      <c r="D51" s="255">
        <v>7</v>
      </c>
      <c r="E51" s="5154" t="s">
        <v>2332</v>
      </c>
      <c r="F51" s="5154"/>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108"/>
      <c r="C52" s="216">
        <v>15</v>
      </c>
      <c r="D52" s="255">
        <v>8</v>
      </c>
      <c r="E52" s="5154" t="s">
        <v>2334</v>
      </c>
      <c r="F52" s="5154"/>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108"/>
      <c r="C53" s="216">
        <v>16</v>
      </c>
      <c r="D53" s="255">
        <v>9</v>
      </c>
      <c r="E53" s="5154" t="s">
        <v>2336</v>
      </c>
      <c r="F53" s="5154"/>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108"/>
      <c r="C54" s="216">
        <v>17</v>
      </c>
      <c r="D54" s="255">
        <v>10</v>
      </c>
      <c r="E54" s="5154" t="s">
        <v>2338</v>
      </c>
      <c r="F54" s="5154"/>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108"/>
      <c r="C55" s="216">
        <v>18</v>
      </c>
      <c r="D55" s="255">
        <v>11</v>
      </c>
      <c r="E55" s="5154" t="s">
        <v>2340</v>
      </c>
      <c r="F55" s="5154"/>
      <c r="G55" s="393" t="s">
        <v>2341</v>
      </c>
      <c r="H55" s="363"/>
      <c r="I55" s="216">
        <v>18</v>
      </c>
      <c r="J55" s="392" t="s">
        <v>2383</v>
      </c>
      <c r="L55" s="431">
        <v>19</v>
      </c>
      <c r="M55" s="305">
        <v>250</v>
      </c>
      <c r="N55" s="193">
        <v>30</v>
      </c>
      <c r="O55" s="2011"/>
      <c r="S55" s="505" t="s">
        <v>1867</v>
      </c>
    </row>
    <row r="56" spans="1:31" ht="12.75" customHeight="1" thickBot="1" x14ac:dyDescent="0.25">
      <c r="A56" s="1927">
        <v>56</v>
      </c>
      <c r="B56" s="5108"/>
      <c r="C56" s="216">
        <v>19</v>
      </c>
      <c r="D56" s="255">
        <v>12</v>
      </c>
      <c r="E56" s="5154" t="s">
        <v>2342</v>
      </c>
      <c r="F56" s="5154"/>
      <c r="G56" s="393" t="s">
        <v>2343</v>
      </c>
      <c r="H56" s="363"/>
      <c r="I56" s="216">
        <v>19</v>
      </c>
      <c r="J56" s="392" t="s">
        <v>2384</v>
      </c>
      <c r="L56" s="432">
        <v>20</v>
      </c>
      <c r="M56" s="384">
        <v>265</v>
      </c>
      <c r="N56" s="433">
        <v>35</v>
      </c>
      <c r="O56" s="2011"/>
      <c r="S56" s="521" t="s">
        <v>1868</v>
      </c>
    </row>
    <row r="57" spans="1:31" ht="12.75" customHeight="1" thickBot="1" x14ac:dyDescent="0.25">
      <c r="A57" s="1927">
        <v>57</v>
      </c>
      <c r="B57" s="5108"/>
      <c r="C57" s="216">
        <v>20</v>
      </c>
      <c r="D57" s="255">
        <v>12</v>
      </c>
      <c r="E57" s="5154" t="s">
        <v>2342</v>
      </c>
      <c r="F57" s="5154"/>
      <c r="G57" s="393" t="s">
        <v>2344</v>
      </c>
      <c r="H57" s="363"/>
      <c r="I57" s="383">
        <v>20</v>
      </c>
      <c r="J57" s="398" t="s">
        <v>2385</v>
      </c>
      <c r="N57" s="363"/>
      <c r="O57" s="2011"/>
    </row>
    <row r="58" spans="1:31" ht="12.75" customHeight="1" x14ac:dyDescent="0.2">
      <c r="A58" s="1928">
        <v>58</v>
      </c>
      <c r="B58" s="5108"/>
      <c r="C58" s="65"/>
      <c r="D58" s="255">
        <v>13</v>
      </c>
      <c r="E58" s="5154" t="s">
        <v>2345</v>
      </c>
      <c r="F58" s="5154"/>
      <c r="G58" s="393" t="s">
        <v>2346</v>
      </c>
      <c r="H58" s="363"/>
      <c r="I58" s="1665"/>
      <c r="N58" s="363"/>
      <c r="O58" s="2011"/>
    </row>
    <row r="59" spans="1:31" ht="12.75" customHeight="1" x14ac:dyDescent="0.2">
      <c r="A59" s="1928">
        <v>59</v>
      </c>
      <c r="B59" s="5108"/>
      <c r="C59" s="65"/>
      <c r="D59" s="255">
        <v>14</v>
      </c>
      <c r="E59" s="5154" t="s">
        <v>2347</v>
      </c>
      <c r="F59" s="5154"/>
      <c r="G59" s="393" t="s">
        <v>2348</v>
      </c>
      <c r="H59" s="363"/>
      <c r="I59" s="1665"/>
      <c r="N59" s="363"/>
      <c r="O59" s="2011"/>
    </row>
    <row r="60" spans="1:31" ht="12.75" customHeight="1" x14ac:dyDescent="0.2">
      <c r="A60" s="1928">
        <v>60</v>
      </c>
      <c r="B60" s="5108"/>
      <c r="C60" s="65"/>
      <c r="D60" s="255">
        <v>15</v>
      </c>
      <c r="E60" s="5154" t="s">
        <v>2349</v>
      </c>
      <c r="F60" s="5154"/>
      <c r="G60" s="393" t="s">
        <v>2350</v>
      </c>
      <c r="H60" s="363"/>
      <c r="I60" s="1665"/>
      <c r="N60" s="363"/>
      <c r="O60" s="2011"/>
    </row>
    <row r="61" spans="1:31" ht="12.75" customHeight="1" x14ac:dyDescent="0.2">
      <c r="A61" s="1927">
        <v>61</v>
      </c>
      <c r="B61" s="5108"/>
      <c r="C61" s="65"/>
      <c r="D61" s="255">
        <v>16</v>
      </c>
      <c r="E61" s="5154" t="s">
        <v>2351</v>
      </c>
      <c r="F61" s="5154"/>
      <c r="G61" s="393" t="s">
        <v>2352</v>
      </c>
      <c r="H61" s="363"/>
      <c r="I61" s="1665"/>
      <c r="N61" s="363"/>
      <c r="O61" s="2011"/>
    </row>
    <row r="62" spans="1:31" ht="12.75" customHeight="1" x14ac:dyDescent="0.2">
      <c r="A62" s="1927">
        <v>62</v>
      </c>
      <c r="B62" s="5108"/>
      <c r="C62" s="65"/>
      <c r="D62" s="255">
        <v>17</v>
      </c>
      <c r="E62" s="5154" t="s">
        <v>2353</v>
      </c>
      <c r="F62" s="5154"/>
      <c r="G62" s="393" t="s">
        <v>2354</v>
      </c>
      <c r="H62" s="363"/>
      <c r="I62" s="1665"/>
      <c r="N62" s="363"/>
      <c r="O62" s="2011"/>
    </row>
    <row r="63" spans="1:31" ht="12.75" customHeight="1" x14ac:dyDescent="0.2">
      <c r="A63" s="1927">
        <v>63</v>
      </c>
      <c r="B63" s="5108"/>
      <c r="C63" s="65"/>
      <c r="D63" s="255">
        <v>18</v>
      </c>
      <c r="E63" s="5154" t="s">
        <v>2355</v>
      </c>
      <c r="F63" s="5154"/>
      <c r="G63" s="393" t="s">
        <v>2356</v>
      </c>
      <c r="H63" s="363"/>
      <c r="I63" s="1665"/>
      <c r="N63" s="363"/>
      <c r="O63" s="2011"/>
    </row>
    <row r="64" spans="1:31" ht="12.75" customHeight="1" x14ac:dyDescent="0.2">
      <c r="A64" s="1928">
        <v>64</v>
      </c>
      <c r="B64" s="5108"/>
      <c r="C64" s="65"/>
      <c r="D64" s="255">
        <v>19</v>
      </c>
      <c r="E64" s="5154" t="s">
        <v>2357</v>
      </c>
      <c r="F64" s="5154"/>
      <c r="G64" s="393" t="s">
        <v>2358</v>
      </c>
      <c r="H64" s="363"/>
      <c r="I64" s="1665"/>
      <c r="N64" s="363"/>
      <c r="O64" s="2011"/>
    </row>
    <row r="65" spans="1:27" ht="12.75" customHeight="1" thickBot="1" x14ac:dyDescent="0.25">
      <c r="A65" s="1928">
        <v>65</v>
      </c>
      <c r="B65" s="5108"/>
      <c r="C65" s="178"/>
      <c r="D65" s="1758">
        <v>20</v>
      </c>
      <c r="E65" s="5238" t="s">
        <v>2359</v>
      </c>
      <c r="F65" s="5238"/>
      <c r="G65" s="395" t="s">
        <v>2358</v>
      </c>
      <c r="H65" s="363"/>
      <c r="I65" s="1665"/>
      <c r="N65" s="363"/>
      <c r="O65" s="2011"/>
    </row>
    <row r="66" spans="1:27" ht="12.75" customHeight="1" thickBot="1" x14ac:dyDescent="0.25">
      <c r="A66" s="1928">
        <v>66</v>
      </c>
      <c r="B66" s="5108"/>
      <c r="H66" s="363"/>
      <c r="I66" s="1665"/>
      <c r="N66" s="363"/>
      <c r="O66" s="2011"/>
    </row>
    <row r="67" spans="1:27" ht="12.75" customHeight="1" x14ac:dyDescent="0.2">
      <c r="A67" s="1928">
        <v>67</v>
      </c>
      <c r="B67" s="5108"/>
      <c r="C67" s="5265" t="s">
        <v>10031</v>
      </c>
      <c r="D67" s="5266"/>
      <c r="E67" s="5266"/>
      <c r="F67" s="5266"/>
      <c r="G67" s="5266"/>
      <c r="H67" s="5266"/>
      <c r="I67" s="5266"/>
      <c r="J67" s="5266"/>
      <c r="K67" s="5266"/>
      <c r="L67" s="5266"/>
      <c r="M67" s="5266"/>
      <c r="N67" s="5267"/>
      <c r="P67" s="5265" t="s">
        <v>10030</v>
      </c>
      <c r="Q67" s="5266"/>
      <c r="R67" s="5266"/>
      <c r="S67" s="5266"/>
      <c r="T67" s="5266"/>
      <c r="U67" s="5266"/>
      <c r="V67" s="5266"/>
      <c r="W67" s="5266"/>
      <c r="X67" s="5266"/>
      <c r="Y67" s="5266"/>
      <c r="Z67" s="5266"/>
      <c r="AA67" s="5267"/>
    </row>
    <row r="68" spans="1:27" ht="12.75" customHeight="1" x14ac:dyDescent="0.2">
      <c r="A68" s="1928">
        <v>68</v>
      </c>
      <c r="B68" s="5108"/>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108"/>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108"/>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108"/>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108"/>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108"/>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108"/>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108"/>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108"/>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108"/>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108"/>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108"/>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108"/>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108"/>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108"/>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108"/>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108"/>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108"/>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108"/>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108"/>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108"/>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108"/>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108"/>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108"/>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108"/>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108"/>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108"/>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108"/>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108"/>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108"/>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108"/>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108"/>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108"/>
    </row>
    <row r="101" spans="1:109" ht="12.75" customHeight="1" x14ac:dyDescent="0.2">
      <c r="A101" s="1928">
        <v>101</v>
      </c>
      <c r="B101" s="5108"/>
      <c r="C101" s="5107" t="s">
        <v>8944</v>
      </c>
      <c r="D101" s="5107"/>
      <c r="E101" s="5107"/>
      <c r="F101" s="5107"/>
      <c r="G101" s="5107"/>
      <c r="H101" s="5107"/>
      <c r="I101" s="5107"/>
      <c r="J101" s="5107"/>
      <c r="K101" s="5107"/>
      <c r="L101" s="5107"/>
      <c r="M101" s="5107"/>
      <c r="N101" s="5107"/>
      <c r="O101" s="5107"/>
      <c r="P101" s="5107"/>
      <c r="Q101" s="5107"/>
      <c r="R101" s="5107"/>
      <c r="S101" s="5107"/>
      <c r="T101" s="5107"/>
      <c r="U101" s="5107"/>
      <c r="V101" s="5107"/>
      <c r="W101" s="5107"/>
      <c r="X101" s="5107"/>
      <c r="Y101" s="5107"/>
      <c r="Z101" s="5107"/>
      <c r="AA101" s="5107"/>
      <c r="AB101" s="5107"/>
      <c r="AC101" s="5107"/>
      <c r="AD101" s="5107"/>
      <c r="AE101" s="5107"/>
      <c r="AF101" s="5107"/>
      <c r="AG101" s="5107"/>
      <c r="AH101" s="5107"/>
      <c r="AI101" s="5107"/>
      <c r="AJ101" s="5107"/>
      <c r="AK101" s="5107"/>
      <c r="AL101" s="5107"/>
      <c r="AM101" s="5107"/>
      <c r="AN101" s="5107"/>
      <c r="AO101" s="5107"/>
      <c r="AP101" s="5107"/>
      <c r="AQ101" s="5107"/>
      <c r="AR101" s="5107"/>
      <c r="AS101" s="5107"/>
      <c r="AT101" s="5107"/>
      <c r="AU101" s="5107"/>
      <c r="AV101" s="5107"/>
      <c r="AW101" s="5107"/>
      <c r="AX101" s="5107"/>
      <c r="AY101" s="5107"/>
      <c r="AZ101" s="5107"/>
      <c r="BA101" s="5107"/>
      <c r="BB101" s="5107"/>
      <c r="BC101" s="5107"/>
      <c r="BD101" s="5107"/>
      <c r="BE101" s="5107"/>
      <c r="BF101" s="5107"/>
      <c r="BG101" s="5107"/>
      <c r="BH101" s="5107"/>
      <c r="BI101" s="5107"/>
      <c r="BJ101" s="5107"/>
      <c r="BK101" s="5107"/>
      <c r="BL101" s="5107"/>
      <c r="BM101" s="5107"/>
      <c r="BN101" s="5107"/>
      <c r="BO101" s="5107"/>
      <c r="BP101" s="5107"/>
      <c r="BQ101" s="5107"/>
      <c r="BR101" s="5107"/>
      <c r="BS101" s="5107"/>
      <c r="BT101" s="5107"/>
      <c r="BU101" s="5107"/>
      <c r="BV101" s="5107"/>
      <c r="BW101" s="5107"/>
      <c r="BX101" s="5107"/>
      <c r="BY101" s="5107"/>
      <c r="BZ101" s="5107"/>
      <c r="CA101" s="5107"/>
      <c r="CB101" s="5107"/>
      <c r="CC101" s="5107"/>
      <c r="CD101" s="5107"/>
      <c r="CE101" s="5107"/>
      <c r="CF101" s="5107"/>
      <c r="CG101" s="5107"/>
      <c r="CH101" s="5107"/>
      <c r="CI101" s="5107"/>
      <c r="CJ101" s="5107"/>
      <c r="CK101" s="5107"/>
      <c r="CL101" s="5107"/>
      <c r="CM101" s="5107"/>
      <c r="CN101" s="5107"/>
      <c r="CO101" s="5107"/>
      <c r="CP101" s="5107"/>
      <c r="CQ101" s="5107"/>
      <c r="CR101" s="5107"/>
      <c r="CS101" s="5107"/>
      <c r="CT101" s="5107"/>
      <c r="CU101" s="5107"/>
      <c r="CV101" s="5107"/>
      <c r="CW101" s="5107"/>
      <c r="CX101" s="5107"/>
      <c r="CY101" s="5107"/>
      <c r="CZ101" s="5107"/>
      <c r="DA101" s="5107"/>
      <c r="DB101" s="5107"/>
      <c r="DC101" s="5107"/>
      <c r="DD101" s="5107"/>
      <c r="DE101" s="5107"/>
    </row>
    <row r="102" spans="1:109" ht="12.75" customHeight="1" x14ac:dyDescent="0.2">
      <c r="A102" s="1928">
        <v>102</v>
      </c>
      <c r="B102" s="5108"/>
      <c r="C102" s="5107"/>
      <c r="D102" s="5107"/>
      <c r="E102" s="5107"/>
      <c r="F102" s="5107"/>
      <c r="G102" s="5107"/>
      <c r="H102" s="5107"/>
      <c r="I102" s="5107"/>
      <c r="J102" s="5107"/>
      <c r="K102" s="5107"/>
      <c r="L102" s="5107"/>
      <c r="M102" s="5107"/>
      <c r="N102" s="5107"/>
      <c r="O102" s="5107"/>
      <c r="P102" s="5107"/>
      <c r="Q102" s="5107"/>
      <c r="R102" s="5107"/>
      <c r="S102" s="5107"/>
      <c r="T102" s="5107"/>
      <c r="U102" s="5107"/>
      <c r="V102" s="5107"/>
      <c r="W102" s="5107"/>
      <c r="X102" s="5107"/>
      <c r="Y102" s="5107"/>
      <c r="Z102" s="5107"/>
      <c r="AA102" s="5107"/>
      <c r="AB102" s="5107"/>
      <c r="AC102" s="5107"/>
      <c r="AD102" s="5107"/>
      <c r="AE102" s="5107"/>
      <c r="AF102" s="5107"/>
      <c r="AG102" s="5107"/>
      <c r="AH102" s="5107"/>
      <c r="AI102" s="5107"/>
      <c r="AJ102" s="5107"/>
      <c r="AK102" s="5107"/>
      <c r="AL102" s="5107"/>
      <c r="AM102" s="5107"/>
      <c r="AN102" s="5107"/>
      <c r="AO102" s="5107"/>
      <c r="AP102" s="5107"/>
      <c r="AQ102" s="5107"/>
      <c r="AR102" s="5107"/>
      <c r="AS102" s="5107"/>
      <c r="AT102" s="5107"/>
      <c r="AU102" s="5107"/>
      <c r="AV102" s="5107"/>
      <c r="AW102" s="5107"/>
      <c r="AX102" s="5107"/>
      <c r="AY102" s="5107"/>
      <c r="AZ102" s="5107"/>
      <c r="BA102" s="5107"/>
      <c r="BB102" s="5107"/>
      <c r="BC102" s="5107"/>
      <c r="BD102" s="5107"/>
      <c r="BE102" s="5107"/>
      <c r="BF102" s="5107"/>
      <c r="BG102" s="5107"/>
      <c r="BH102" s="5107"/>
      <c r="BI102" s="5107"/>
      <c r="BJ102" s="5107"/>
      <c r="BK102" s="5107"/>
      <c r="BL102" s="5107"/>
      <c r="BM102" s="5107"/>
      <c r="BN102" s="5107"/>
      <c r="BO102" s="5107"/>
      <c r="BP102" s="5107"/>
      <c r="BQ102" s="5107"/>
      <c r="BR102" s="5107"/>
      <c r="BS102" s="5107"/>
      <c r="BT102" s="5107"/>
      <c r="BU102" s="5107"/>
      <c r="BV102" s="5107"/>
      <c r="BW102" s="5107"/>
      <c r="BX102" s="5107"/>
      <c r="BY102" s="5107"/>
      <c r="BZ102" s="5107"/>
      <c r="CA102" s="5107"/>
      <c r="CB102" s="5107"/>
      <c r="CC102" s="5107"/>
      <c r="CD102" s="5107"/>
      <c r="CE102" s="5107"/>
      <c r="CF102" s="5107"/>
      <c r="CG102" s="5107"/>
      <c r="CH102" s="5107"/>
      <c r="CI102" s="5107"/>
      <c r="CJ102" s="5107"/>
      <c r="CK102" s="5107"/>
      <c r="CL102" s="5107"/>
      <c r="CM102" s="5107"/>
      <c r="CN102" s="5107"/>
      <c r="CO102" s="5107"/>
      <c r="CP102" s="5107"/>
      <c r="CQ102" s="5107"/>
      <c r="CR102" s="5107"/>
      <c r="CS102" s="5107"/>
      <c r="CT102" s="5107"/>
      <c r="CU102" s="5107"/>
      <c r="CV102" s="5107"/>
      <c r="CW102" s="5107"/>
      <c r="CX102" s="5107"/>
      <c r="CY102" s="5107"/>
      <c r="CZ102" s="5107"/>
      <c r="DA102" s="5107"/>
      <c r="DB102" s="5107"/>
      <c r="DC102" s="5107"/>
      <c r="DD102" s="5107"/>
      <c r="DE102" s="5107"/>
    </row>
    <row r="103" spans="1:109" ht="12.75" customHeight="1" x14ac:dyDescent="0.2">
      <c r="A103" s="1928">
        <v>103</v>
      </c>
      <c r="B103" s="5108"/>
      <c r="C103" s="5107"/>
      <c r="D103" s="5107"/>
      <c r="E103" s="5107"/>
      <c r="F103" s="5107"/>
      <c r="G103" s="5107"/>
      <c r="H103" s="5107"/>
      <c r="I103" s="5107"/>
      <c r="J103" s="5107"/>
      <c r="K103" s="5107"/>
      <c r="L103" s="5107"/>
      <c r="M103" s="5107"/>
      <c r="N103" s="5107"/>
      <c r="O103" s="5107"/>
      <c r="P103" s="5107"/>
      <c r="Q103" s="5107"/>
      <c r="R103" s="5107"/>
      <c r="S103" s="5107"/>
      <c r="T103" s="5107"/>
      <c r="U103" s="5107"/>
      <c r="V103" s="5107"/>
      <c r="W103" s="5107"/>
      <c r="X103" s="5107"/>
      <c r="Y103" s="5107"/>
      <c r="Z103" s="5107"/>
      <c r="AA103" s="5107"/>
      <c r="AB103" s="5107"/>
      <c r="AC103" s="5107"/>
      <c r="AD103" s="5107"/>
      <c r="AE103" s="5107"/>
      <c r="AF103" s="5107"/>
      <c r="AG103" s="5107"/>
      <c r="AH103" s="5107"/>
      <c r="AI103" s="5107"/>
      <c r="AJ103" s="5107"/>
      <c r="AK103" s="5107"/>
      <c r="AL103" s="5107"/>
      <c r="AM103" s="5107"/>
      <c r="AN103" s="5107"/>
      <c r="AO103" s="5107"/>
      <c r="AP103" s="5107"/>
      <c r="AQ103" s="5107"/>
      <c r="AR103" s="5107"/>
      <c r="AS103" s="5107"/>
      <c r="AT103" s="5107"/>
      <c r="AU103" s="5107"/>
      <c r="AV103" s="5107"/>
      <c r="AW103" s="5107"/>
      <c r="AX103" s="5107"/>
      <c r="AY103" s="5107"/>
      <c r="AZ103" s="5107"/>
      <c r="BA103" s="5107"/>
      <c r="BB103" s="5107"/>
      <c r="BC103" s="5107"/>
      <c r="BD103" s="5107"/>
      <c r="BE103" s="5107"/>
      <c r="BF103" s="5107"/>
      <c r="BG103" s="5107"/>
      <c r="BH103" s="5107"/>
      <c r="BI103" s="5107"/>
      <c r="BJ103" s="5107"/>
      <c r="BK103" s="5107"/>
      <c r="BL103" s="5107"/>
      <c r="BM103" s="5107"/>
      <c r="BN103" s="5107"/>
      <c r="BO103" s="5107"/>
      <c r="BP103" s="5107"/>
      <c r="BQ103" s="5107"/>
      <c r="BR103" s="5107"/>
      <c r="BS103" s="5107"/>
      <c r="BT103" s="5107"/>
      <c r="BU103" s="5107"/>
      <c r="BV103" s="5107"/>
      <c r="BW103" s="5107"/>
      <c r="BX103" s="5107"/>
      <c r="BY103" s="5107"/>
      <c r="BZ103" s="5107"/>
      <c r="CA103" s="5107"/>
      <c r="CB103" s="5107"/>
      <c r="CC103" s="5107"/>
      <c r="CD103" s="5107"/>
      <c r="CE103" s="5107"/>
      <c r="CF103" s="5107"/>
      <c r="CG103" s="5107"/>
      <c r="CH103" s="5107"/>
      <c r="CI103" s="5107"/>
      <c r="CJ103" s="5107"/>
      <c r="CK103" s="5107"/>
      <c r="CL103" s="5107"/>
      <c r="CM103" s="5107"/>
      <c r="CN103" s="5107"/>
      <c r="CO103" s="5107"/>
      <c r="CP103" s="5107"/>
      <c r="CQ103" s="5107"/>
      <c r="CR103" s="5107"/>
      <c r="CS103" s="5107"/>
      <c r="CT103" s="5107"/>
      <c r="CU103" s="5107"/>
      <c r="CV103" s="5107"/>
      <c r="CW103" s="5107"/>
      <c r="CX103" s="5107"/>
      <c r="CY103" s="5107"/>
      <c r="CZ103" s="5107"/>
      <c r="DA103" s="5107"/>
      <c r="DB103" s="5107"/>
      <c r="DC103" s="5107"/>
      <c r="DD103" s="5107"/>
      <c r="DE103" s="5107"/>
    </row>
    <row r="104" spans="1:109" ht="12.75" customHeight="1" thickBot="1" x14ac:dyDescent="0.25">
      <c r="A104" s="1928">
        <v>104</v>
      </c>
      <c r="B104" s="5108"/>
      <c r="H104" s="363"/>
      <c r="N104" s="363"/>
    </row>
    <row r="105" spans="1:109" ht="12.75" customHeight="1" thickBot="1" x14ac:dyDescent="0.25">
      <c r="A105" s="1928">
        <v>105</v>
      </c>
      <c r="B105" s="5108"/>
      <c r="C105" s="3194" t="s">
        <v>2265</v>
      </c>
      <c r="D105" s="3194"/>
      <c r="F105" s="3194" t="s">
        <v>2291</v>
      </c>
      <c r="G105" s="3194"/>
      <c r="H105" s="363"/>
      <c r="I105" s="5286" t="s">
        <v>2234</v>
      </c>
      <c r="J105" s="5287"/>
      <c r="K105" s="5287"/>
      <c r="L105" s="5287"/>
      <c r="M105" s="5287"/>
      <c r="N105" s="5287"/>
      <c r="O105" s="5287"/>
      <c r="P105" s="5287"/>
      <c r="Q105" s="5287"/>
      <c r="R105" s="5287"/>
      <c r="S105" s="5287"/>
      <c r="T105" s="5287"/>
      <c r="U105" s="5287"/>
      <c r="V105" s="5287"/>
      <c r="W105" s="5287"/>
      <c r="X105" s="5287"/>
      <c r="Y105" s="5287"/>
      <c r="Z105" s="5287"/>
      <c r="AA105" s="5287"/>
      <c r="AB105" s="5287"/>
      <c r="AC105" s="5287"/>
      <c r="AD105" s="5287"/>
      <c r="AE105" s="5287"/>
      <c r="AF105" s="5287"/>
      <c r="AG105" s="5287"/>
      <c r="AH105" s="5287"/>
      <c r="AI105" s="5287"/>
      <c r="AJ105" s="5287"/>
      <c r="AK105" s="5287"/>
      <c r="AL105" s="5287"/>
      <c r="AM105" s="5287"/>
      <c r="AN105" s="5287"/>
      <c r="AO105" s="5287"/>
      <c r="AP105" s="5287"/>
      <c r="AQ105" s="5287"/>
      <c r="AR105" s="5287"/>
      <c r="AS105" s="5287"/>
      <c r="AT105" s="5287"/>
      <c r="AU105" s="5287"/>
      <c r="AV105" s="5287"/>
      <c r="AW105" s="5287"/>
      <c r="AX105" s="5287"/>
      <c r="AY105" s="5287"/>
      <c r="AZ105" s="5287"/>
      <c r="BA105" s="5287"/>
      <c r="BB105" s="5287"/>
      <c r="BC105" s="5287"/>
      <c r="BD105" s="5287"/>
      <c r="BE105" s="5287"/>
      <c r="BF105" s="5287"/>
      <c r="BG105" s="5287"/>
      <c r="BH105" s="5287"/>
      <c r="BI105" s="5287"/>
      <c r="BJ105" s="5287"/>
      <c r="BK105" s="5287"/>
      <c r="BL105" s="5288"/>
    </row>
    <row r="106" spans="1:109" ht="12.75" customHeight="1" thickBot="1" x14ac:dyDescent="0.25">
      <c r="A106" s="1928">
        <v>106</v>
      </c>
      <c r="B106" s="5108"/>
      <c r="C106" s="3194"/>
      <c r="D106" s="3194"/>
      <c r="F106" s="3194"/>
      <c r="G106" s="3194"/>
      <c r="H106" s="363"/>
      <c r="I106" s="5289"/>
      <c r="J106" s="5219"/>
      <c r="K106" s="5219"/>
      <c r="L106" s="5219"/>
      <c r="M106" s="5219"/>
      <c r="N106" s="5219"/>
      <c r="O106" s="5219"/>
      <c r="P106" s="5219"/>
      <c r="Q106" s="5219"/>
      <c r="R106" s="5219"/>
      <c r="S106" s="5219"/>
      <c r="T106" s="5219"/>
      <c r="U106" s="5219"/>
      <c r="V106" s="5219"/>
      <c r="W106" s="5219"/>
      <c r="X106" s="5219"/>
      <c r="Y106" s="5219"/>
      <c r="Z106" s="5219"/>
      <c r="AA106" s="5219"/>
      <c r="AB106" s="5219"/>
      <c r="AC106" s="5219"/>
      <c r="AD106" s="5219"/>
      <c r="AE106" s="5219"/>
      <c r="AF106" s="5219"/>
      <c r="AG106" s="5219"/>
      <c r="AH106" s="5219"/>
      <c r="AI106" s="5219"/>
      <c r="AJ106" s="5219"/>
      <c r="AK106" s="5219"/>
      <c r="AL106" s="5219"/>
      <c r="AM106" s="5219"/>
      <c r="AN106" s="5219"/>
      <c r="AO106" s="5219"/>
      <c r="AP106" s="5219"/>
      <c r="AQ106" s="5219"/>
      <c r="AR106" s="5219"/>
      <c r="AS106" s="5219"/>
      <c r="AT106" s="5219"/>
      <c r="AU106" s="5219"/>
      <c r="AV106" s="5219"/>
      <c r="AW106" s="5219"/>
      <c r="AX106" s="5219"/>
      <c r="AY106" s="5219"/>
      <c r="AZ106" s="5219"/>
      <c r="BA106" s="5219"/>
      <c r="BB106" s="5219"/>
      <c r="BC106" s="5219"/>
      <c r="BD106" s="5219"/>
      <c r="BE106" s="5219"/>
      <c r="BF106" s="5219"/>
      <c r="BG106" s="5219"/>
      <c r="BH106" s="5219"/>
      <c r="BI106" s="5219"/>
      <c r="BJ106" s="5219"/>
      <c r="BK106" s="5219"/>
      <c r="BL106" s="5290"/>
    </row>
    <row r="107" spans="1:109" ht="13.5" customHeight="1" x14ac:dyDescent="0.2">
      <c r="A107" s="1928">
        <v>107</v>
      </c>
      <c r="B107" s="5108"/>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291">
        <v>20</v>
      </c>
      <c r="AD107" s="5291"/>
      <c r="AE107" s="3057"/>
      <c r="AF107" s="5291"/>
      <c r="AG107" s="5291"/>
      <c r="AH107" s="3057"/>
      <c r="AI107" s="5291"/>
      <c r="AJ107" s="5291"/>
      <c r="AK107" s="3057"/>
      <c r="AL107" s="5291"/>
      <c r="AM107" s="5291"/>
      <c r="AN107" s="3057"/>
      <c r="AO107" s="5291"/>
      <c r="AP107" s="5291"/>
      <c r="AQ107" s="3057"/>
      <c r="AR107" s="5291"/>
      <c r="AS107" s="5291"/>
      <c r="AT107" s="3057"/>
      <c r="AU107" s="5291"/>
      <c r="AV107" s="5291"/>
      <c r="AW107" s="3057"/>
      <c r="AX107" s="5291"/>
      <c r="AY107" s="5291"/>
      <c r="AZ107" s="3057"/>
      <c r="BA107" s="5291"/>
      <c r="BB107" s="5291"/>
      <c r="BC107" s="3057"/>
      <c r="BD107" s="5291"/>
      <c r="BE107" s="5291"/>
      <c r="BF107" s="3057"/>
      <c r="BG107" s="5291"/>
      <c r="BH107" s="5291"/>
      <c r="BI107" s="3057"/>
      <c r="BJ107" s="5291"/>
      <c r="BK107" s="5291"/>
      <c r="BL107" s="2891"/>
    </row>
    <row r="108" spans="1:109" ht="12.75" customHeight="1" thickBot="1" x14ac:dyDescent="0.25">
      <c r="A108" s="1928">
        <v>108</v>
      </c>
      <c r="B108" s="5108"/>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264" t="s">
        <v>10137</v>
      </c>
      <c r="AD108" s="5264"/>
      <c r="AE108" s="3054"/>
      <c r="AF108" s="5264"/>
      <c r="AG108" s="5264"/>
      <c r="AH108" s="3054"/>
      <c r="AI108" s="5264"/>
      <c r="AJ108" s="5264"/>
      <c r="AK108" s="3054"/>
      <c r="AL108" s="5264"/>
      <c r="AM108" s="5264"/>
      <c r="AN108" s="3054"/>
      <c r="AO108" s="5264"/>
      <c r="AP108" s="5264"/>
      <c r="AQ108" s="3054"/>
      <c r="AR108" s="5264"/>
      <c r="AS108" s="5264"/>
      <c r="AT108" s="3054"/>
      <c r="AU108" s="5264"/>
      <c r="AV108" s="5264"/>
      <c r="AW108" s="3054"/>
      <c r="AX108" s="5264"/>
      <c r="AY108" s="5264"/>
      <c r="AZ108" s="3054"/>
      <c r="BA108" s="5264"/>
      <c r="BB108" s="5264"/>
      <c r="BC108" s="3054"/>
      <c r="BD108" s="5264"/>
      <c r="BE108" s="5264"/>
      <c r="BF108" s="3054"/>
      <c r="BG108" s="5264"/>
      <c r="BH108" s="5264"/>
      <c r="BI108" s="3054"/>
      <c r="BJ108" s="5264"/>
      <c r="BK108" s="5264"/>
      <c r="BL108" s="3059"/>
    </row>
    <row r="109" spans="1:109" ht="12.75" customHeight="1" thickBot="1" x14ac:dyDescent="0.25">
      <c r="A109" s="1928">
        <v>109</v>
      </c>
      <c r="B109" s="5108"/>
      <c r="H109" s="363"/>
      <c r="I109" s="3072"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3070" t="s">
        <v>10119</v>
      </c>
      <c r="AD109" s="3071"/>
      <c r="AE109" s="3071"/>
      <c r="AF109" s="3071"/>
      <c r="AG109" s="3071"/>
      <c r="AH109" s="3071"/>
      <c r="AI109" s="3071"/>
      <c r="AJ109" s="3071"/>
      <c r="AK109" s="3071"/>
      <c r="AL109" s="3071"/>
      <c r="AM109" s="3071"/>
      <c r="AN109" s="3071"/>
      <c r="AO109" s="3071"/>
      <c r="AP109" s="3071"/>
      <c r="AQ109" s="3071"/>
      <c r="AR109" s="3071"/>
      <c r="AS109" s="3071"/>
      <c r="AT109" s="3071"/>
      <c r="AU109" s="3071"/>
      <c r="AV109" s="3071"/>
      <c r="AW109" s="3071"/>
      <c r="AX109" s="3071"/>
      <c r="AY109" s="3071"/>
      <c r="AZ109" s="3071"/>
      <c r="BA109" s="3071"/>
      <c r="BB109" s="3071"/>
      <c r="BC109" s="3071"/>
      <c r="BD109" s="3071"/>
      <c r="BE109" s="3071"/>
      <c r="BF109" s="3071"/>
      <c r="BG109" s="3071"/>
      <c r="BH109" s="3071"/>
      <c r="BI109" s="3071"/>
      <c r="BJ109" s="3071"/>
      <c r="BK109" s="3071"/>
      <c r="BL109" s="3073"/>
    </row>
    <row r="110" spans="1:109" ht="12.75" customHeight="1" thickBot="1" x14ac:dyDescent="0.25">
      <c r="A110" s="1928">
        <v>110</v>
      </c>
      <c r="B110" s="5108"/>
      <c r="C110" s="3194" t="s">
        <v>2271</v>
      </c>
      <c r="D110" s="3194"/>
      <c r="F110" s="3172" t="s">
        <v>2152</v>
      </c>
      <c r="G110" s="3172"/>
      <c r="H110" s="363"/>
      <c r="I110" s="3074"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10120</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108"/>
      <c r="C111" s="3194"/>
      <c r="D111" s="3194"/>
      <c r="F111" s="3172"/>
      <c r="G111" s="3172"/>
      <c r="H111" s="363"/>
      <c r="I111" s="3074"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10121</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108"/>
      <c r="C112" s="379" t="s">
        <v>2274</v>
      </c>
      <c r="D112" s="68"/>
      <c r="F112" s="5103" t="s">
        <v>2267</v>
      </c>
      <c r="G112" s="5103"/>
      <c r="H112" s="363"/>
      <c r="I112" s="3074"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10122</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108"/>
      <c r="C113" s="379" t="s">
        <v>2276</v>
      </c>
      <c r="D113" s="68"/>
      <c r="F113" s="5103" t="s">
        <v>2269</v>
      </c>
      <c r="G113" s="5103"/>
      <c r="H113" s="363"/>
      <c r="I113" s="3074"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10123</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108"/>
      <c r="C114" s="379" t="s">
        <v>2277</v>
      </c>
      <c r="D114" s="68"/>
      <c r="F114" s="5103" t="s">
        <v>2270</v>
      </c>
      <c r="G114" s="5103"/>
      <c r="H114" s="363"/>
      <c r="I114" s="3074"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10124</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108"/>
      <c r="C115" s="379" t="s">
        <v>2278</v>
      </c>
      <c r="D115" s="68"/>
      <c r="F115" s="5103" t="s">
        <v>2272</v>
      </c>
      <c r="G115" s="5103"/>
      <c r="H115" s="363"/>
      <c r="I115" s="3074"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10125</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108"/>
      <c r="C116" s="379" t="s">
        <v>2279</v>
      </c>
      <c r="D116" s="68"/>
      <c r="F116" s="5103" t="s">
        <v>2273</v>
      </c>
      <c r="G116" s="5103"/>
      <c r="H116" s="363"/>
      <c r="I116" s="3074"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10126</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108"/>
      <c r="C117" s="379" t="s">
        <v>2280</v>
      </c>
      <c r="D117" s="68"/>
      <c r="F117" s="5104" t="s">
        <v>2275</v>
      </c>
      <c r="G117" s="5104"/>
      <c r="H117" s="363"/>
      <c r="I117" s="3074"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10127</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108"/>
      <c r="C118" s="379" t="s">
        <v>2281</v>
      </c>
      <c r="D118" s="68"/>
      <c r="H118" s="363"/>
      <c r="I118" s="3074"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108"/>
      <c r="C119" s="379" t="s">
        <v>2282</v>
      </c>
      <c r="D119" s="68"/>
      <c r="F119" s="3194" t="s">
        <v>2308</v>
      </c>
      <c r="G119" s="3194"/>
      <c r="H119" s="363"/>
      <c r="I119" s="3074"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10128</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108"/>
      <c r="C120" s="379" t="s">
        <v>2283</v>
      </c>
      <c r="D120" s="68"/>
      <c r="F120" s="3194"/>
      <c r="G120" s="3194"/>
      <c r="H120" s="363"/>
      <c r="I120" s="3074"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10129</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108"/>
      <c r="C121" s="379" t="s">
        <v>2284</v>
      </c>
      <c r="D121" s="68"/>
      <c r="F121" s="379" t="s">
        <v>2309</v>
      </c>
      <c r="G121" s="295"/>
      <c r="H121" s="363"/>
      <c r="I121" s="3074"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10130</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108"/>
      <c r="C122" s="379" t="s">
        <v>2285</v>
      </c>
      <c r="D122" s="68"/>
      <c r="F122" s="379" t="s">
        <v>2310</v>
      </c>
      <c r="G122" s="295"/>
      <c r="H122" s="363"/>
      <c r="I122" s="3074"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10131</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108"/>
      <c r="C123" s="379" t="s">
        <v>2286</v>
      </c>
      <c r="D123" s="68"/>
      <c r="F123" s="379" t="s">
        <v>2311</v>
      </c>
      <c r="G123" s="295"/>
      <c r="H123" s="363"/>
      <c r="I123" s="3074"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10132</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108"/>
      <c r="C124" s="379" t="s">
        <v>2287</v>
      </c>
      <c r="D124" s="68"/>
      <c r="F124" s="379" t="s">
        <v>2312</v>
      </c>
      <c r="G124" s="295"/>
      <c r="H124" s="363"/>
      <c r="I124" s="3074"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10133</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108"/>
      <c r="C125" s="379" t="s">
        <v>2288</v>
      </c>
      <c r="D125" s="68"/>
      <c r="F125" s="379" t="s">
        <v>2313</v>
      </c>
      <c r="G125" s="295"/>
      <c r="H125" s="363"/>
      <c r="I125" s="3074"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10134</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108"/>
      <c r="C126" s="379" t="s">
        <v>2289</v>
      </c>
      <c r="D126" s="68"/>
      <c r="F126" s="379" t="s">
        <v>2314</v>
      </c>
      <c r="G126" s="295"/>
      <c r="H126" s="363"/>
      <c r="I126" s="3074"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10135</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108"/>
      <c r="C127" s="378" t="s">
        <v>2290</v>
      </c>
      <c r="D127" s="180"/>
      <c r="F127" s="379" t="s">
        <v>2315</v>
      </c>
      <c r="G127" s="295"/>
      <c r="H127" s="363"/>
      <c r="I127" s="3074"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10136</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108"/>
      <c r="F128" s="379" t="s">
        <v>2316</v>
      </c>
      <c r="G128" s="295"/>
      <c r="H128" s="363"/>
      <c r="I128" s="3074" t="str">
        <f t="shared" si="15"/>
        <v/>
      </c>
      <c r="J128" s="2393"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IF(COUNTA(Cercanía_Dragón)&gt;2,0,-1)</f>
        <v>-1</v>
      </c>
      <c r="V128" s="371">
        <v>0</v>
      </c>
      <c r="W128" s="371">
        <v>0</v>
      </c>
      <c r="X128" s="372">
        <v>0</v>
      </c>
      <c r="Y128" s="371">
        <f>IF(COUNTIF(Cercanía_Dragón,"Descomunales")&gt;0,2,0)</f>
        <v>0</v>
      </c>
      <c r="Z128" s="371">
        <v>1</v>
      </c>
      <c r="AA128" s="371"/>
      <c r="AB128" s="370">
        <v>5</v>
      </c>
      <c r="AC128" s="2637" t="s">
        <v>10138</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108"/>
      <c r="F129" s="378" t="s">
        <v>2317</v>
      </c>
      <c r="G129" s="1764"/>
      <c r="H129" s="363"/>
      <c r="I129" s="3075" t="str">
        <f t="shared" si="15"/>
        <v/>
      </c>
      <c r="J129" s="3076" t="s">
        <v>1912</v>
      </c>
      <c r="K129" s="2140"/>
      <c r="L129" s="2140"/>
      <c r="M129" s="2140"/>
      <c r="N129" s="2140"/>
      <c r="O129" s="3077"/>
      <c r="P129" s="3078"/>
      <c r="Q129" s="3079"/>
      <c r="R129" s="3079"/>
      <c r="S129" s="3079"/>
      <c r="T129" s="3079"/>
      <c r="U129" s="3079"/>
      <c r="V129" s="3079"/>
      <c r="W129" s="3079"/>
      <c r="X129" s="3080"/>
      <c r="Y129" s="3079"/>
      <c r="Z129" s="3079"/>
      <c r="AA129" s="3079"/>
      <c r="AB129" s="3079"/>
      <c r="AC129" s="3081" t="s">
        <v>8500</v>
      </c>
      <c r="AD129" s="3082"/>
      <c r="AE129" s="3082"/>
      <c r="AF129" s="3082"/>
      <c r="AG129" s="3082"/>
      <c r="AH129" s="3082"/>
      <c r="AI129" s="3082"/>
      <c r="AJ129" s="3082"/>
      <c r="AK129" s="3082"/>
      <c r="AL129" s="3082"/>
      <c r="AM129" s="3082"/>
      <c r="AN129" s="3082"/>
      <c r="AO129" s="3082"/>
      <c r="AP129" s="3082"/>
      <c r="AQ129" s="3082"/>
      <c r="AR129" s="3082"/>
      <c r="AS129" s="3082"/>
      <c r="AT129" s="3082"/>
      <c r="AU129" s="3082"/>
      <c r="AV129" s="3082"/>
      <c r="AW129" s="3082"/>
      <c r="AX129" s="3082"/>
      <c r="AY129" s="3082"/>
      <c r="AZ129" s="3082"/>
      <c r="BA129" s="3082"/>
      <c r="BB129" s="3082"/>
      <c r="BC129" s="3082"/>
      <c r="BD129" s="3082"/>
      <c r="BE129" s="3082"/>
      <c r="BF129" s="3082"/>
      <c r="BG129" s="3082"/>
      <c r="BH129" s="3082"/>
      <c r="BI129" s="3082"/>
      <c r="BJ129" s="3082"/>
      <c r="BK129" s="3082"/>
      <c r="BL129" s="1781"/>
    </row>
    <row r="130" spans="1:109" ht="12.75" customHeight="1" thickBot="1" x14ac:dyDescent="0.25">
      <c r="A130" s="1928">
        <v>130</v>
      </c>
      <c r="B130" s="5108"/>
      <c r="H130" s="363"/>
      <c r="J130" s="5169"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108"/>
      <c r="H131" s="363"/>
      <c r="J131" s="5170"/>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108"/>
      <c r="F132" s="1665"/>
      <c r="H132" s="363"/>
      <c r="L132" s="2011"/>
      <c r="N132" s="363"/>
    </row>
    <row r="133" spans="1:109" ht="12.75" customHeight="1" x14ac:dyDescent="0.2">
      <c r="A133" s="1928">
        <v>133</v>
      </c>
      <c r="B133" s="5108"/>
      <c r="F133" s="5233" t="s">
        <v>7832</v>
      </c>
      <c r="G133" s="5233"/>
      <c r="H133" s="5233"/>
      <c r="I133" s="5233"/>
      <c r="J133" s="5233"/>
      <c r="K133" s="5233"/>
      <c r="L133" s="5233"/>
      <c r="M133" s="5233"/>
      <c r="N133" s="5233"/>
      <c r="O133" s="5233"/>
      <c r="P133" s="5233"/>
      <c r="Q133" s="5233"/>
      <c r="R133" s="5233"/>
      <c r="S133" s="5233"/>
      <c r="T133" s="5233"/>
      <c r="U133" s="5233"/>
      <c r="V133" s="5233"/>
      <c r="W133" s="5233"/>
      <c r="X133" s="5233"/>
      <c r="Y133" s="5233"/>
      <c r="Z133" s="5233"/>
      <c r="AA133" s="5233"/>
      <c r="AB133" s="5233"/>
      <c r="AC133" s="5233"/>
      <c r="AD133" s="5233"/>
      <c r="AE133" s="5233"/>
      <c r="AF133" s="5233"/>
      <c r="AG133" s="5233"/>
      <c r="AH133" s="5233"/>
      <c r="AI133" s="5233"/>
      <c r="AJ133" s="5233"/>
      <c r="AK133" s="5233"/>
      <c r="AL133" s="5233"/>
      <c r="AM133" s="5233"/>
      <c r="AN133" s="5233"/>
      <c r="AO133" s="5233"/>
      <c r="AP133" s="5233"/>
      <c r="AQ133" s="5233"/>
      <c r="AR133" s="5233"/>
      <c r="AS133" s="5233"/>
      <c r="AT133" s="5233"/>
      <c r="AU133" s="5233"/>
      <c r="AV133" s="5233"/>
      <c r="AW133" s="5233"/>
      <c r="AX133" s="5233"/>
      <c r="AY133" s="5233"/>
      <c r="AZ133" s="5233"/>
      <c r="BA133" s="5233"/>
      <c r="BB133" s="5233"/>
      <c r="BC133" s="5233"/>
      <c r="BD133" s="5233"/>
      <c r="BE133" s="5233"/>
      <c r="BF133" s="5233"/>
      <c r="BG133" s="5233"/>
      <c r="BH133" s="5233"/>
      <c r="BI133" s="5233"/>
      <c r="BJ133" s="5233"/>
      <c r="BK133" s="5233"/>
      <c r="BL133" s="5233"/>
      <c r="BM133" s="5233"/>
      <c r="BN133" s="5233"/>
      <c r="BO133" s="5233"/>
      <c r="BP133" s="5233"/>
      <c r="BQ133" s="5233"/>
      <c r="BR133" s="5233"/>
      <c r="BS133" s="5233"/>
      <c r="BT133" s="5233"/>
      <c r="BU133" s="5233"/>
      <c r="BV133" s="5233"/>
      <c r="BW133" s="5233"/>
      <c r="BX133" s="5233"/>
      <c r="BY133" s="5233"/>
      <c r="BZ133" s="5233"/>
      <c r="CA133" s="5233"/>
      <c r="CB133" s="5233"/>
      <c r="CC133" s="5233"/>
      <c r="CD133" s="5233"/>
      <c r="CE133" s="5233"/>
      <c r="CF133" s="5233"/>
      <c r="CG133" s="5233"/>
      <c r="CH133" s="5233"/>
      <c r="CI133" s="5233"/>
      <c r="CJ133" s="5233"/>
      <c r="CK133" s="5233"/>
      <c r="CL133" s="5233"/>
      <c r="CM133" s="5233"/>
      <c r="CN133" s="5233"/>
      <c r="CO133" s="5233"/>
      <c r="CP133" s="5233"/>
      <c r="CQ133" s="5233"/>
      <c r="CR133" s="5233"/>
      <c r="CS133" s="5233"/>
      <c r="CT133" s="5233"/>
      <c r="CU133" s="5233"/>
      <c r="CV133" s="5233"/>
      <c r="CW133" s="5233"/>
      <c r="CX133" s="5233"/>
      <c r="CY133" s="5233"/>
      <c r="CZ133" s="5233"/>
      <c r="DA133" s="5233"/>
      <c r="DB133" s="5233"/>
      <c r="DC133" s="5233"/>
      <c r="DD133" s="5233"/>
      <c r="DE133" s="5234"/>
    </row>
    <row r="134" spans="1:109" ht="12.75" customHeight="1" x14ac:dyDescent="0.2">
      <c r="A134" s="1928">
        <v>134</v>
      </c>
      <c r="B134" s="5108"/>
      <c r="F134" s="5233"/>
      <c r="G134" s="5233"/>
      <c r="H134" s="5233"/>
      <c r="I134" s="5233"/>
      <c r="J134" s="5233"/>
      <c r="K134" s="5233"/>
      <c r="L134" s="5233"/>
      <c r="M134" s="5233"/>
      <c r="N134" s="5233"/>
      <c r="O134" s="5233"/>
      <c r="P134" s="5233"/>
      <c r="Q134" s="5233"/>
      <c r="R134" s="5233"/>
      <c r="S134" s="5233"/>
      <c r="T134" s="5233"/>
      <c r="U134" s="5233"/>
      <c r="V134" s="5233"/>
      <c r="W134" s="5233"/>
      <c r="X134" s="5233"/>
      <c r="Y134" s="5233"/>
      <c r="Z134" s="5233"/>
      <c r="AA134" s="5233"/>
      <c r="AB134" s="5233"/>
      <c r="AC134" s="5233"/>
      <c r="AD134" s="5233"/>
      <c r="AE134" s="5233"/>
      <c r="AF134" s="5233"/>
      <c r="AG134" s="5233"/>
      <c r="AH134" s="5233"/>
      <c r="AI134" s="5233"/>
      <c r="AJ134" s="5233"/>
      <c r="AK134" s="5233"/>
      <c r="AL134" s="5233"/>
      <c r="AM134" s="5233"/>
      <c r="AN134" s="5233"/>
      <c r="AO134" s="5233"/>
      <c r="AP134" s="5233"/>
      <c r="AQ134" s="5233"/>
      <c r="AR134" s="5233"/>
      <c r="AS134" s="5233"/>
      <c r="AT134" s="5233"/>
      <c r="AU134" s="5233"/>
      <c r="AV134" s="5233"/>
      <c r="AW134" s="5233"/>
      <c r="AX134" s="5233"/>
      <c r="AY134" s="5233"/>
      <c r="AZ134" s="5233"/>
      <c r="BA134" s="5233"/>
      <c r="BB134" s="5233"/>
      <c r="BC134" s="5233"/>
      <c r="BD134" s="5233"/>
      <c r="BE134" s="5233"/>
      <c r="BF134" s="5233"/>
      <c r="BG134" s="5233"/>
      <c r="BH134" s="5233"/>
      <c r="BI134" s="5233"/>
      <c r="BJ134" s="5233"/>
      <c r="BK134" s="5233"/>
      <c r="BL134" s="5233"/>
      <c r="BM134" s="5233"/>
      <c r="BN134" s="5233"/>
      <c r="BO134" s="5233"/>
      <c r="BP134" s="5233"/>
      <c r="BQ134" s="5233"/>
      <c r="BR134" s="5233"/>
      <c r="BS134" s="5233"/>
      <c r="BT134" s="5233"/>
      <c r="BU134" s="5233"/>
      <c r="BV134" s="5233"/>
      <c r="BW134" s="5233"/>
      <c r="BX134" s="5233"/>
      <c r="BY134" s="5233"/>
      <c r="BZ134" s="5233"/>
      <c r="CA134" s="5233"/>
      <c r="CB134" s="5233"/>
      <c r="CC134" s="5233"/>
      <c r="CD134" s="5233"/>
      <c r="CE134" s="5233"/>
      <c r="CF134" s="5233"/>
      <c r="CG134" s="5233"/>
      <c r="CH134" s="5233"/>
      <c r="CI134" s="5233"/>
      <c r="CJ134" s="5233"/>
      <c r="CK134" s="5233"/>
      <c r="CL134" s="5233"/>
      <c r="CM134" s="5233"/>
      <c r="CN134" s="5233"/>
      <c r="CO134" s="5233"/>
      <c r="CP134" s="5233"/>
      <c r="CQ134" s="5233"/>
      <c r="CR134" s="5233"/>
      <c r="CS134" s="5233"/>
      <c r="CT134" s="5233"/>
      <c r="CU134" s="5233"/>
      <c r="CV134" s="5233"/>
      <c r="CW134" s="5233"/>
      <c r="CX134" s="5233"/>
      <c r="CY134" s="5233"/>
      <c r="CZ134" s="5233"/>
      <c r="DA134" s="5233"/>
      <c r="DB134" s="5233"/>
      <c r="DC134" s="5233"/>
      <c r="DD134" s="5233"/>
      <c r="DE134" s="5234"/>
    </row>
    <row r="135" spans="1:109" ht="12.75" customHeight="1" thickBot="1" x14ac:dyDescent="0.25">
      <c r="A135" s="1928">
        <v>135</v>
      </c>
      <c r="B135" s="5108"/>
      <c r="F135" s="5235" t="s">
        <v>7840</v>
      </c>
      <c r="G135" s="5236"/>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108"/>
      <c r="C136" s="5126" t="s">
        <v>7825</v>
      </c>
      <c r="D136" s="5128"/>
      <c r="F136" s="2555" t="str">
        <f>IF(ISNA(HLOOKUP($I$136&amp;$A1,$H$139:$DE$140,2,FALSE))," ",HLOOKUP($I$136&amp;$A1,$H$139:$DE$140,2,FALSE))</f>
        <v xml:space="preserve"> </v>
      </c>
      <c r="G136" s="2556"/>
      <c r="H136" s="2451" t="s">
        <v>7839</v>
      </c>
      <c r="I136" s="5224" t="str">
        <f>IF(Region="","",Region)</f>
        <v/>
      </c>
      <c r="J136" s="5225"/>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108"/>
      <c r="C137" s="5129"/>
      <c r="D137" s="5131"/>
      <c r="F137" s="2555" t="str">
        <f>IF(ISNA(HLOOKUP($I$136&amp;$A2,$H$139:$DE$140,2,FALSE))," ",HLOOKUP($I$136&amp;$A2,$H$139:$DE$140,2,FALSE))</f>
        <v xml:space="preserve"> </v>
      </c>
      <c r="G137" s="2556"/>
      <c r="H137" s="2559" t="s">
        <v>1672</v>
      </c>
      <c r="I137" s="5226" t="str">
        <f>IF(ClaseSocial="","",ClaseSocial)</f>
        <v/>
      </c>
      <c r="J137" s="5227"/>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108"/>
      <c r="C138" s="1670" t="s">
        <v>7833</v>
      </c>
      <c r="D138" s="1667"/>
      <c r="F138" s="2555" t="str">
        <f>IF(ISNA(HLOOKUP($I$136&amp;$A3,$H$139:$DE$140,2,FALSE))," ",HLOOKUP($I$136&amp;$A3,$H$139:$DE$140,2,FALSE))</f>
        <v xml:space="preserve"> </v>
      </c>
      <c r="G138" s="2556"/>
      <c r="H138" s="5151" t="s">
        <v>7777</v>
      </c>
      <c r="I138" s="5151"/>
      <c r="J138" s="5151"/>
      <c r="K138" s="5151" t="s">
        <v>7778</v>
      </c>
      <c r="L138" s="5151"/>
      <c r="M138" s="5151" t="s">
        <v>7779</v>
      </c>
      <c r="N138" s="5151"/>
      <c r="O138" s="5151"/>
      <c r="P138" s="5151" t="s">
        <v>7780</v>
      </c>
      <c r="Q138" s="5151"/>
      <c r="R138" s="5151" t="s">
        <v>7781</v>
      </c>
      <c r="S138" s="5151"/>
      <c r="T138" s="2426" t="s">
        <v>7782</v>
      </c>
      <c r="U138" s="5151" t="s">
        <v>7783</v>
      </c>
      <c r="V138" s="5151"/>
      <c r="W138" s="5148" t="s">
        <v>7784</v>
      </c>
      <c r="X138" s="5150"/>
      <c r="Y138" s="5148" t="s">
        <v>7785</v>
      </c>
      <c r="Z138" s="5149"/>
      <c r="AA138" s="5150"/>
      <c r="AB138" s="5148" t="s">
        <v>7786</v>
      </c>
      <c r="AC138" s="5150"/>
      <c r="AD138" s="5148" t="s">
        <v>7787</v>
      </c>
      <c r="AE138" s="5150"/>
      <c r="AF138" s="5148" t="s">
        <v>7788</v>
      </c>
      <c r="AG138" s="5149"/>
      <c r="AH138" s="5150"/>
      <c r="AI138" s="5148" t="s">
        <v>7789</v>
      </c>
      <c r="AJ138" s="5149"/>
      <c r="AK138" s="5150"/>
      <c r="AL138" s="5148" t="s">
        <v>7790</v>
      </c>
      <c r="AM138" s="5149"/>
      <c r="AN138" s="5149"/>
      <c r="AO138" s="5150"/>
      <c r="AP138" s="5148" t="s">
        <v>7791</v>
      </c>
      <c r="AQ138" s="5149"/>
      <c r="AR138" s="5150"/>
      <c r="AS138" s="5148" t="s">
        <v>7792</v>
      </c>
      <c r="AT138" s="5150"/>
      <c r="AU138" s="5148" t="s">
        <v>7793</v>
      </c>
      <c r="AV138" s="5149"/>
      <c r="AW138" s="5150"/>
      <c r="AX138" s="5148" t="s">
        <v>7794</v>
      </c>
      <c r="AY138" s="5150"/>
      <c r="AZ138" s="5148" t="s">
        <v>7795</v>
      </c>
      <c r="BA138" s="5150"/>
      <c r="BB138" s="5148" t="s">
        <v>7796</v>
      </c>
      <c r="BC138" s="5150"/>
      <c r="BD138" s="5148" t="s">
        <v>7797</v>
      </c>
      <c r="BE138" s="5150"/>
      <c r="BF138" s="5148" t="s">
        <v>7798</v>
      </c>
      <c r="BG138" s="5150"/>
      <c r="BH138" s="2426" t="s">
        <v>7799</v>
      </c>
      <c r="BI138" s="5148" t="s">
        <v>7760</v>
      </c>
      <c r="BJ138" s="5150"/>
      <c r="BK138" s="2087" t="s">
        <v>7761</v>
      </c>
      <c r="BL138" s="2088"/>
      <c r="BM138" s="2426" t="s">
        <v>7762</v>
      </c>
      <c r="BN138" s="5148" t="s">
        <v>7763</v>
      </c>
      <c r="BO138" s="5150"/>
      <c r="BP138" s="5148" t="s">
        <v>7800</v>
      </c>
      <c r="BQ138" s="5149"/>
      <c r="BR138" s="5150"/>
      <c r="BS138" s="5148" t="s">
        <v>7801</v>
      </c>
      <c r="BT138" s="5150"/>
      <c r="BU138" s="5148" t="s">
        <v>7764</v>
      </c>
      <c r="BV138" s="5149"/>
      <c r="BW138" s="5149"/>
      <c r="BX138" s="5150"/>
      <c r="BY138" s="5148" t="s">
        <v>7765</v>
      </c>
      <c r="BZ138" s="5149"/>
      <c r="CA138" s="5150"/>
      <c r="CB138" s="5148" t="s">
        <v>7766</v>
      </c>
      <c r="CC138" s="5149"/>
      <c r="CD138" s="5150"/>
      <c r="CE138" s="5148" t="s">
        <v>7767</v>
      </c>
      <c r="CF138" s="5150"/>
      <c r="CG138" s="5148" t="s">
        <v>7768</v>
      </c>
      <c r="CH138" s="5149"/>
      <c r="CI138" s="5150"/>
      <c r="CJ138" s="5148" t="s">
        <v>10032</v>
      </c>
      <c r="CK138" s="5149"/>
      <c r="CL138" s="5149"/>
      <c r="CM138" s="5150"/>
      <c r="CN138" s="5148" t="s">
        <v>7769</v>
      </c>
      <c r="CO138" s="5150"/>
      <c r="CP138" s="5148" t="s">
        <v>7770</v>
      </c>
      <c r="CQ138" s="5150"/>
      <c r="CR138" s="5148" t="s">
        <v>7771</v>
      </c>
      <c r="CS138" s="5149"/>
      <c r="CT138" s="5150"/>
      <c r="CU138" s="5148" t="s">
        <v>7772</v>
      </c>
      <c r="CV138" s="5150"/>
      <c r="CW138" s="5148" t="s">
        <v>7773</v>
      </c>
      <c r="CX138" s="5149"/>
      <c r="CY138" s="5150"/>
      <c r="CZ138" s="1694" t="s">
        <v>7774</v>
      </c>
      <c r="DA138" s="5148" t="s">
        <v>7775</v>
      </c>
      <c r="DB138" s="5149"/>
      <c r="DC138" s="5150"/>
      <c r="DD138" s="5148" t="s">
        <v>7776</v>
      </c>
      <c r="DE138" s="5237"/>
    </row>
    <row r="139" spans="1:109" ht="12.75" customHeight="1" x14ac:dyDescent="0.2">
      <c r="A139" s="1928">
        <v>139</v>
      </c>
      <c r="B139" s="5108"/>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108"/>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108"/>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108"/>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108"/>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108"/>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108"/>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108"/>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108"/>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108"/>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108"/>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108"/>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108"/>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108"/>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108"/>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108"/>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108"/>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108"/>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108"/>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108"/>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108"/>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108"/>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108"/>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108"/>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108"/>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108"/>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108"/>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108"/>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108"/>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108"/>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108"/>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108"/>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108"/>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108"/>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108"/>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108"/>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108"/>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108"/>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108"/>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108"/>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108"/>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108"/>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108"/>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108"/>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108"/>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108"/>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108"/>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108"/>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108"/>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108"/>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108"/>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108"/>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108"/>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108"/>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108"/>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108"/>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108"/>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108"/>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108"/>
      <c r="H197" s="363"/>
      <c r="N197" s="363"/>
    </row>
    <row r="198" spans="1:109" ht="12.75" customHeight="1" thickBot="1" x14ac:dyDescent="0.25">
      <c r="A198" s="1928">
        <v>198</v>
      </c>
      <c r="B198" s="5108"/>
      <c r="C198" s="5293" t="s">
        <v>2386</v>
      </c>
      <c r="D198" s="5293"/>
      <c r="E198" s="5293"/>
      <c r="F198" s="5293"/>
      <c r="G198" s="5293"/>
      <c r="H198" s="5293"/>
      <c r="I198" s="5293"/>
      <c r="J198" s="5293"/>
      <c r="K198" s="5293"/>
      <c r="L198" s="5293"/>
      <c r="M198" s="5293"/>
      <c r="N198" s="5293"/>
      <c r="O198" s="5293"/>
      <c r="P198" s="5293"/>
      <c r="Q198" s="5293"/>
      <c r="R198" s="5293"/>
      <c r="S198" s="5293"/>
      <c r="T198" s="5293"/>
      <c r="U198" s="5293"/>
      <c r="V198" s="5293"/>
      <c r="W198" s="5293"/>
      <c r="X198" s="5293"/>
      <c r="Y198" s="5293"/>
      <c r="Z198" s="5293"/>
      <c r="AA198" s="5293"/>
      <c r="AB198" s="5293"/>
      <c r="AC198" s="5293"/>
      <c r="AD198" s="5293"/>
      <c r="AE198" s="5293"/>
      <c r="AF198" s="5293"/>
      <c r="AG198" s="5293"/>
      <c r="AH198" s="5293"/>
      <c r="AI198" s="5293"/>
      <c r="AJ198" s="5293"/>
      <c r="AK198" s="5293"/>
      <c r="AL198" s="5293"/>
      <c r="AM198" s="5293"/>
      <c r="AN198" s="5293"/>
      <c r="AO198" s="5293"/>
      <c r="AP198" s="5293"/>
      <c r="AQ198" s="5293"/>
      <c r="AR198" s="5293"/>
      <c r="AS198" s="5293"/>
      <c r="AT198" s="5293"/>
      <c r="AU198" s="5293"/>
      <c r="AV198" s="5293"/>
      <c r="AW198" s="5293"/>
      <c r="AX198" s="5293"/>
      <c r="AY198" s="5293"/>
      <c r="AZ198" s="5293"/>
      <c r="BA198" s="5293"/>
      <c r="BB198" s="5293"/>
      <c r="BC198" s="5293"/>
      <c r="BD198" s="5293"/>
      <c r="BE198" s="5293"/>
      <c r="BF198" s="5293"/>
      <c r="BG198" s="5293"/>
      <c r="BH198" s="5293"/>
      <c r="BI198" s="5293"/>
      <c r="BJ198" s="5293"/>
      <c r="BK198" s="5293"/>
      <c r="BL198" s="5293"/>
      <c r="BM198" s="5293"/>
      <c r="BN198" s="5293"/>
      <c r="BO198" s="5293"/>
      <c r="BP198" s="5293"/>
      <c r="BQ198" s="5293"/>
      <c r="BR198" s="5293"/>
      <c r="BS198" s="5293"/>
      <c r="BT198" s="5293"/>
      <c r="BU198" s="5293"/>
      <c r="BV198" s="5293"/>
      <c r="BW198" s="5293"/>
      <c r="BX198" s="5293"/>
      <c r="BY198" s="5293"/>
      <c r="BZ198" s="5293"/>
      <c r="CA198" s="5293"/>
      <c r="CB198" s="5293"/>
      <c r="CC198" s="5293"/>
      <c r="CD198" s="5293"/>
      <c r="CE198" s="5293"/>
      <c r="CF198" s="5293"/>
      <c r="CG198" s="5293"/>
      <c r="CH198" s="5293"/>
      <c r="CI198" s="5293"/>
    </row>
    <row r="199" spans="1:109" ht="12.75" customHeight="1" x14ac:dyDescent="0.2">
      <c r="A199" s="1928">
        <v>199</v>
      </c>
      <c r="B199" s="5108"/>
      <c r="C199" s="5293"/>
      <c r="D199" s="5293"/>
      <c r="E199" s="5293"/>
      <c r="F199" s="5293"/>
      <c r="G199" s="5293"/>
      <c r="H199" s="5293"/>
      <c r="I199" s="5293"/>
      <c r="J199" s="5293"/>
      <c r="K199" s="5293"/>
      <c r="L199" s="5293"/>
      <c r="M199" s="5293"/>
      <c r="N199" s="5293"/>
      <c r="O199" s="5293"/>
      <c r="P199" s="5293"/>
      <c r="Q199" s="5293"/>
      <c r="R199" s="5293"/>
      <c r="S199" s="5293"/>
      <c r="T199" s="5293"/>
      <c r="U199" s="5293"/>
      <c r="V199" s="5293"/>
      <c r="W199" s="5293"/>
      <c r="X199" s="5293"/>
      <c r="Y199" s="5293"/>
      <c r="Z199" s="5293"/>
      <c r="AA199" s="5293"/>
      <c r="AB199" s="5293"/>
      <c r="AC199" s="5293"/>
      <c r="AD199" s="5293"/>
      <c r="AE199" s="5293"/>
      <c r="AF199" s="5293"/>
      <c r="AG199" s="5293"/>
      <c r="AH199" s="5293"/>
      <c r="AI199" s="5293"/>
      <c r="AJ199" s="5293"/>
      <c r="AK199" s="5293"/>
      <c r="AL199" s="5293"/>
      <c r="AM199" s="5293"/>
      <c r="AN199" s="5293"/>
      <c r="AO199" s="5293"/>
      <c r="AP199" s="5293"/>
      <c r="AQ199" s="5293"/>
      <c r="AR199" s="5293"/>
      <c r="AS199" s="5293"/>
      <c r="AT199" s="5293"/>
      <c r="AU199" s="5293"/>
      <c r="AV199" s="5293"/>
      <c r="AW199" s="5293"/>
      <c r="AX199" s="5293"/>
      <c r="AY199" s="5293"/>
      <c r="AZ199" s="5293"/>
      <c r="BA199" s="5293"/>
      <c r="BB199" s="5293"/>
      <c r="BC199" s="5293"/>
      <c r="BD199" s="5293"/>
      <c r="BE199" s="5293"/>
      <c r="BF199" s="5293"/>
      <c r="BG199" s="5293"/>
      <c r="BH199" s="5293"/>
      <c r="BI199" s="5293"/>
      <c r="BJ199" s="5293"/>
      <c r="BK199" s="5293"/>
      <c r="BL199" s="5293"/>
      <c r="BM199" s="5293"/>
      <c r="BN199" s="5293"/>
      <c r="BO199" s="5293"/>
      <c r="BP199" s="5293"/>
      <c r="BQ199" s="5293"/>
      <c r="BR199" s="5293"/>
      <c r="BS199" s="5293"/>
      <c r="BT199" s="5293"/>
      <c r="BU199" s="5293"/>
      <c r="BV199" s="5293"/>
      <c r="BW199" s="5293"/>
      <c r="BX199" s="5293"/>
      <c r="BY199" s="5293"/>
      <c r="BZ199" s="5293"/>
      <c r="CA199" s="5293"/>
      <c r="CB199" s="5293"/>
      <c r="CC199" s="5293"/>
      <c r="CD199" s="5293"/>
      <c r="CE199" s="5293"/>
      <c r="CF199" s="5293"/>
      <c r="CG199" s="5293"/>
      <c r="CH199" s="5293"/>
      <c r="CI199" s="5293"/>
    </row>
    <row r="200" spans="1:109" ht="12.75" customHeight="1" x14ac:dyDescent="0.2">
      <c r="A200" s="1928">
        <v>200</v>
      </c>
      <c r="B200" s="5108"/>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108"/>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108"/>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108"/>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108"/>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108"/>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108"/>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108"/>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108"/>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108"/>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108"/>
      <c r="C210" s="2376">
        <f>IF(ISNA(VLOOKUP(Tablas!$D210,PDs!$P$5:$S$14,4,FALSE)),0,VLOOKUP(Tablas!$D210,PDs!$P$5:$S$14,4,FALSE))</f>
        <v>0</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108"/>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108"/>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108"/>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108"/>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108"/>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108"/>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108"/>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108"/>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108"/>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108"/>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108"/>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108"/>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108"/>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108"/>
      <c r="C224" s="2374"/>
      <c r="D224" s="5231"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108"/>
      <c r="D225" s="5232"/>
      <c r="E225" s="2381">
        <f>SUMPRODUCT($C$202:$C$223,E$202:E$223)</f>
        <v>0</v>
      </c>
      <c r="F225" s="2381">
        <f>SUMPRODUCT($C$202:$C$223,F$202:F$223)</f>
        <v>0</v>
      </c>
      <c r="G225" s="2381" t="s">
        <v>1766</v>
      </c>
      <c r="H225" s="2381">
        <f>SUMPRODUCT($C$202:$C$223,H$202:H$223)</f>
        <v>0</v>
      </c>
      <c r="I225" s="2381" t="s">
        <v>1766</v>
      </c>
      <c r="J225" s="2381" t="s">
        <v>1766</v>
      </c>
      <c r="K225" s="2381" t="s">
        <v>1766</v>
      </c>
      <c r="L225" s="2382">
        <f>MIN(50,SUMPRODUCT($C$202:$C$223,L$202:L$223))</f>
        <v>0</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0</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108"/>
    </row>
    <row r="227" spans="1:83" ht="12.75" customHeight="1" x14ac:dyDescent="0.2">
      <c r="A227" s="1928">
        <v>227</v>
      </c>
      <c r="B227" s="5108"/>
    </row>
    <row r="228" spans="1:83" ht="12.75" customHeight="1" x14ac:dyDescent="0.2">
      <c r="A228" s="1928">
        <v>228</v>
      </c>
      <c r="B228" s="5108"/>
      <c r="C228" s="5107" t="s">
        <v>8946</v>
      </c>
      <c r="D228" s="5107"/>
      <c r="E228" s="5107"/>
      <c r="F228" s="5107"/>
      <c r="G228" s="5107"/>
      <c r="H228" s="5107"/>
      <c r="I228" s="5107"/>
      <c r="J228" s="5107"/>
      <c r="K228" s="5107"/>
      <c r="L228" s="5107"/>
      <c r="M228" s="5107"/>
      <c r="N228" s="5107"/>
      <c r="O228" s="5107"/>
      <c r="P228" s="5107"/>
      <c r="Q228" s="5107"/>
      <c r="R228" s="5107"/>
      <c r="S228" s="5107"/>
      <c r="T228" s="5107"/>
      <c r="U228" s="5107"/>
      <c r="V228" s="5107"/>
      <c r="W228" s="5107"/>
      <c r="X228" s="5107"/>
      <c r="Y228" s="5107"/>
      <c r="Z228" s="5107"/>
      <c r="AB228" s="363"/>
      <c r="AC228" s="2577"/>
    </row>
    <row r="229" spans="1:83" ht="12.75" customHeight="1" x14ac:dyDescent="0.2">
      <c r="A229" s="1928">
        <v>229</v>
      </c>
      <c r="B229" s="5108"/>
      <c r="C229" s="5107"/>
      <c r="D229" s="5107"/>
      <c r="E229" s="5107"/>
      <c r="F229" s="5107"/>
      <c r="G229" s="5107"/>
      <c r="H229" s="5107"/>
      <c r="I229" s="5107"/>
      <c r="J229" s="5107"/>
      <c r="K229" s="5107"/>
      <c r="L229" s="5107"/>
      <c r="M229" s="5107"/>
      <c r="N229" s="5107"/>
      <c r="O229" s="5107"/>
      <c r="P229" s="5107"/>
      <c r="Q229" s="5107"/>
      <c r="R229" s="5107"/>
      <c r="S229" s="5107"/>
      <c r="T229" s="5107"/>
      <c r="U229" s="5107"/>
      <c r="V229" s="5107"/>
      <c r="W229" s="5107"/>
      <c r="X229" s="5107"/>
      <c r="Y229" s="5107"/>
      <c r="Z229" s="5107"/>
      <c r="AB229" s="363"/>
      <c r="AC229" s="2577"/>
    </row>
    <row r="230" spans="1:83" ht="12.75" customHeight="1" x14ac:dyDescent="0.2">
      <c r="A230" s="1928">
        <v>230</v>
      </c>
      <c r="B230" s="5108"/>
      <c r="C230" s="5107"/>
      <c r="D230" s="5107"/>
      <c r="E230" s="5107"/>
      <c r="F230" s="5107"/>
      <c r="G230" s="5107"/>
      <c r="H230" s="5107"/>
      <c r="I230" s="5107"/>
      <c r="J230" s="5107"/>
      <c r="K230" s="5107"/>
      <c r="L230" s="5107"/>
      <c r="M230" s="5107"/>
      <c r="N230" s="5107"/>
      <c r="O230" s="5107"/>
      <c r="P230" s="5107"/>
      <c r="Q230" s="5107"/>
      <c r="R230" s="5107"/>
      <c r="S230" s="5107"/>
      <c r="T230" s="5107"/>
      <c r="U230" s="5107"/>
      <c r="V230" s="5107"/>
      <c r="W230" s="5107"/>
      <c r="X230" s="5107"/>
      <c r="Y230" s="5107"/>
      <c r="Z230" s="5107"/>
      <c r="AB230" s="363"/>
      <c r="AC230" s="2577"/>
    </row>
    <row r="231" spans="1:83" ht="12.75" customHeight="1" thickBot="1" x14ac:dyDescent="0.25">
      <c r="A231" s="1928">
        <v>231</v>
      </c>
      <c r="B231" s="5108"/>
      <c r="H231" s="363"/>
      <c r="I231" s="2422"/>
      <c r="N231" s="363"/>
      <c r="O231" s="2422"/>
      <c r="AB231" s="363"/>
      <c r="AC231" s="2577"/>
    </row>
    <row r="232" spans="1:83" ht="12.75" customHeight="1" x14ac:dyDescent="0.2">
      <c r="A232" s="1928">
        <v>232</v>
      </c>
      <c r="B232" s="5108"/>
      <c r="C232" s="5228" t="s">
        <v>2635</v>
      </c>
      <c r="D232" s="5229"/>
      <c r="E232" s="5229"/>
      <c r="F232" s="5229"/>
      <c r="G232" s="5229"/>
      <c r="H232" s="5230"/>
      <c r="I232" s="2422"/>
      <c r="L232" s="5129" t="s">
        <v>2918</v>
      </c>
      <c r="M232" s="5130"/>
      <c r="N232" s="5130"/>
      <c r="O232" s="5130"/>
      <c r="P232" s="5130"/>
      <c r="Q232" s="5130"/>
      <c r="R232" s="5130"/>
      <c r="S232" s="5130"/>
      <c r="T232" s="5130"/>
      <c r="AB232" s="363"/>
      <c r="AC232" s="2577"/>
    </row>
    <row r="233" spans="1:83" ht="12.75" customHeight="1" x14ac:dyDescent="0.2">
      <c r="A233" s="1928">
        <v>233</v>
      </c>
      <c r="B233" s="5108"/>
      <c r="C233" s="2266" t="s">
        <v>1658</v>
      </c>
      <c r="D233" s="2267" t="s">
        <v>3279</v>
      </c>
      <c r="E233" s="2267" t="s">
        <v>8068</v>
      </c>
      <c r="F233" s="2267" t="s">
        <v>8067</v>
      </c>
      <c r="G233" s="2267" t="s">
        <v>1673</v>
      </c>
      <c r="H233" s="2268" t="s">
        <v>8771</v>
      </c>
      <c r="I233" s="2422"/>
      <c r="L233" s="5129"/>
      <c r="M233" s="5130"/>
      <c r="N233" s="5130"/>
      <c r="O233" s="5130"/>
      <c r="P233" s="5130"/>
      <c r="Q233" s="5130"/>
      <c r="R233" s="5130"/>
      <c r="S233" s="5130"/>
      <c r="T233" s="5130"/>
      <c r="AB233" s="363"/>
      <c r="AC233" s="2577"/>
    </row>
    <row r="234" spans="1:83" ht="12.75" customHeight="1" thickBot="1" x14ac:dyDescent="0.25">
      <c r="A234" s="1928">
        <v>234</v>
      </c>
      <c r="B234" s="5108"/>
      <c r="C234" s="2270">
        <f>D234+E234+F234+G234+H234</f>
        <v>0</v>
      </c>
      <c r="D234" s="2271">
        <f>SUM($H$256:H397)+SUM(H491:H535)</f>
        <v>0</v>
      </c>
      <c r="E234" s="2271">
        <f>E236+F236</f>
        <v>0</v>
      </c>
      <c r="F234" s="2271">
        <f>SUM(H551:H557)+SUM(H469:H490)</f>
        <v>0</v>
      </c>
      <c r="G234" s="2271">
        <f>H250</f>
        <v>0</v>
      </c>
      <c r="H234" s="2272">
        <f>Q262</f>
        <v>0</v>
      </c>
      <c r="I234" s="1665"/>
      <c r="L234" s="3058"/>
      <c r="M234" s="3051"/>
      <c r="N234" s="3051" t="s">
        <v>1751</v>
      </c>
      <c r="O234" s="3051" t="s">
        <v>1801</v>
      </c>
      <c r="P234" s="3051" t="s">
        <v>2637</v>
      </c>
      <c r="Q234" s="3051" t="s">
        <v>2638</v>
      </c>
      <c r="R234" s="5264" t="s">
        <v>1861</v>
      </c>
      <c r="S234" s="5336"/>
      <c r="T234" s="367" t="s">
        <v>10117</v>
      </c>
      <c r="AB234" s="363"/>
      <c r="AC234" s="2577"/>
    </row>
    <row r="235" spans="1:83" ht="12.75" customHeight="1" thickBot="1" x14ac:dyDescent="0.25">
      <c r="A235" s="1928">
        <v>235</v>
      </c>
      <c r="B235" s="5108"/>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65"/>
      <c r="AB235" s="363"/>
    </row>
    <row r="236" spans="1:83" ht="12.75" customHeight="1" thickBot="1" x14ac:dyDescent="0.25">
      <c r="A236" s="1928">
        <v>236</v>
      </c>
      <c r="B236" s="5108"/>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10091</v>
      </c>
      <c r="S236" s="3004"/>
      <c r="T236" s="3066" t="str">
        <f>IF(P236=0,"",R236)</f>
        <v/>
      </c>
      <c r="AB236" s="363"/>
    </row>
    <row r="237" spans="1:83" ht="12.75" customHeight="1" thickBot="1" x14ac:dyDescent="0.25">
      <c r="A237" s="1928">
        <v>237</v>
      </c>
      <c r="B237" s="5108"/>
      <c r="H237" s="363"/>
      <c r="I237" s="1665"/>
      <c r="L237" s="1670" t="str">
        <f t="shared" si="24"/>
        <v>Devorador de Existencia</v>
      </c>
      <c r="M237" s="2279">
        <f t="shared" si="23"/>
        <v>10</v>
      </c>
      <c r="N237" s="119" t="s">
        <v>2921</v>
      </c>
      <c r="O237" s="449">
        <f>1+IF(Principal!$Y$24="No",1,0)</f>
        <v>1</v>
      </c>
      <c r="P237" s="448">
        <f>COUNTIF(Principal!$C$32:$J$50,Tablas!N237)</f>
        <v>0</v>
      </c>
      <c r="Q237" s="441">
        <f t="shared" si="25"/>
        <v>0</v>
      </c>
      <c r="R237" s="2049" t="s">
        <v>10092</v>
      </c>
      <c r="S237" s="3004"/>
      <c r="T237" s="3066" t="str">
        <f t="shared" ref="T237:T261" si="26">IF(P237=0,"",R237)</f>
        <v/>
      </c>
      <c r="AB237" s="363"/>
    </row>
    <row r="238" spans="1:83" ht="12.75" customHeight="1" thickBot="1" x14ac:dyDescent="0.25">
      <c r="A238" s="1928">
        <v>238</v>
      </c>
      <c r="B238" s="5108"/>
      <c r="C238" s="5219" t="s">
        <v>2636</v>
      </c>
      <c r="D238" s="5219"/>
      <c r="E238" s="5219"/>
      <c r="F238" s="5219"/>
      <c r="G238" s="5219"/>
      <c r="H238" s="5219"/>
      <c r="I238" s="5219"/>
      <c r="L238" s="1670" t="str">
        <f t="shared" si="24"/>
        <v>Esencia Venenosa</v>
      </c>
      <c r="M238" s="2279">
        <f t="shared" si="23"/>
        <v>12</v>
      </c>
      <c r="N238" s="119" t="s">
        <v>2922</v>
      </c>
      <c r="O238" s="449">
        <f>1+IF(Principal!$Y$24="No",1,0)</f>
        <v>1</v>
      </c>
      <c r="P238" s="448">
        <f>COUNTIF(Principal!$C$32:$J$50,Tablas!N238)</f>
        <v>0</v>
      </c>
      <c r="Q238" s="441">
        <f t="shared" si="25"/>
        <v>0</v>
      </c>
      <c r="R238" s="2049" t="s">
        <v>10093</v>
      </c>
      <c r="S238" s="3004"/>
      <c r="T238" s="3066" t="str">
        <f>IF(P238=0,"",R238)</f>
        <v/>
      </c>
      <c r="AB238" s="363"/>
    </row>
    <row r="239" spans="1:83" ht="12.75" customHeight="1" x14ac:dyDescent="0.2">
      <c r="A239" s="1928">
        <v>239</v>
      </c>
      <c r="B239" s="5108"/>
      <c r="C239" s="5219"/>
      <c r="D239" s="5219"/>
      <c r="E239" s="5219"/>
      <c r="F239" s="5219"/>
      <c r="G239" s="5219"/>
      <c r="H239" s="5219"/>
      <c r="I239" s="5219"/>
      <c r="L239" s="1670" t="str">
        <f t="shared" si="24"/>
        <v>La Sangre de Orochi</v>
      </c>
      <c r="M239" s="2279">
        <f t="shared" si="23"/>
        <v>15</v>
      </c>
      <c r="N239" s="119" t="s">
        <v>2923</v>
      </c>
      <c r="O239" s="449">
        <f>1+IF(Principal!$Y$24="No",1,0)</f>
        <v>1</v>
      </c>
      <c r="P239" s="448">
        <f>COUNTIF(Principal!$C$32:$J$50,Tablas!N239)</f>
        <v>0</v>
      </c>
      <c r="Q239" s="441">
        <f t="shared" si="25"/>
        <v>0</v>
      </c>
      <c r="R239" s="2049" t="s">
        <v>10094</v>
      </c>
      <c r="S239" s="3004"/>
      <c r="T239" s="3066" t="str">
        <f t="shared" si="26"/>
        <v/>
      </c>
      <c r="AB239" s="363"/>
    </row>
    <row r="240" spans="1:83" ht="12.75" customHeight="1" x14ac:dyDescent="0.2">
      <c r="A240" s="1928">
        <v>240</v>
      </c>
      <c r="B240" s="5108"/>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10095</v>
      </c>
      <c r="S240" s="3004"/>
      <c r="T240" s="3066" t="str">
        <f t="shared" si="26"/>
        <v/>
      </c>
      <c r="AB240" s="363"/>
    </row>
    <row r="241" spans="1:28" ht="12.75" customHeight="1" x14ac:dyDescent="0.2">
      <c r="A241" s="1928">
        <v>241</v>
      </c>
      <c r="B241" s="5108"/>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10096</v>
      </c>
      <c r="S241" s="3004"/>
      <c r="T241" s="3066" t="str">
        <f t="shared" si="26"/>
        <v/>
      </c>
      <c r="AB241" s="363"/>
    </row>
    <row r="242" spans="1:28" ht="12.75" customHeight="1" x14ac:dyDescent="0.2">
      <c r="A242" s="1928">
        <v>242</v>
      </c>
      <c r="B242" s="5108"/>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10097</v>
      </c>
      <c r="S242" s="3004"/>
      <c r="T242" s="3066" t="str">
        <f t="shared" si="26"/>
        <v/>
      </c>
      <c r="AB242" s="363"/>
    </row>
    <row r="243" spans="1:28" ht="12.75" customHeight="1" x14ac:dyDescent="0.2">
      <c r="A243" s="1928">
        <v>243</v>
      </c>
      <c r="B243" s="5108"/>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10098</v>
      </c>
      <c r="S243" s="3004"/>
      <c r="T243" s="3066" t="str">
        <f t="shared" si="26"/>
        <v/>
      </c>
      <c r="AB243" s="363"/>
    </row>
    <row r="244" spans="1:28" ht="12.75" customHeight="1" x14ac:dyDescent="0.2">
      <c r="A244" s="1928">
        <v>244</v>
      </c>
      <c r="B244" s="5108"/>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10099</v>
      </c>
      <c r="S244" s="3004"/>
      <c r="T244" s="3066" t="str">
        <f t="shared" si="26"/>
        <v/>
      </c>
      <c r="AB244" s="363"/>
    </row>
    <row r="245" spans="1:28" ht="12.75" customHeight="1" x14ac:dyDescent="0.2">
      <c r="A245" s="1928">
        <v>245</v>
      </c>
      <c r="B245" s="5108"/>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10100</v>
      </c>
      <c r="S245" s="3004"/>
      <c r="T245" s="3066" t="str">
        <f t="shared" si="26"/>
        <v/>
      </c>
      <c r="AB245" s="363"/>
    </row>
    <row r="246" spans="1:28" ht="12.75" customHeight="1" x14ac:dyDescent="0.2">
      <c r="A246" s="1928">
        <v>246</v>
      </c>
      <c r="B246" s="5108"/>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10101</v>
      </c>
      <c r="S246" s="3004"/>
      <c r="T246" s="3066" t="str">
        <f t="shared" si="26"/>
        <v/>
      </c>
      <c r="AB246" s="363"/>
    </row>
    <row r="247" spans="1:28" ht="12.75" customHeight="1" x14ac:dyDescent="0.2">
      <c r="A247" s="1928">
        <v>247</v>
      </c>
      <c r="B247" s="5108"/>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10102</v>
      </c>
      <c r="S247" s="3004"/>
      <c r="T247" s="3066" t="str">
        <f t="shared" si="26"/>
        <v/>
      </c>
      <c r="AB247" s="363"/>
    </row>
    <row r="248" spans="1:28" ht="12.75" customHeight="1" x14ac:dyDescent="0.2">
      <c r="A248" s="1928">
        <v>248</v>
      </c>
      <c r="B248" s="5108"/>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10103</v>
      </c>
      <c r="S248" s="3004"/>
      <c r="T248" s="3066" t="str">
        <f t="shared" si="26"/>
        <v/>
      </c>
      <c r="AB248" s="363"/>
    </row>
    <row r="249" spans="1:28" ht="12.75" customHeight="1" thickBot="1" x14ac:dyDescent="0.25">
      <c r="A249" s="1928">
        <v>249</v>
      </c>
      <c r="B249" s="5108"/>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10104</v>
      </c>
      <c r="S249" s="3004"/>
      <c r="T249" s="3066" t="str">
        <f t="shared" si="26"/>
        <v/>
      </c>
      <c r="AB249" s="363"/>
    </row>
    <row r="250" spans="1:28" ht="12.75" customHeight="1" thickBot="1" x14ac:dyDescent="0.25">
      <c r="A250" s="1928">
        <v>250</v>
      </c>
      <c r="B250" s="5108"/>
      <c r="H250" s="5295">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10105</v>
      </c>
      <c r="S250" s="3004"/>
      <c r="T250" s="3066" t="str">
        <f t="shared" si="26"/>
        <v/>
      </c>
      <c r="AB250" s="363"/>
    </row>
    <row r="251" spans="1:28" ht="12.75" customHeight="1" thickBot="1" x14ac:dyDescent="0.25">
      <c r="A251" s="1928">
        <v>251</v>
      </c>
      <c r="B251" s="5108"/>
      <c r="H251" s="5295"/>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10106</v>
      </c>
      <c r="S251" s="3004"/>
      <c r="T251" s="3066" t="str">
        <f t="shared" si="26"/>
        <v/>
      </c>
      <c r="AB251" s="363"/>
    </row>
    <row r="252" spans="1:28" ht="12.75" customHeight="1" thickBot="1" x14ac:dyDescent="0.25">
      <c r="A252" s="1928">
        <v>252</v>
      </c>
      <c r="B252" s="5108"/>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10107</v>
      </c>
      <c r="S252" s="3004"/>
      <c r="T252" s="3066" t="str">
        <f t="shared" si="26"/>
        <v/>
      </c>
      <c r="AB252" s="363"/>
    </row>
    <row r="253" spans="1:28" ht="12.75" customHeight="1" x14ac:dyDescent="0.2">
      <c r="A253" s="1928">
        <v>253</v>
      </c>
      <c r="B253" s="5108"/>
      <c r="C253" s="5126" t="s">
        <v>2639</v>
      </c>
      <c r="D253" s="5127"/>
      <c r="E253" s="5127"/>
      <c r="F253" s="5127"/>
      <c r="G253" s="5127"/>
      <c r="H253" s="5127"/>
      <c r="I253" s="5127"/>
      <c r="J253" s="5128"/>
      <c r="L253" s="1670" t="str">
        <f t="shared" si="24"/>
        <v>Sangre de El Dragón</v>
      </c>
      <c r="M253" s="2279">
        <f t="shared" si="23"/>
        <v>4</v>
      </c>
      <c r="N253" s="119" t="s">
        <v>2937</v>
      </c>
      <c r="O253" s="449">
        <f>1+IF(Principal!$Y$24="No",1,0)</f>
        <v>1</v>
      </c>
      <c r="P253" s="448">
        <f>COUNTIF(Principal!$C$32:$J$50,Tablas!N253)</f>
        <v>0</v>
      </c>
      <c r="Q253" s="441">
        <f t="shared" si="25"/>
        <v>0</v>
      </c>
      <c r="R253" s="2049" t="s">
        <v>10108</v>
      </c>
      <c r="S253" s="3004"/>
      <c r="T253" s="3066" t="str">
        <f t="shared" si="26"/>
        <v/>
      </c>
      <c r="AB253" s="363"/>
    </row>
    <row r="254" spans="1:28" ht="12.75" customHeight="1" x14ac:dyDescent="0.2">
      <c r="A254" s="1928">
        <v>254</v>
      </c>
      <c r="B254" s="5108"/>
      <c r="C254" s="5129"/>
      <c r="D254" s="5130"/>
      <c r="E254" s="5130"/>
      <c r="F254" s="5130"/>
      <c r="G254" s="5130"/>
      <c r="H254" s="5130"/>
      <c r="I254" s="5130"/>
      <c r="J254" s="5131"/>
      <c r="L254" s="1670" t="str">
        <f t="shared" si="24"/>
        <v>Sangre de Grandes Bestias (1)</v>
      </c>
      <c r="M254" s="2279">
        <f t="shared" si="23"/>
        <v>2</v>
      </c>
      <c r="N254" s="119" t="s">
        <v>2938</v>
      </c>
      <c r="O254" s="449">
        <f>2+IF(Principal!$Y$24="No",1,0)</f>
        <v>2</v>
      </c>
      <c r="P254" s="448">
        <f>COUNTIF(Principal!$C$32:$J$50,Tablas!N254)</f>
        <v>0</v>
      </c>
      <c r="Q254" s="441">
        <f t="shared" si="25"/>
        <v>0</v>
      </c>
      <c r="R254" s="2049" t="s">
        <v>10109</v>
      </c>
      <c r="S254" s="3004"/>
      <c r="T254" s="3066" t="str">
        <f t="shared" si="26"/>
        <v/>
      </c>
      <c r="AB254" s="363"/>
    </row>
    <row r="255" spans="1:28" ht="12.75" customHeight="1" x14ac:dyDescent="0.2">
      <c r="A255" s="1928">
        <v>255</v>
      </c>
      <c r="B255" s="5108"/>
      <c r="C255" s="5298" t="s">
        <v>7863</v>
      </c>
      <c r="D255" s="5299"/>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10110</v>
      </c>
      <c r="S255" s="3004"/>
      <c r="T255" s="3066" t="str">
        <f t="shared" si="26"/>
        <v/>
      </c>
      <c r="AB255" s="363"/>
    </row>
    <row r="256" spans="1:28" ht="12.75" customHeight="1" x14ac:dyDescent="0.2">
      <c r="A256" s="1928">
        <v>256</v>
      </c>
      <c r="B256" s="5108"/>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10111</v>
      </c>
      <c r="S256" s="3004"/>
      <c r="T256" s="3066" t="str">
        <f t="shared" si="26"/>
        <v/>
      </c>
      <c r="AB256" s="363"/>
    </row>
    <row r="257" spans="1:29" ht="12.75" customHeight="1" x14ac:dyDescent="0.2">
      <c r="A257" s="1928">
        <v>257</v>
      </c>
      <c r="B257" s="5108"/>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10112</v>
      </c>
      <c r="S257" s="3004"/>
      <c r="T257" s="3066" t="str">
        <f t="shared" si="26"/>
        <v/>
      </c>
      <c r="AB257" s="363"/>
    </row>
    <row r="258" spans="1:29" ht="12.75" customHeight="1" x14ac:dyDescent="0.2">
      <c r="A258" s="1928">
        <v>258</v>
      </c>
      <c r="B258" s="5108"/>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10113</v>
      </c>
      <c r="S258" s="3004"/>
      <c r="T258" s="3066" t="str">
        <f t="shared" si="26"/>
        <v/>
      </c>
      <c r="AB258" s="363"/>
    </row>
    <row r="259" spans="1:29" ht="12.75" customHeight="1" x14ac:dyDescent="0.2">
      <c r="A259" s="1928">
        <v>259</v>
      </c>
      <c r="B259" s="5108"/>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10114</v>
      </c>
      <c r="S259" s="3004"/>
      <c r="T259" s="3066" t="str">
        <f t="shared" si="26"/>
        <v/>
      </c>
      <c r="AB259" s="363"/>
    </row>
    <row r="260" spans="1:29" ht="12.75" customHeight="1" x14ac:dyDescent="0.2">
      <c r="A260" s="1928">
        <v>260</v>
      </c>
      <c r="B260" s="5108"/>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10115</v>
      </c>
      <c r="S260" s="3004"/>
      <c r="T260" s="3066" t="str">
        <f t="shared" si="26"/>
        <v/>
      </c>
      <c r="AB260" s="363"/>
    </row>
    <row r="261" spans="1:29" ht="12.75" customHeight="1" thickBot="1" x14ac:dyDescent="0.25">
      <c r="A261" s="1928">
        <v>261</v>
      </c>
      <c r="B261" s="5108"/>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10116</v>
      </c>
      <c r="S261" s="3004"/>
      <c r="T261" s="3066" t="str">
        <f t="shared" si="26"/>
        <v/>
      </c>
      <c r="AB261" s="363"/>
    </row>
    <row r="262" spans="1:29" ht="12.75" customHeight="1" thickBot="1" x14ac:dyDescent="0.25">
      <c r="A262" s="1928">
        <v>262</v>
      </c>
      <c r="B262" s="5108"/>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294">
        <f>SUM(Q236:Q261)</f>
        <v>0</v>
      </c>
      <c r="R262" s="3069" t="str">
        <f>MID(T236&amp;T237&amp;T238&amp;T239&amp;T240&amp;T241&amp;T242&amp;T243&amp;T244&amp;T245&amp;T246&amp;T247&amp;T248&amp;T249&amp;T250&amp;T251&amp;T252&amp;T253&amp;T254&amp;T255&amp;T256&amp;T257&amp;T258&amp;T259&amp;T260&amp;T261,3,20000)</f>
        <v/>
      </c>
      <c r="S262" s="3067"/>
      <c r="T262" s="3068"/>
      <c r="U262" s="452"/>
      <c r="V262" s="453"/>
      <c r="W262" s="428"/>
      <c r="X262" s="2026"/>
      <c r="AB262" s="363"/>
      <c r="AC262" s="2577"/>
    </row>
    <row r="263" spans="1:29" ht="12.75" customHeight="1" thickBot="1" x14ac:dyDescent="0.25">
      <c r="A263" s="1928">
        <v>263</v>
      </c>
      <c r="B263" s="5108"/>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295"/>
      <c r="X263" s="2011"/>
      <c r="AB263" s="363"/>
      <c r="AC263" s="2577"/>
    </row>
    <row r="264" spans="1:29" ht="12.75" customHeight="1" thickBot="1" x14ac:dyDescent="0.25">
      <c r="A264" s="1928">
        <v>264</v>
      </c>
      <c r="B264" s="5108"/>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108"/>
      <c r="C265" s="2274" t="str">
        <f t="shared" si="28"/>
        <v>Afinidad animal</v>
      </c>
      <c r="D265" s="2279">
        <f t="shared" si="29"/>
        <v>6</v>
      </c>
      <c r="E265" s="2262" t="s">
        <v>2649</v>
      </c>
      <c r="F265" s="446">
        <v>1</v>
      </c>
      <c r="G265" s="373">
        <f>COUNTIF(Principal!$C$32:$J$50,Tablas!E265)</f>
        <v>0</v>
      </c>
      <c r="H265" s="2287">
        <f t="shared" si="30"/>
        <v>0</v>
      </c>
      <c r="I265" s="2292"/>
      <c r="J265" s="2296" t="s">
        <v>3279</v>
      </c>
      <c r="L265" s="5126" t="s">
        <v>2884</v>
      </c>
      <c r="M265" s="5127"/>
      <c r="N265" s="5127"/>
      <c r="O265" s="5127"/>
      <c r="P265" s="5127"/>
      <c r="Q265" s="5127"/>
      <c r="R265" s="5127"/>
      <c r="S265" s="5127"/>
      <c r="T265" s="5127"/>
      <c r="U265" s="5127"/>
      <c r="V265" s="5127"/>
      <c r="W265" s="5127"/>
      <c r="X265" s="5127"/>
      <c r="Y265" s="5127"/>
      <c r="Z265" s="5128"/>
      <c r="AB265" s="363"/>
      <c r="AC265" s="2577"/>
    </row>
    <row r="266" spans="1:29" ht="12.75" customHeight="1" x14ac:dyDescent="0.2">
      <c r="A266" s="1928">
        <v>266</v>
      </c>
      <c r="B266" s="5108"/>
      <c r="C266" s="2274" t="str">
        <f t="shared" si="28"/>
        <v>Afinidad de uso</v>
      </c>
      <c r="D266" s="2279">
        <f t="shared" si="29"/>
        <v>7</v>
      </c>
      <c r="E266" s="119" t="s">
        <v>2650</v>
      </c>
      <c r="F266" s="446">
        <v>2</v>
      </c>
      <c r="G266" s="373">
        <f>COUNTIF(Principal!$C$32:$J$50,Tablas!E266)</f>
        <v>0</v>
      </c>
      <c r="H266" s="2287">
        <f t="shared" si="30"/>
        <v>0</v>
      </c>
      <c r="I266" s="2292"/>
      <c r="J266" s="2296" t="s">
        <v>3279</v>
      </c>
      <c r="L266" s="5129"/>
      <c r="M266" s="5130"/>
      <c r="N266" s="5130"/>
      <c r="O266" s="5130"/>
      <c r="P266" s="5130"/>
      <c r="Q266" s="5130"/>
      <c r="R266" s="5130"/>
      <c r="S266" s="5130"/>
      <c r="T266" s="5130"/>
      <c r="U266" s="5130"/>
      <c r="V266" s="5130"/>
      <c r="W266" s="5130"/>
      <c r="X266" s="5130"/>
      <c r="Y266" s="5130"/>
      <c r="Z266" s="5131"/>
      <c r="AB266" s="363"/>
      <c r="AC266" s="2577"/>
    </row>
    <row r="267" spans="1:29" ht="12.75" customHeight="1" x14ac:dyDescent="0.2">
      <c r="A267" s="1928">
        <v>267</v>
      </c>
      <c r="B267" s="5108"/>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337" t="s">
        <v>1842</v>
      </c>
      <c r="O267" s="5337"/>
      <c r="P267" s="5300" t="s">
        <v>1844</v>
      </c>
      <c r="Q267" s="5300"/>
      <c r="R267" s="5300" t="s">
        <v>1846</v>
      </c>
      <c r="S267" s="5300"/>
      <c r="T267" s="5300" t="s">
        <v>1843</v>
      </c>
      <c r="U267" s="5300"/>
      <c r="V267" s="5300" t="s">
        <v>1845</v>
      </c>
      <c r="W267" s="5300"/>
      <c r="X267" s="5296" t="s">
        <v>1847</v>
      </c>
      <c r="Y267" s="5297"/>
      <c r="Z267" s="5142" t="s">
        <v>8676</v>
      </c>
      <c r="AB267" s="363"/>
      <c r="AC267" s="2577"/>
    </row>
    <row r="268" spans="1:29" ht="13.5" customHeight="1" thickBot="1" x14ac:dyDescent="0.25">
      <c r="A268" s="1928">
        <v>268</v>
      </c>
      <c r="B268" s="5108"/>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143"/>
      <c r="AA268" s="1664"/>
      <c r="AB268" s="363"/>
      <c r="AC268" s="2577"/>
    </row>
    <row r="269" spans="1:29" ht="12.75" customHeight="1" x14ac:dyDescent="0.2">
      <c r="A269" s="1928">
        <v>269</v>
      </c>
      <c r="B269" s="5108"/>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108"/>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108"/>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108"/>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108"/>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108"/>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108"/>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108"/>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108"/>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108"/>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108"/>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108"/>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108"/>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108"/>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108"/>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108"/>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108"/>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108"/>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108"/>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108"/>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108"/>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108"/>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108"/>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108"/>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108"/>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108"/>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108"/>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108"/>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108"/>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108"/>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108"/>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108"/>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108"/>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108"/>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108"/>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108"/>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108"/>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108"/>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108"/>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108"/>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108"/>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108"/>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108"/>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108"/>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108"/>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108"/>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108"/>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108"/>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108"/>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108"/>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108"/>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108"/>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108"/>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108"/>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108"/>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108"/>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108"/>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108"/>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108"/>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108"/>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108"/>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108"/>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108"/>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108"/>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108"/>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108"/>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108"/>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108"/>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108"/>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108"/>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108"/>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108"/>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108"/>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108"/>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108"/>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108"/>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108"/>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108"/>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108"/>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108"/>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108"/>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108"/>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108"/>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108"/>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108"/>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108"/>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108"/>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108"/>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108"/>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108"/>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108"/>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108"/>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108"/>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108"/>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108"/>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108"/>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108"/>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108"/>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108"/>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108"/>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108"/>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108"/>
      <c r="C370" s="2276" t="str">
        <f t="shared" si="39"/>
        <v>Sustituir característica por 9</v>
      </c>
      <c r="D370" s="2279">
        <f t="shared" si="40"/>
        <v>104</v>
      </c>
      <c r="E370" s="119" t="s">
        <v>2840</v>
      </c>
      <c r="F370" s="373">
        <v>1</v>
      </c>
      <c r="G370" s="373">
        <f>COUNTIF(Principal!$C$32:$J$50,Tablas!E370)</f>
        <v>0</v>
      </c>
      <c r="H370" s="2287">
        <f t="shared" si="38"/>
        <v>0</v>
      </c>
      <c r="I370" s="2292"/>
      <c r="J370" s="2296" t="s">
        <v>3279</v>
      </c>
      <c r="N370" s="363"/>
      <c r="AB370" s="363"/>
      <c r="AC370" s="2577"/>
      <c r="AG370" s="1665"/>
      <c r="AM370" s="2011"/>
    </row>
    <row r="371" spans="1:39" ht="12.75" customHeight="1" x14ac:dyDescent="0.2">
      <c r="A371" s="1928">
        <v>371</v>
      </c>
      <c r="B371" s="5108"/>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108"/>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108"/>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108"/>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108"/>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108"/>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108"/>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108"/>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108"/>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108"/>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108"/>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108"/>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108"/>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108"/>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108"/>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108"/>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108"/>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108"/>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108"/>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108"/>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108"/>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108"/>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108"/>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108"/>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108"/>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108"/>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108"/>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108"/>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108"/>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108"/>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108"/>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108"/>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108"/>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108"/>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108"/>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108"/>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108"/>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108"/>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108"/>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108"/>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108"/>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108"/>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108"/>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108"/>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108"/>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108"/>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108"/>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108"/>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108"/>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108"/>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108"/>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108"/>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108"/>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108"/>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108"/>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108"/>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108"/>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108"/>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108"/>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108"/>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108"/>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108"/>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108"/>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108"/>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108"/>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108"/>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108"/>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108"/>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108"/>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108"/>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108"/>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108"/>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108"/>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108"/>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108"/>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108"/>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108"/>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108"/>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108"/>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108"/>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108"/>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108"/>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108"/>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108"/>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108"/>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108"/>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108"/>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108"/>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108"/>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108"/>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108"/>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108"/>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108"/>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108"/>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108"/>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108"/>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108"/>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108"/>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108"/>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108"/>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108"/>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108"/>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108"/>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108"/>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108"/>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108"/>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108"/>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108"/>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108"/>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108"/>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108"/>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108"/>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108"/>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108"/>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108"/>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108"/>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108"/>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108"/>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108"/>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108"/>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108"/>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108"/>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108"/>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108"/>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108"/>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108"/>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108"/>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108"/>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108"/>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108"/>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108"/>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108"/>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108"/>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108"/>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108"/>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108"/>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108"/>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108"/>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108"/>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108"/>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108"/>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108"/>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108"/>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108"/>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108"/>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108"/>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108"/>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108"/>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108"/>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108"/>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108"/>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108"/>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108"/>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108"/>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108"/>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108"/>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108"/>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108"/>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108"/>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108"/>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108"/>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108"/>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108"/>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108"/>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108"/>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108"/>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108"/>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108"/>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108"/>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108"/>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108"/>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108"/>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108"/>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108"/>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108"/>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108"/>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108"/>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108"/>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108"/>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108"/>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108"/>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108"/>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108"/>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108"/>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108"/>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108"/>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108"/>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108"/>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108"/>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108"/>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108"/>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108"/>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108"/>
      <c r="H563" s="363"/>
      <c r="I563" s="1665"/>
      <c r="N563" s="363"/>
      <c r="O563" s="2011"/>
      <c r="AB563" s="363"/>
      <c r="AC563" s="2577"/>
    </row>
    <row r="564" spans="1:30" ht="12.75" customHeight="1" x14ac:dyDescent="0.2">
      <c r="A564" s="1928">
        <v>564</v>
      </c>
      <c r="B564" s="5108"/>
      <c r="H564" s="363"/>
      <c r="I564" s="1665"/>
      <c r="N564" s="363"/>
      <c r="O564" s="2011"/>
      <c r="AB564" s="363"/>
      <c r="AC564" s="2577"/>
    </row>
    <row r="565" spans="1:30" ht="12.75" customHeight="1" x14ac:dyDescent="0.2">
      <c r="A565" s="1928">
        <v>565</v>
      </c>
      <c r="B565" s="5108"/>
      <c r="H565" s="363"/>
      <c r="I565" s="1665"/>
      <c r="N565" s="363"/>
      <c r="O565" s="2011"/>
      <c r="AB565" s="363"/>
      <c r="AC565" s="2577"/>
    </row>
    <row r="566" spans="1:30" ht="12.75" customHeight="1" x14ac:dyDescent="0.2">
      <c r="A566" s="1928">
        <v>566</v>
      </c>
      <c r="B566" s="5108"/>
      <c r="H566" s="363"/>
      <c r="I566" s="1665"/>
      <c r="N566" s="363"/>
      <c r="O566" s="2011"/>
      <c r="AB566" s="363"/>
      <c r="AC566" s="2577"/>
    </row>
    <row r="567" spans="1:30" ht="12.75" customHeight="1" x14ac:dyDescent="0.2">
      <c r="A567" s="1928">
        <v>567</v>
      </c>
      <c r="B567" s="5108"/>
      <c r="H567" s="363"/>
      <c r="I567" s="1665"/>
      <c r="N567" s="363"/>
      <c r="O567" s="2011"/>
      <c r="AB567" s="363"/>
      <c r="AC567" s="2577"/>
    </row>
    <row r="568" spans="1:30" ht="12.75" customHeight="1" x14ac:dyDescent="0.2">
      <c r="A568" s="1928">
        <v>568</v>
      </c>
      <c r="B568" s="5108"/>
      <c r="C568" s="5107" t="s">
        <v>8947</v>
      </c>
      <c r="D568" s="5107"/>
      <c r="E568" s="5107"/>
      <c r="F568" s="5107"/>
      <c r="G568" s="5107"/>
      <c r="H568" s="5107"/>
      <c r="I568" s="5107"/>
      <c r="J568" s="5107"/>
      <c r="K568" s="5107"/>
      <c r="L568" s="5107"/>
      <c r="M568" s="5107"/>
      <c r="N568" s="5107"/>
      <c r="O568" s="5107"/>
      <c r="P568" s="5107"/>
      <c r="Q568" s="5107"/>
      <c r="R568" s="5107"/>
      <c r="S568" s="5107"/>
      <c r="T568" s="5107"/>
      <c r="U568" s="5107"/>
      <c r="V568" s="5107"/>
      <c r="W568" s="5107"/>
      <c r="X568" s="5107"/>
      <c r="Y568" s="5107"/>
      <c r="Z568" s="5107"/>
      <c r="AA568" s="5107"/>
      <c r="AB568" s="5107"/>
      <c r="AC568" s="5107"/>
      <c r="AD568" s="5107"/>
    </row>
    <row r="569" spans="1:30" ht="12.75" customHeight="1" x14ac:dyDescent="0.2">
      <c r="A569" s="1928">
        <v>569</v>
      </c>
      <c r="B569" s="5108"/>
      <c r="C569" s="5107"/>
      <c r="D569" s="5107"/>
      <c r="E569" s="5107"/>
      <c r="F569" s="5107"/>
      <c r="G569" s="5107"/>
      <c r="H569" s="5107"/>
      <c r="I569" s="5107"/>
      <c r="J569" s="5107"/>
      <c r="K569" s="5107"/>
      <c r="L569" s="5107"/>
      <c r="M569" s="5107"/>
      <c r="N569" s="5107"/>
      <c r="O569" s="5107"/>
      <c r="P569" s="5107"/>
      <c r="Q569" s="5107"/>
      <c r="R569" s="5107"/>
      <c r="S569" s="5107"/>
      <c r="T569" s="5107"/>
      <c r="U569" s="5107"/>
      <c r="V569" s="5107"/>
      <c r="W569" s="5107"/>
      <c r="X569" s="5107"/>
      <c r="Y569" s="5107"/>
      <c r="Z569" s="5107"/>
      <c r="AA569" s="5107"/>
      <c r="AB569" s="5107"/>
      <c r="AC569" s="5107"/>
      <c r="AD569" s="5107"/>
    </row>
    <row r="570" spans="1:30" ht="12.75" customHeight="1" x14ac:dyDescent="0.2">
      <c r="A570" s="1928">
        <v>570</v>
      </c>
      <c r="B570" s="5108"/>
      <c r="C570" s="5107"/>
      <c r="D570" s="5107"/>
      <c r="E570" s="5107"/>
      <c r="F570" s="5107"/>
      <c r="G570" s="5107"/>
      <c r="H570" s="5107"/>
      <c r="I570" s="5107"/>
      <c r="J570" s="5107"/>
      <c r="K570" s="5107"/>
      <c r="L570" s="5107"/>
      <c r="M570" s="5107"/>
      <c r="N570" s="5107"/>
      <c r="O570" s="5107"/>
      <c r="P570" s="5107"/>
      <c r="Q570" s="5107"/>
      <c r="R570" s="5107"/>
      <c r="S570" s="5107"/>
      <c r="T570" s="5107"/>
      <c r="U570" s="5107"/>
      <c r="V570" s="5107"/>
      <c r="W570" s="5107"/>
      <c r="X570" s="5107"/>
      <c r="Y570" s="5107"/>
      <c r="Z570" s="5107"/>
      <c r="AA570" s="5107"/>
      <c r="AB570" s="5107"/>
      <c r="AC570" s="5107"/>
      <c r="AD570" s="5107"/>
    </row>
    <row r="571" spans="1:30" ht="12.75" customHeight="1" thickBot="1" x14ac:dyDescent="0.25">
      <c r="A571" s="1928">
        <v>571</v>
      </c>
      <c r="B571" s="5108"/>
      <c r="H571" s="363"/>
      <c r="I571" s="1665"/>
      <c r="N571" s="363"/>
      <c r="O571" s="2011"/>
      <c r="AA571" s="1665"/>
      <c r="AB571" s="363"/>
      <c r="AC571" s="2577"/>
    </row>
    <row r="572" spans="1:30" ht="12.75" customHeight="1" thickBot="1" x14ac:dyDescent="0.25">
      <c r="A572" s="1928">
        <v>572</v>
      </c>
      <c r="B572" s="5108"/>
      <c r="C572" s="5213" t="s">
        <v>1455</v>
      </c>
      <c r="D572" s="5214"/>
      <c r="E572" s="5214"/>
      <c r="F572" s="5214"/>
      <c r="G572" s="5214"/>
      <c r="H572" s="5214"/>
      <c r="I572" s="5214"/>
      <c r="J572" s="5214"/>
      <c r="K572" s="5214"/>
      <c r="L572" s="5214"/>
      <c r="M572" s="5214"/>
      <c r="N572" s="5214"/>
      <c r="O572" s="5214"/>
      <c r="P572" s="5214"/>
      <c r="Q572" s="5214"/>
      <c r="R572" s="5215"/>
      <c r="T572" s="5102" t="s">
        <v>1508</v>
      </c>
      <c r="U572" s="5102"/>
      <c r="X572" s="4071" t="s">
        <v>2946</v>
      </c>
      <c r="Y572" s="4072"/>
      <c r="Z572" s="4072"/>
      <c r="AA572" s="4073"/>
      <c r="AB572" s="363"/>
      <c r="AC572" s="5276" t="s">
        <v>1449</v>
      </c>
    </row>
    <row r="573" spans="1:30" ht="12.75" customHeight="1" thickBot="1" x14ac:dyDescent="0.25">
      <c r="A573" s="1928">
        <v>573</v>
      </c>
      <c r="B573" s="5108"/>
      <c r="C573" s="5216"/>
      <c r="D573" s="5217"/>
      <c r="E573" s="5217"/>
      <c r="F573" s="5217"/>
      <c r="G573" s="5217"/>
      <c r="H573" s="5217"/>
      <c r="I573" s="5217"/>
      <c r="J573" s="5217"/>
      <c r="K573" s="5217"/>
      <c r="L573" s="5217"/>
      <c r="M573" s="5217"/>
      <c r="N573" s="5217"/>
      <c r="O573" s="5217"/>
      <c r="P573" s="5217"/>
      <c r="Q573" s="5217"/>
      <c r="R573" s="5218"/>
      <c r="T573" s="366" t="s">
        <v>2459</v>
      </c>
      <c r="U573" s="368" t="s">
        <v>1509</v>
      </c>
      <c r="X573" s="5109"/>
      <c r="Y573" s="5110"/>
      <c r="Z573" s="5110"/>
      <c r="AA573" s="5111"/>
      <c r="AB573" s="363"/>
      <c r="AC573" s="5276"/>
    </row>
    <row r="574" spans="1:30" ht="12.75" customHeight="1" thickBot="1" x14ac:dyDescent="0.25">
      <c r="A574" s="1928">
        <v>574</v>
      </c>
      <c r="B574" s="5108"/>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108"/>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108"/>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108"/>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108"/>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108"/>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108"/>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144" t="s">
        <v>8696</v>
      </c>
      <c r="U580" s="5145"/>
      <c r="V580" s="5146"/>
      <c r="X580" s="2438" t="s">
        <v>2958</v>
      </c>
      <c r="Y580" s="1503">
        <v>50</v>
      </c>
      <c r="Z580" s="2424" t="s">
        <v>2959</v>
      </c>
      <c r="AA580" s="1905"/>
      <c r="AB580" s="363"/>
      <c r="AC580" s="2626" t="s">
        <v>1453</v>
      </c>
    </row>
    <row r="581" spans="1:30" ht="12.75" customHeight="1" x14ac:dyDescent="0.2">
      <c r="A581" s="1928">
        <v>581</v>
      </c>
      <c r="B581" s="5108"/>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147" t="s">
        <v>1838</v>
      </c>
      <c r="U581" s="5037"/>
      <c r="V581" s="2222" t="s">
        <v>2637</v>
      </c>
      <c r="X581" s="5156" t="str">
        <f>X580</f>
        <v>Tabla de armas arquetípicas</v>
      </c>
      <c r="Y581" s="5157"/>
      <c r="Z581" s="5157"/>
      <c r="AA581" s="5158"/>
      <c r="AB581" s="363"/>
      <c r="AC581" s="2626" t="s">
        <v>1454</v>
      </c>
    </row>
    <row r="582" spans="1:30" ht="12.75" customHeight="1" thickBot="1" x14ac:dyDescent="0.25">
      <c r="A582" s="1928">
        <v>582</v>
      </c>
      <c r="B582" s="5108"/>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105" t="s">
        <v>1956</v>
      </c>
      <c r="U582" s="5106"/>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108"/>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105" t="s">
        <v>1959</v>
      </c>
      <c r="U583" s="5106"/>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108"/>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105" t="s">
        <v>2498</v>
      </c>
      <c r="U584" s="5106"/>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292" t="s">
        <v>1483</v>
      </c>
    </row>
    <row r="585" spans="1:30" ht="12.75" customHeight="1" thickBot="1" x14ac:dyDescent="0.25">
      <c r="A585" s="1928">
        <v>585</v>
      </c>
      <c r="B585" s="5108"/>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105" t="s">
        <v>8697</v>
      </c>
      <c r="U585" s="5106"/>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292"/>
    </row>
    <row r="586" spans="1:30" ht="12.75" customHeight="1" x14ac:dyDescent="0.2">
      <c r="A586" s="1928">
        <v>586</v>
      </c>
      <c r="B586" s="5108"/>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105" t="s">
        <v>8698</v>
      </c>
      <c r="U586" s="5106"/>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108"/>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105" t="s">
        <v>8699</v>
      </c>
      <c r="U587" s="5106"/>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108"/>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105" t="s">
        <v>8700</v>
      </c>
      <c r="U588" s="5106"/>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108"/>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105" t="s">
        <v>8701</v>
      </c>
      <c r="U589" s="5106"/>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108"/>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209" t="s">
        <v>8702</v>
      </c>
      <c r="U590" s="5210"/>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108"/>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108"/>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144" t="s">
        <v>8704</v>
      </c>
      <c r="U592" s="5145"/>
      <c r="V592" s="5146"/>
      <c r="X592" s="2348" t="s">
        <v>2420</v>
      </c>
      <c r="Y592" s="456"/>
      <c r="Z592" s="456" t="s">
        <v>2972</v>
      </c>
      <c r="AA592" s="2279">
        <f>COUNTIF(PDs!$Y$40:$AA$45,Tablas!X592)</f>
        <v>0</v>
      </c>
      <c r="AB592" s="363"/>
      <c r="AC592" s="487">
        <v>20</v>
      </c>
    </row>
    <row r="593" spans="1:30" ht="12.75" customHeight="1" x14ac:dyDescent="0.2">
      <c r="A593" s="1928">
        <v>593</v>
      </c>
      <c r="B593" s="5108"/>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152" t="s">
        <v>7912</v>
      </c>
      <c r="U593" s="5153"/>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108"/>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152" t="s">
        <v>8706</v>
      </c>
      <c r="U594" s="5153"/>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108"/>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152" t="s">
        <v>135</v>
      </c>
      <c r="U595" s="5153"/>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108"/>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152" t="s">
        <v>8709</v>
      </c>
      <c r="U596" s="5153"/>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108"/>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152" t="s">
        <v>8711</v>
      </c>
      <c r="U597" s="5153"/>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108"/>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192" t="s">
        <v>8713</v>
      </c>
      <c r="U598" s="5193"/>
      <c r="V598" s="2228">
        <f>COUNTIF(Combate!$AB$55:$AG$64,$E$980)*COUNTIF(Personalización!$AB$19:$AE$21,Tablas!$T598)</f>
        <v>0</v>
      </c>
      <c r="X598" s="5156" t="str">
        <f>X578</f>
        <v>Tabla de tipología</v>
      </c>
      <c r="Y598" s="5157"/>
      <c r="Z598" s="5157"/>
      <c r="AA598" s="5158"/>
      <c r="AB598" s="363"/>
      <c r="AC598" s="2577"/>
      <c r="AD598" s="1665"/>
    </row>
    <row r="599" spans="1:30" ht="12.75" customHeight="1" thickBot="1" x14ac:dyDescent="0.25">
      <c r="A599" s="1928">
        <v>599</v>
      </c>
      <c r="B599" s="5108"/>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108"/>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144" t="s">
        <v>8703</v>
      </c>
      <c r="U600" s="5146"/>
      <c r="X600" s="2348" t="s">
        <v>2470</v>
      </c>
      <c r="Y600" s="456"/>
      <c r="Z600" s="456" t="s">
        <v>9976</v>
      </c>
      <c r="AA600" s="2279">
        <f>COUNTIF(PDs!$Y$40:$AA$45,Tablas!X600)</f>
        <v>0</v>
      </c>
      <c r="AB600" s="363"/>
      <c r="AC600" s="2577"/>
      <c r="AD600" s="1665"/>
    </row>
    <row r="601" spans="1:30" ht="12.75" customHeight="1" x14ac:dyDescent="0.2">
      <c r="A601" s="1928">
        <v>601</v>
      </c>
      <c r="B601" s="5108"/>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108"/>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108"/>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108"/>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108"/>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108"/>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108"/>
      <c r="C607" s="5338" t="s">
        <v>8948</v>
      </c>
      <c r="D607" s="5339"/>
      <c r="E607" s="5339"/>
      <c r="F607" s="5339"/>
      <c r="G607" s="5339"/>
      <c r="H607" s="5339"/>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108"/>
      <c r="H608" s="363"/>
      <c r="I608" s="1665"/>
      <c r="N608" s="363"/>
      <c r="O608" s="2011"/>
      <c r="X608" s="2348" t="s">
        <v>2475</v>
      </c>
      <c r="Y608" s="456"/>
      <c r="Z608" s="456" t="s">
        <v>9984</v>
      </c>
      <c r="AA608" s="2279">
        <f>COUNTIF(PDs!$Y$40:$AA$45,Tablas!X608)</f>
        <v>0</v>
      </c>
      <c r="AB608" s="363"/>
      <c r="AC608" s="457"/>
    </row>
    <row r="609" spans="1:469" ht="12.75" customHeight="1" x14ac:dyDescent="0.2">
      <c r="A609" s="1928">
        <v>609</v>
      </c>
      <c r="B609" s="5108"/>
      <c r="C609" s="5219" t="s">
        <v>1484</v>
      </c>
      <c r="D609" s="5219"/>
      <c r="E609" s="5219"/>
      <c r="F609" s="5219"/>
      <c r="G609" s="5219"/>
      <c r="H609" s="5219"/>
      <c r="I609" s="5219"/>
      <c r="J609" s="5219"/>
      <c r="K609" s="5219"/>
      <c r="L609" s="5219"/>
      <c r="M609" s="5219"/>
      <c r="N609" s="5219"/>
      <c r="O609" s="5219"/>
      <c r="P609" s="5219"/>
      <c r="Q609" s="5219"/>
      <c r="X609" s="2348" t="s">
        <v>2574</v>
      </c>
      <c r="Y609" s="456"/>
      <c r="Z609" s="456" t="s">
        <v>10006</v>
      </c>
      <c r="AA609" s="2279">
        <f>COUNTIF(PDs!$Y$40:$AA$45,Tablas!X609)</f>
        <v>0</v>
      </c>
      <c r="AB609" s="363"/>
      <c r="AC609" s="2577"/>
      <c r="AD609" s="1665"/>
    </row>
    <row r="610" spans="1:469" ht="12.75" customHeight="1" thickBot="1" x14ac:dyDescent="0.25">
      <c r="A610" s="1928">
        <v>610</v>
      </c>
      <c r="B610" s="5108"/>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108"/>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108"/>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109" t="s">
        <v>8884</v>
      </c>
      <c r="T612" s="5110"/>
      <c r="U612" s="5110"/>
      <c r="V612" s="5110"/>
      <c r="W612" s="5110"/>
      <c r="X612" s="5110"/>
      <c r="Y612" s="5110"/>
      <c r="Z612" s="5110"/>
      <c r="AA612" s="5110"/>
      <c r="AC612" s="5155" t="s">
        <v>1494</v>
      </c>
      <c r="AD612" s="5155"/>
      <c r="AE612" s="5155"/>
      <c r="AF612" s="5155"/>
      <c r="AG612" s="5155"/>
      <c r="AH612" s="5155"/>
      <c r="AI612" s="5155"/>
    </row>
    <row r="613" spans="1:469" ht="12.75" customHeight="1" thickBot="1" x14ac:dyDescent="0.25">
      <c r="A613" s="1928">
        <v>613</v>
      </c>
      <c r="B613" s="5108"/>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109"/>
      <c r="T613" s="5110"/>
      <c r="U613" s="5110"/>
      <c r="V613" s="5110"/>
      <c r="W613" s="5110"/>
      <c r="X613" s="5110"/>
      <c r="Y613" s="5110"/>
      <c r="Z613" s="5110"/>
      <c r="AA613" s="5110"/>
      <c r="AC613" s="490" t="s">
        <v>1495</v>
      </c>
      <c r="AD613" s="491" t="s">
        <v>1496</v>
      </c>
      <c r="AE613" s="491" t="s">
        <v>1497</v>
      </c>
      <c r="AF613" s="491" t="s">
        <v>1498</v>
      </c>
      <c r="AG613" s="491" t="s">
        <v>1499</v>
      </c>
      <c r="AH613" s="491" t="s">
        <v>1500</v>
      </c>
      <c r="AI613" s="1771" t="s">
        <v>1501</v>
      </c>
    </row>
    <row r="614" spans="1:469" ht="12.75" customHeight="1" x14ac:dyDescent="0.2">
      <c r="A614" s="1928">
        <v>614</v>
      </c>
      <c r="B614" s="5108"/>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132" t="s">
        <v>9986</v>
      </c>
      <c r="T614" s="5133"/>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108"/>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134" t="s">
        <v>9990</v>
      </c>
      <c r="T615" s="5135"/>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108"/>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134" t="s">
        <v>9987</v>
      </c>
      <c r="T616" s="5135"/>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108"/>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134" t="s">
        <v>9988</v>
      </c>
      <c r="T617" s="5135"/>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108"/>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134" t="s">
        <v>9989</v>
      </c>
      <c r="T618" s="5135"/>
      <c r="U618" s="2666" t="str">
        <f>IF(V618="","",", "&amp;V618)&amp;IF(W618="","",", "&amp;W618)&amp;IF(X618="","",", "&amp;X618)&amp;IF(Y618="","",", "&amp;Y618)&amp;IF(Z618="","",", "&amp;Z618)&amp;IF(AA618="","",", "&amp;AA618)</f>
        <v/>
      </c>
      <c r="V618" s="2663" t="str">
        <f>IF(ISNUMBER(SEARCH("tipología",INDEX(Compra_TablasArmas,Tablas!A1,18))),VLOOKUP(INDEX(Compra_TablasArmas,Tablas!A1,21),Tipologías,3,FALSE),"")</f>
        <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108"/>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171" t="s">
        <v>4551</v>
      </c>
      <c r="T619" s="5172"/>
      <c r="U619" s="2667" t="str">
        <f>U614&amp;U615&amp;U616&amp;U617&amp;U618</f>
        <v>0</v>
      </c>
      <c r="V619" s="2668"/>
      <c r="W619" s="2668"/>
      <c r="X619" s="2668"/>
      <c r="Y619" s="2668"/>
      <c r="Z619" s="2668"/>
      <c r="AA619" s="2669"/>
    </row>
    <row r="620" spans="1:469" ht="12.75" customHeight="1" thickBot="1" x14ac:dyDescent="0.25">
      <c r="A620" s="1928">
        <v>620</v>
      </c>
      <c r="B620" s="5108"/>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108"/>
    </row>
    <row r="622" spans="1:469" ht="12.75" customHeight="1" x14ac:dyDescent="0.2">
      <c r="A622" s="1928">
        <v>622</v>
      </c>
      <c r="B622" s="510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108"/>
    </row>
    <row r="624" spans="1:469" ht="12.75" customHeight="1" x14ac:dyDescent="0.2">
      <c r="A624" s="1928">
        <v>624</v>
      </c>
      <c r="B624" s="5108"/>
    </row>
    <row r="625" spans="1:38" ht="12.75" customHeight="1" thickBot="1" x14ac:dyDescent="0.25">
      <c r="A625" s="1928">
        <v>625</v>
      </c>
      <c r="B625" s="5108"/>
      <c r="AG625" s="5166" t="s">
        <v>10065</v>
      </c>
      <c r="AH625" s="5167"/>
      <c r="AI625" s="5167"/>
      <c r="AJ625" s="5167"/>
      <c r="AK625" s="5167"/>
      <c r="AL625" s="5168"/>
    </row>
    <row r="626" spans="1:38" ht="12.75" customHeight="1" thickBot="1" x14ac:dyDescent="0.25">
      <c r="A626" s="1928">
        <v>626</v>
      </c>
      <c r="B626" s="5108"/>
      <c r="C626" s="5159" t="s">
        <v>2454</v>
      </c>
      <c r="D626" s="5160"/>
      <c r="E626" s="5160"/>
      <c r="F626" s="5160"/>
      <c r="G626" s="5160"/>
      <c r="H626" s="5160"/>
      <c r="I626" s="5160"/>
      <c r="J626" s="5160"/>
      <c r="K626" s="5160"/>
      <c r="L626" s="5160"/>
      <c r="M626" s="5160"/>
      <c r="N626" s="5160"/>
      <c r="O626" s="5160"/>
      <c r="P626" s="5160"/>
      <c r="Q626" s="5160"/>
      <c r="R626" s="5160"/>
      <c r="S626" s="5160"/>
      <c r="T626" s="5160"/>
      <c r="U626" s="5160"/>
      <c r="V626" s="5160"/>
      <c r="W626" s="5160"/>
      <c r="X626" s="5161"/>
      <c r="AB626" s="363"/>
      <c r="AC626" s="2577"/>
      <c r="AG626" s="4263" t="s">
        <v>10063</v>
      </c>
      <c r="AH626" s="4118"/>
      <c r="AI626" s="4118"/>
      <c r="AJ626" s="4118"/>
      <c r="AK626" s="4118"/>
      <c r="AL626" s="5165"/>
    </row>
    <row r="627" spans="1:38" ht="12.75" customHeight="1" thickBot="1" x14ac:dyDescent="0.25">
      <c r="A627" s="1928">
        <v>627</v>
      </c>
      <c r="B627" s="5108"/>
      <c r="C627" s="5162"/>
      <c r="D627" s="5163"/>
      <c r="E627" s="5163"/>
      <c r="F627" s="5163"/>
      <c r="G627" s="5163"/>
      <c r="H627" s="5163"/>
      <c r="I627" s="5163"/>
      <c r="J627" s="5163"/>
      <c r="K627" s="5163"/>
      <c r="L627" s="5163"/>
      <c r="M627" s="5163"/>
      <c r="N627" s="5163"/>
      <c r="O627" s="5163"/>
      <c r="P627" s="5163"/>
      <c r="Q627" s="5163"/>
      <c r="R627" s="5163"/>
      <c r="S627" s="5163"/>
      <c r="T627" s="5163"/>
      <c r="U627" s="5163"/>
      <c r="V627" s="5163"/>
      <c r="W627" s="5163"/>
      <c r="X627" s="5164"/>
      <c r="Z627" s="5274"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108"/>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275"/>
      <c r="AB628" s="4071" t="s">
        <v>1506</v>
      </c>
      <c r="AC628" s="4072"/>
      <c r="AD628" s="4072"/>
      <c r="AE628" s="4073"/>
      <c r="AG628" s="2910" t="s">
        <v>10062</v>
      </c>
      <c r="AH628" s="2911" t="s">
        <v>10062</v>
      </c>
      <c r="AI628" s="2911" t="s">
        <v>10062</v>
      </c>
      <c r="AJ628" s="2911" t="s">
        <v>3064</v>
      </c>
      <c r="AK628" s="2911" t="s">
        <v>3064</v>
      </c>
      <c r="AL628" s="1958" t="s">
        <v>3064</v>
      </c>
    </row>
    <row r="629" spans="1:38" ht="12.75" customHeight="1" thickBot="1" x14ac:dyDescent="0.25">
      <c r="A629" s="1928">
        <v>629</v>
      </c>
      <c r="B629" s="5108"/>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09"/>
      <c r="AC629" s="5110"/>
      <c r="AD629" s="5110"/>
      <c r="AE629" s="5111"/>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108"/>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108"/>
      <c r="C631" s="2932"/>
      <c r="D631" s="2933" t="s">
        <v>2251</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4</v>
      </c>
      <c r="N631" s="2935">
        <f>IF(Raza="Ebudan","5",VLOOKUP(Tamaño,$V$47:$AE$54,9))</f>
        <v>-4</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108"/>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108"/>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108"/>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108"/>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108"/>
      <c r="C636" s="2932"/>
      <c r="D636" s="2933" t="s">
        <v>2469</v>
      </c>
      <c r="E636" s="2940">
        <v>60</v>
      </c>
      <c r="F636" s="2930">
        <v>-15</v>
      </c>
      <c r="G636" s="2930">
        <v>11</v>
      </c>
      <c r="H636" s="2930">
        <v>6</v>
      </c>
      <c r="I636" s="2930" t="s">
        <v>1863</v>
      </c>
      <c r="J636" s="2930" t="s">
        <v>1809</v>
      </c>
      <c r="K636" s="2912" t="s">
        <v>8886</v>
      </c>
      <c r="L636" s="293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41">
        <v>15</v>
      </c>
      <c r="N636" s="2941">
        <v>4</v>
      </c>
      <c r="O636" s="2941">
        <v>20</v>
      </c>
      <c r="P636" s="2930" t="str">
        <f>IF(ISNUMBER(SEARCH($D636,Armas_Conocidas)),"Conocida",IF(OR(ISNUMBER(SEARCH(LEFT($K636,SEARCH("/",$K636)),Tipologías_Conocidas)),AND(NOT(ISNUMBER(SEARCH("/-",$K636))),ISNUMBER(SEARCH(MID($K636,SEARCH("/",$K636)+1,LEN($K636)),Tipologías_Conocidas)))),IF(ISNUMBER(SEARCH($K636,Tipologías_Conocidas)),"Similar","Mixta"),"Distinta"))</f>
        <v>Distinta</v>
      </c>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108"/>
      <c r="C637" s="2932"/>
      <c r="D637" s="2933" t="s">
        <v>2472</v>
      </c>
      <c r="E637" s="2940">
        <v>35</v>
      </c>
      <c r="F637" s="2930">
        <v>-5</v>
      </c>
      <c r="G637" s="2930">
        <v>5</v>
      </c>
      <c r="H637" s="2930">
        <v>5</v>
      </c>
      <c r="I637" s="2930" t="s">
        <v>1864</v>
      </c>
      <c r="J637" s="2930" t="s">
        <v>1766</v>
      </c>
      <c r="K637" s="2912" t="s">
        <v>8887</v>
      </c>
      <c r="L637" s="2930" t="str">
        <f t="shared" si="80"/>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108"/>
      <c r="C638" s="2932"/>
      <c r="D638" s="2933" t="s">
        <v>8558</v>
      </c>
      <c r="E638" s="2940">
        <v>25</v>
      </c>
      <c r="F638" s="2930">
        <v>15</v>
      </c>
      <c r="G638" s="2930">
        <v>5</v>
      </c>
      <c r="H638" s="2930">
        <v>5</v>
      </c>
      <c r="I638" s="2930" t="s">
        <v>1809</v>
      </c>
      <c r="J638" s="2930" t="s">
        <v>1766</v>
      </c>
      <c r="K638" s="2912" t="s">
        <v>8887</v>
      </c>
      <c r="L638" s="2930" t="str">
        <f t="shared" si="80"/>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108"/>
      <c r="C639" s="2932"/>
      <c r="D639" s="2933" t="s">
        <v>8559</v>
      </c>
      <c r="E639" s="2940">
        <v>50</v>
      </c>
      <c r="F639" s="2930">
        <v>-10</v>
      </c>
      <c r="G639" s="2930" t="s">
        <v>1766</v>
      </c>
      <c r="H639" s="2930">
        <v>6</v>
      </c>
      <c r="I639" s="2930" t="s">
        <v>1864</v>
      </c>
      <c r="J639" s="2930" t="s">
        <v>8611</v>
      </c>
      <c r="K639" s="2912" t="s">
        <v>8888</v>
      </c>
      <c r="L639" s="2930" t="str">
        <f t="shared" si="80"/>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108"/>
      <c r="C640" s="2932"/>
      <c r="D640" s="2933" t="s">
        <v>8560</v>
      </c>
      <c r="E640" s="2940">
        <v>50</v>
      </c>
      <c r="F640" s="2930">
        <v>-15</v>
      </c>
      <c r="G640" s="2930" t="s">
        <v>1766</v>
      </c>
      <c r="H640" s="2930">
        <v>6</v>
      </c>
      <c r="I640" s="2930" t="s">
        <v>1863</v>
      </c>
      <c r="J640" s="2930" t="s">
        <v>1809</v>
      </c>
      <c r="K640" s="2912" t="s">
        <v>8887</v>
      </c>
      <c r="L640" s="2930" t="str">
        <f t="shared" si="80"/>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108"/>
      <c r="C641" s="2932"/>
      <c r="D641" s="2933" t="s">
        <v>2474</v>
      </c>
      <c r="E641" s="2930">
        <v>20</v>
      </c>
      <c r="F641" s="2930">
        <v>0</v>
      </c>
      <c r="G641" s="2930">
        <v>5</v>
      </c>
      <c r="H641" s="2930">
        <v>5</v>
      </c>
      <c r="I641" s="2930" t="s">
        <v>1809</v>
      </c>
      <c r="J641" s="2930" t="s">
        <v>1766</v>
      </c>
      <c r="K641" s="2912" t="s">
        <v>8889</v>
      </c>
      <c r="L641" s="2930" t="str">
        <f t="shared" si="80"/>
        <v>Distinta</v>
      </c>
      <c r="M641" s="2941">
        <v>10</v>
      </c>
      <c r="N641" s="2941">
        <v>2</v>
      </c>
      <c r="O641" s="2941">
        <v>15</v>
      </c>
      <c r="P641" s="2930"/>
      <c r="Q641" s="2930"/>
      <c r="R641" s="2941">
        <v>50</v>
      </c>
      <c r="S641" s="2930" t="s">
        <v>1766</v>
      </c>
      <c r="T641" s="2930">
        <v>20</v>
      </c>
      <c r="U641" s="2930"/>
      <c r="V641" s="2912" t="s">
        <v>2476</v>
      </c>
      <c r="W641" s="2912"/>
      <c r="X641" s="2913"/>
      <c r="Z641" s="2661" t="str">
        <f t="shared" si="79"/>
        <v/>
      </c>
      <c r="AB641" s="2234" t="s">
        <v>2480</v>
      </c>
      <c r="AC641" s="2013" t="s">
        <v>8564</v>
      </c>
      <c r="AD641" s="19" t="s">
        <v>2577</v>
      </c>
      <c r="AE641" s="2629" t="s">
        <v>2599</v>
      </c>
      <c r="AG641" s="2234" t="str">
        <f t="shared" si="75"/>
        <v/>
      </c>
      <c r="AH641" s="2013" t="str">
        <f t="shared" si="76"/>
        <v/>
      </c>
      <c r="AI641" s="2013" t="str">
        <f t="shared" si="77"/>
        <v>Bolas</v>
      </c>
      <c r="AJ641" s="2919">
        <f>IF($L641=AJ$627,COUNTIF($L$630:$L641,AJ$627)+1,0)</f>
        <v>0</v>
      </c>
      <c r="AK641" s="2916">
        <f>IF($L641=AK$627,COUNTIF($L$630:$L641,AK$627)+1,0)</f>
        <v>0</v>
      </c>
      <c r="AL641" s="2922">
        <f>IF($L641=AL$627,COUNTIF($L$630:$L641,AL$627)+1,0)</f>
        <v>12</v>
      </c>
    </row>
    <row r="642" spans="1:38" ht="12.75" customHeight="1" x14ac:dyDescent="0.2">
      <c r="A642" s="1928">
        <v>642</v>
      </c>
      <c r="B642" s="5108"/>
      <c r="C642" s="2932"/>
      <c r="D642" s="2933" t="s">
        <v>2477</v>
      </c>
      <c r="E642" s="2930">
        <v>30</v>
      </c>
      <c r="F642" s="2930">
        <v>-10</v>
      </c>
      <c r="G642" s="2930">
        <v>5</v>
      </c>
      <c r="H642" s="2930">
        <v>5</v>
      </c>
      <c r="I642" s="2930" t="s">
        <v>2478</v>
      </c>
      <c r="J642" s="2930" t="s">
        <v>1809</v>
      </c>
      <c r="K642" s="2912" t="s">
        <v>8889</v>
      </c>
      <c r="L642" s="2930" t="str">
        <f t="shared" si="80"/>
        <v>Distinta</v>
      </c>
      <c r="M642" s="2941">
        <v>6</v>
      </c>
      <c r="N642" s="2941">
        <v>2</v>
      </c>
      <c r="O642" s="2941">
        <v>15</v>
      </c>
      <c r="P642" s="2930"/>
      <c r="Q642" s="2930"/>
      <c r="R642" s="2941">
        <v>80</v>
      </c>
      <c r="S642" s="2930" t="s">
        <v>1766</v>
      </c>
      <c r="T642" s="2930">
        <v>20</v>
      </c>
      <c r="U642" s="2930"/>
      <c r="V642" s="2912" t="s">
        <v>2479</v>
      </c>
      <c r="W642" s="2912"/>
      <c r="X642" s="2913"/>
      <c r="Z642" s="2661" t="str">
        <f t="shared" si="79"/>
        <v/>
      </c>
      <c r="AB642" s="2234" t="s">
        <v>2483</v>
      </c>
      <c r="AC642" s="2013" t="s">
        <v>2493</v>
      </c>
      <c r="AD642" s="19" t="s">
        <v>2579</v>
      </c>
      <c r="AE642" s="2235" t="s">
        <v>2601</v>
      </c>
      <c r="AG642" s="2234" t="str">
        <f t="shared" si="75"/>
        <v/>
      </c>
      <c r="AH642" s="2013" t="str">
        <f t="shared" si="76"/>
        <v/>
      </c>
      <c r="AI642" s="2013" t="str">
        <f t="shared" si="77"/>
        <v>Boleadoras</v>
      </c>
      <c r="AJ642" s="2919">
        <f>IF($L642=AJ$627,COUNTIF($L$630:$L642,AJ$627)+1,0)</f>
        <v>0</v>
      </c>
      <c r="AK642" s="2916">
        <f>IF($L642=AK$627,COUNTIF($L$630:$L642,AK$627)+1,0)</f>
        <v>0</v>
      </c>
      <c r="AL642" s="2922">
        <f>IF($L642=AL$627,COUNTIF($L$630:$L642,AL$627)+1,0)</f>
        <v>13</v>
      </c>
    </row>
    <row r="643" spans="1:38" ht="12.75" customHeight="1" x14ac:dyDescent="0.2">
      <c r="A643" s="1928">
        <v>643</v>
      </c>
      <c r="B643" s="5108"/>
      <c r="C643" s="2932"/>
      <c r="D643" s="2933" t="s">
        <v>8563</v>
      </c>
      <c r="E643" s="2940">
        <v>60</v>
      </c>
      <c r="F643" s="2930">
        <v>-10</v>
      </c>
      <c r="G643" s="2930">
        <v>7</v>
      </c>
      <c r="H643" s="2930">
        <v>7</v>
      </c>
      <c r="I643" s="2930" t="s">
        <v>1863</v>
      </c>
      <c r="J643" s="2930" t="s">
        <v>1766</v>
      </c>
      <c r="K643" s="2912" t="s">
        <v>8890</v>
      </c>
      <c r="L643" s="2930" t="str">
        <f t="shared" si="80"/>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Bracamarte</v>
      </c>
      <c r="AJ643" s="2919">
        <f>IF($L643=AJ$627,COUNTIF($L$630:$L643,AJ$627)+1,0)</f>
        <v>0</v>
      </c>
      <c r="AK643" s="2916">
        <f>IF($L643=AK$627,COUNTIF($L$630:$L643,AK$627)+1,0)</f>
        <v>0</v>
      </c>
      <c r="AL643" s="2922">
        <f>IF($L643=AL$627,COUNTIF($L$630:$L643,AL$627)+1,0)</f>
        <v>14</v>
      </c>
    </row>
    <row r="644" spans="1:38" ht="12.75" customHeight="1" x14ac:dyDescent="0.2">
      <c r="A644" s="1928">
        <v>644</v>
      </c>
      <c r="B644" s="5108"/>
      <c r="C644" s="2932"/>
      <c r="D644" s="2933" t="s">
        <v>8562</v>
      </c>
      <c r="E644" s="2940">
        <v>40</v>
      </c>
      <c r="F644" s="2930">
        <v>0</v>
      </c>
      <c r="G644" s="2930" t="s">
        <v>1766</v>
      </c>
      <c r="H644" s="2930">
        <v>6</v>
      </c>
      <c r="I644" s="2930" t="s">
        <v>1864</v>
      </c>
      <c r="J644" s="2930" t="s">
        <v>1809</v>
      </c>
      <c r="K644" s="2912" t="s">
        <v>8887</v>
      </c>
      <c r="L644" s="2930" t="str">
        <f t="shared" si="80"/>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Brandistock</v>
      </c>
      <c r="AJ644" s="2919">
        <f>IF($L644=AJ$627,COUNTIF($L$630:$L644,AJ$627)+1,0)</f>
        <v>0</v>
      </c>
      <c r="AK644" s="2916">
        <f>IF($L644=AK$627,COUNTIF($L$630:$L644,AK$627)+1,0)</f>
        <v>0</v>
      </c>
      <c r="AL644" s="2922">
        <f>IF($L644=AL$627,COUNTIF($L$630:$L644,AL$627)+1,0)</f>
        <v>15</v>
      </c>
    </row>
    <row r="645" spans="1:38" ht="12.75" customHeight="1" x14ac:dyDescent="0.2">
      <c r="A645" s="1928">
        <v>645</v>
      </c>
      <c r="B645" s="5108"/>
      <c r="C645" s="2932"/>
      <c r="D645" s="2933" t="s">
        <v>2480</v>
      </c>
      <c r="E645" s="2940">
        <v>25</v>
      </c>
      <c r="F645" s="2930">
        <v>0</v>
      </c>
      <c r="G645" s="2930">
        <v>6</v>
      </c>
      <c r="H645" s="2930">
        <v>6</v>
      </c>
      <c r="I645" s="2930" t="s">
        <v>1809</v>
      </c>
      <c r="J645" s="2930" t="s">
        <v>1766</v>
      </c>
      <c r="K645" s="2912" t="s">
        <v>8891</v>
      </c>
      <c r="L645" s="2930" t="str">
        <f t="shared" si="80"/>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Cadena</v>
      </c>
      <c r="AJ645" s="2919">
        <f>IF($L645=AJ$627,COUNTIF($L$630:$L645,AJ$627)+1,0)</f>
        <v>0</v>
      </c>
      <c r="AK645" s="2916">
        <f>IF($L645=AK$627,COUNTIF($L$630:$L645,AK$627)+1,0)</f>
        <v>0</v>
      </c>
      <c r="AL645" s="2922">
        <f>IF($L645=AL$627,COUNTIF($L$630:$L645,AL$627)+1,0)</f>
        <v>16</v>
      </c>
    </row>
    <row r="646" spans="1:38" ht="12.75" customHeight="1" x14ac:dyDescent="0.2">
      <c r="A646" s="1928">
        <v>646</v>
      </c>
      <c r="B646" s="5108"/>
      <c r="C646" s="2932"/>
      <c r="D646" s="2933" t="s">
        <v>2483</v>
      </c>
      <c r="E646" s="2940">
        <v>25</v>
      </c>
      <c r="F646" s="2930">
        <v>10</v>
      </c>
      <c r="G646" s="2930">
        <v>3</v>
      </c>
      <c r="H646" s="2930">
        <v>3</v>
      </c>
      <c r="I646" s="2930" t="s">
        <v>1864</v>
      </c>
      <c r="J646" s="2930" t="s">
        <v>1863</v>
      </c>
      <c r="K646" s="2912" t="s">
        <v>8892</v>
      </c>
      <c r="L646" s="2930" t="str">
        <f t="shared" si="80"/>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Cestus</v>
      </c>
      <c r="AJ646" s="2919">
        <f>IF($L646=AJ$627,COUNTIF($L$630:$L646,AJ$627)+1,0)</f>
        <v>0</v>
      </c>
      <c r="AK646" s="2916">
        <f>IF($L646=AK$627,COUNTIF($L$630:$L646,AK$627)+1,0)</f>
        <v>0</v>
      </c>
      <c r="AL646" s="2922">
        <f>IF($L646=AL$627,COUNTIF($L$630:$L646,AL$627)+1,0)</f>
        <v>17</v>
      </c>
    </row>
    <row r="647" spans="1:38" ht="12.75" customHeight="1" x14ac:dyDescent="0.2">
      <c r="A647" s="1928">
        <v>647</v>
      </c>
      <c r="B647" s="5108"/>
      <c r="C647" s="2932"/>
      <c r="D647" s="2933" t="s">
        <v>8566</v>
      </c>
      <c r="E647" s="2940">
        <v>40</v>
      </c>
      <c r="F647" s="2930">
        <v>5</v>
      </c>
      <c r="G647" s="2930">
        <v>6</v>
      </c>
      <c r="H647" s="2930">
        <v>6</v>
      </c>
      <c r="I647" s="2930" t="s">
        <v>1809</v>
      </c>
      <c r="J647" s="2930" t="s">
        <v>1766</v>
      </c>
      <c r="K647" s="2912" t="s">
        <v>8893</v>
      </c>
      <c r="L647" s="2930" t="str">
        <f t="shared" si="80"/>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Chui</v>
      </c>
      <c r="AJ647" s="2919">
        <f>IF($L647=AJ$627,COUNTIF($L$630:$L647,AJ$627)+1,0)</f>
        <v>0</v>
      </c>
      <c r="AK647" s="2916">
        <f>IF($L647=AK$627,COUNTIF($L$630:$L647,AK$627)+1,0)</f>
        <v>0</v>
      </c>
      <c r="AL647" s="2922">
        <f>IF($L647=AL$627,COUNTIF($L$630:$L647,AL$627)+1,0)</f>
        <v>18</v>
      </c>
    </row>
    <row r="648" spans="1:38" ht="12.75" customHeight="1" x14ac:dyDescent="0.2">
      <c r="A648" s="1928">
        <v>648</v>
      </c>
      <c r="B648" s="5108"/>
      <c r="C648" s="2932"/>
      <c r="D648" s="2933" t="s">
        <v>2485</v>
      </c>
      <c r="E648" s="2940">
        <v>50</v>
      </c>
      <c r="F648" s="2930">
        <v>-5</v>
      </c>
      <c r="G648" s="2930">
        <v>5</v>
      </c>
      <c r="H648" s="2930">
        <v>5</v>
      </c>
      <c r="I648" s="2930" t="s">
        <v>1863</v>
      </c>
      <c r="J648" s="2930" t="s">
        <v>1766</v>
      </c>
      <c r="K648" s="2912" t="s">
        <v>8890</v>
      </c>
      <c r="L648" s="2930" t="str">
        <f t="shared" si="80"/>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Cimitarra</v>
      </c>
      <c r="AJ648" s="2919">
        <f>IF($L648=AJ$627,COUNTIF($L$630:$L648,AJ$627)+1,0)</f>
        <v>0</v>
      </c>
      <c r="AK648" s="2916">
        <f>IF($L648=AK$627,COUNTIF($L$630:$L648,AK$627)+1,0)</f>
        <v>0</v>
      </c>
      <c r="AL648" s="2922">
        <f>IF($L648=AL$627,COUNTIF($L$630:$L648,AL$627)+1,0)</f>
        <v>19</v>
      </c>
    </row>
    <row r="649" spans="1:38" ht="12.75" customHeight="1" x14ac:dyDescent="0.2">
      <c r="A649" s="1928">
        <v>649</v>
      </c>
      <c r="B649" s="5108"/>
      <c r="C649" s="2932"/>
      <c r="D649" s="2933" t="s">
        <v>8569</v>
      </c>
      <c r="E649" s="2940">
        <v>35</v>
      </c>
      <c r="F649" s="2930">
        <v>0</v>
      </c>
      <c r="G649" s="2930">
        <v>4</v>
      </c>
      <c r="H649" s="2930">
        <v>4</v>
      </c>
      <c r="I649" s="2930" t="s">
        <v>1864</v>
      </c>
      <c r="J649" s="2930" t="s">
        <v>1863</v>
      </c>
      <c r="K649" s="2912" t="s">
        <v>8892</v>
      </c>
      <c r="L649" s="2930" t="str">
        <f t="shared" si="80"/>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Cinquedea</v>
      </c>
      <c r="AJ649" s="2919">
        <f>IF($L649=AJ$627,COUNTIF($L$630:$L649,AJ$627)+1,0)</f>
        <v>0</v>
      </c>
      <c r="AK649" s="2916">
        <f>IF($L649=AK$627,COUNTIF($L$630:$L649,AK$627)+1,0)</f>
        <v>0</v>
      </c>
      <c r="AL649" s="2922">
        <f>IF($L649=AL$627,COUNTIF($L$630:$L649,AL$627)+1,0)</f>
        <v>20</v>
      </c>
    </row>
    <row r="650" spans="1:38" ht="12.75" customHeight="1" x14ac:dyDescent="0.2">
      <c r="A650" s="1928">
        <v>650</v>
      </c>
      <c r="B650" s="5108"/>
      <c r="C650" s="2932"/>
      <c r="D650" s="2933" t="s">
        <v>8564</v>
      </c>
      <c r="E650" s="2940">
        <v>65</v>
      </c>
      <c r="F650" s="2930">
        <v>-20</v>
      </c>
      <c r="G650" s="2930" t="s">
        <v>1766</v>
      </c>
      <c r="H650" s="2930">
        <v>7</v>
      </c>
      <c r="I650" s="2930" t="s">
        <v>1863</v>
      </c>
      <c r="J650" s="2930" t="s">
        <v>1809</v>
      </c>
      <c r="K650" s="2912" t="s">
        <v>8894</v>
      </c>
      <c r="L650" s="2930" t="str">
        <f t="shared" si="80"/>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Claymore</v>
      </c>
      <c r="AJ650" s="2919">
        <f>IF($L650=AJ$627,COUNTIF($L$630:$L650,AJ$627)+1,0)</f>
        <v>0</v>
      </c>
      <c r="AK650" s="2916">
        <f>IF($L650=AK$627,COUNTIF($L$630:$L650,AK$627)+1,0)</f>
        <v>0</v>
      </c>
      <c r="AL650" s="2922">
        <f>IF($L650=AL$627,COUNTIF($L$630:$L650,AL$627)+1,0)</f>
        <v>21</v>
      </c>
    </row>
    <row r="651" spans="1:38" ht="12.75" customHeight="1" x14ac:dyDescent="0.2">
      <c r="A651" s="1928">
        <v>651</v>
      </c>
      <c r="B651" s="5108"/>
      <c r="C651" s="2932"/>
      <c r="D651" s="2933" t="s">
        <v>2487</v>
      </c>
      <c r="E651" s="2940">
        <v>30</v>
      </c>
      <c r="F651" s="2930">
        <v>20</v>
      </c>
      <c r="G651" s="2930">
        <v>3</v>
      </c>
      <c r="H651" s="2930">
        <v>3</v>
      </c>
      <c r="I651" s="2930" t="s">
        <v>1864</v>
      </c>
      <c r="J651" s="2930" t="s">
        <v>1863</v>
      </c>
      <c r="K651" s="2912" t="s">
        <v>8892</v>
      </c>
      <c r="L651" s="2930" t="str">
        <f t="shared" si="80"/>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Daga</v>
      </c>
      <c r="AJ651" s="2919">
        <f>IF($L651=AJ$627,COUNTIF($L$630:$L651,AJ$627)+1,0)</f>
        <v>0</v>
      </c>
      <c r="AK651" s="2916">
        <f>IF($L651=AK$627,COUNTIF($L$630:$L651,AK$627)+1,0)</f>
        <v>0</v>
      </c>
      <c r="AL651" s="2922">
        <f>IF($L651=AL$627,COUNTIF($L$630:$L651,AL$627)+1,0)</f>
        <v>22</v>
      </c>
    </row>
    <row r="652" spans="1:38" ht="12.75" customHeight="1" x14ac:dyDescent="0.2">
      <c r="A652" s="1928">
        <v>652</v>
      </c>
      <c r="B652" s="5108"/>
      <c r="C652" s="2932"/>
      <c r="D652" s="2933" t="s">
        <v>2489</v>
      </c>
      <c r="E652" s="2940">
        <v>30</v>
      </c>
      <c r="F652" s="2930">
        <v>15</v>
      </c>
      <c r="G652" s="2930">
        <v>3</v>
      </c>
      <c r="H652" s="2930">
        <v>3</v>
      </c>
      <c r="I652" s="2930" t="s">
        <v>1864</v>
      </c>
      <c r="J652" s="2930" t="s">
        <v>1863</v>
      </c>
      <c r="K652" s="2912" t="s">
        <v>8892</v>
      </c>
      <c r="L652" s="2930" t="str">
        <f t="shared" si="80"/>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Daga de parada</v>
      </c>
      <c r="AJ652" s="2919">
        <f>IF($L652=AJ$627,COUNTIF($L$630:$L652,AJ$627)+1,0)</f>
        <v>0</v>
      </c>
      <c r="AK652" s="2916">
        <f>IF($L652=AK$627,COUNTIF($L$630:$L652,AK$627)+1,0)</f>
        <v>0</v>
      </c>
      <c r="AL652" s="2922">
        <f>IF($L652=AL$627,COUNTIF($L$630:$L652,AL$627)+1,0)</f>
        <v>23</v>
      </c>
    </row>
    <row r="653" spans="1:38" ht="12.75" customHeight="1" x14ac:dyDescent="0.2">
      <c r="A653" s="1928">
        <v>653</v>
      </c>
      <c r="B653" s="5108"/>
      <c r="C653" s="2932"/>
      <c r="D653" s="2933" t="s">
        <v>2491</v>
      </c>
      <c r="E653" s="2930">
        <v>20</v>
      </c>
      <c r="F653" s="2930">
        <v>20</v>
      </c>
      <c r="G653" s="2930">
        <v>3</v>
      </c>
      <c r="H653" s="2930">
        <v>3</v>
      </c>
      <c r="I653" s="2930" t="s">
        <v>1864</v>
      </c>
      <c r="J653" s="2930" t="s">
        <v>1766</v>
      </c>
      <c r="K653" s="2912" t="s">
        <v>8889</v>
      </c>
      <c r="L653" s="2930" t="str">
        <f t="shared" si="80"/>
        <v>Distinta</v>
      </c>
      <c r="M653" s="2941">
        <v>3</v>
      </c>
      <c r="N653" s="2941">
        <v>-4</v>
      </c>
      <c r="O653" s="2941">
        <v>15</v>
      </c>
      <c r="P653" s="2930"/>
      <c r="Q653" s="2930"/>
      <c r="R653" s="2941">
        <v>40</v>
      </c>
      <c r="S653" s="2930" t="s">
        <v>1766</v>
      </c>
      <c r="T653" s="2930">
        <v>20</v>
      </c>
      <c r="U653" s="2930"/>
      <c r="V653" s="2912" t="s">
        <v>2492</v>
      </c>
      <c r="W653" s="2912"/>
      <c r="X653" s="2913"/>
      <c r="Z653" s="2661" t="str">
        <f t="shared" si="79"/>
        <v/>
      </c>
      <c r="AB653" s="2234" t="s">
        <v>2496</v>
      </c>
      <c r="AC653" s="2013" t="s">
        <v>8576</v>
      </c>
      <c r="AD653" s="19" t="s">
        <v>10005</v>
      </c>
      <c r="AE653" s="2631"/>
      <c r="AG653" s="2234" t="str">
        <f t="shared" si="75"/>
        <v/>
      </c>
      <c r="AH653" s="2013" t="str">
        <f t="shared" si="76"/>
        <v/>
      </c>
      <c r="AI653" s="2013" t="str">
        <f t="shared" si="77"/>
        <v>Dardos de mano</v>
      </c>
      <c r="AJ653" s="2919">
        <f>IF($L653=AJ$627,COUNTIF($L$630:$L653,AJ$627)+1,0)</f>
        <v>0</v>
      </c>
      <c r="AK653" s="2916">
        <f>IF($L653=AK$627,COUNTIF($L$630:$L653,AK$627)+1,0)</f>
        <v>0</v>
      </c>
      <c r="AL653" s="2922">
        <f>IF($L653=AL$627,COUNTIF($L$630:$L653,AL$627)+1,0)</f>
        <v>24</v>
      </c>
    </row>
    <row r="654" spans="1:38" ht="12.75" customHeight="1" x14ac:dyDescent="0.2">
      <c r="A654" s="1928">
        <v>654</v>
      </c>
      <c r="B654" s="5108"/>
      <c r="C654" s="2932"/>
      <c r="D654" s="2933" t="s">
        <v>8573</v>
      </c>
      <c r="E654" s="2940">
        <v>35</v>
      </c>
      <c r="F654" s="2930">
        <v>15</v>
      </c>
      <c r="G654" s="2930">
        <v>5</v>
      </c>
      <c r="H654" s="2930">
        <v>5</v>
      </c>
      <c r="I654" s="2930" t="s">
        <v>1864</v>
      </c>
      <c r="J654" s="2930" t="s">
        <v>1766</v>
      </c>
      <c r="K654" s="2912" t="s">
        <v>8892</v>
      </c>
      <c r="L654" s="2930" t="str">
        <f t="shared" si="80"/>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Dirk</v>
      </c>
      <c r="AJ654" s="2919">
        <f>IF($L654=AJ$627,COUNTIF($L$630:$L654,AJ$627)+1,0)</f>
        <v>0</v>
      </c>
      <c r="AK654" s="2916">
        <f>IF($L654=AK$627,COUNTIF($L$630:$L654,AK$627)+1,0)</f>
        <v>0</v>
      </c>
      <c r="AL654" s="2922">
        <f>IF($L654=AL$627,COUNTIF($L$630:$L654,AL$627)+1,0)</f>
        <v>25</v>
      </c>
    </row>
    <row r="655" spans="1:38" ht="12.75" customHeight="1" x14ac:dyDescent="0.2">
      <c r="A655" s="1928">
        <v>655</v>
      </c>
      <c r="B655" s="5108"/>
      <c r="C655" s="2932"/>
      <c r="D655" s="2933" t="s">
        <v>8574</v>
      </c>
      <c r="E655" s="2940">
        <v>45</v>
      </c>
      <c r="F655" s="2930">
        <v>0</v>
      </c>
      <c r="G655" s="2930">
        <v>4</v>
      </c>
      <c r="H655" s="2930">
        <v>4</v>
      </c>
      <c r="I655" s="2930" t="s">
        <v>1863</v>
      </c>
      <c r="J655" s="2930" t="s">
        <v>1864</v>
      </c>
      <c r="K655" s="2912" t="s">
        <v>8892</v>
      </c>
      <c r="L655" s="2930" t="str">
        <f t="shared" si="80"/>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Escramasajón</v>
      </c>
      <c r="AJ655" s="2919">
        <f>IF($L655=AJ$627,COUNTIF($L$630:$L655,AJ$627)+1,0)</f>
        <v>0</v>
      </c>
      <c r="AK655" s="2916">
        <f>IF($L655=AK$627,COUNTIF($L$630:$L655,AK$627)+1,0)</f>
        <v>0</v>
      </c>
      <c r="AL655" s="2922">
        <f>IF($L655=AL$627,COUNTIF($L$630:$L655,AL$627)+1,0)</f>
        <v>26</v>
      </c>
    </row>
    <row r="656" spans="1:38" ht="12.75" customHeight="1" x14ac:dyDescent="0.2">
      <c r="A656" s="1928">
        <v>656</v>
      </c>
      <c r="B656" s="5108"/>
      <c r="C656" s="2932"/>
      <c r="D656" s="2933" t="s">
        <v>2493</v>
      </c>
      <c r="E656" s="2940">
        <v>90</v>
      </c>
      <c r="F656" s="2930">
        <v>-60</v>
      </c>
      <c r="G656" s="2930">
        <v>10</v>
      </c>
      <c r="H656" s="2930">
        <v>8</v>
      </c>
      <c r="I656" s="2930" t="s">
        <v>1863</v>
      </c>
      <c r="J656" s="2930" t="s">
        <v>1809</v>
      </c>
      <c r="K656" s="2912" t="s">
        <v>8894</v>
      </c>
      <c r="L656" s="2930" t="str">
        <f t="shared" si="80"/>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a dos manos</v>
      </c>
      <c r="AJ656" s="2919">
        <f>IF($L656=AJ$627,COUNTIF($L$630:$L656,AJ$627)+1,0)</f>
        <v>0</v>
      </c>
      <c r="AK656" s="2916">
        <f>IF($L656=AK$627,COUNTIF($L$630:$L656,AK$627)+1,0)</f>
        <v>0</v>
      </c>
      <c r="AL656" s="2922">
        <f>IF($L656=AL$627,COUNTIF($L$630:$L656,AL$627)+1,0)</f>
        <v>27</v>
      </c>
    </row>
    <row r="657" spans="1:38" ht="12.75" customHeight="1" x14ac:dyDescent="0.2">
      <c r="A657" s="1928">
        <v>657</v>
      </c>
      <c r="B657" s="5108"/>
      <c r="C657" s="2932"/>
      <c r="D657" s="2933" t="s">
        <v>2495</v>
      </c>
      <c r="E657" s="2940">
        <v>55</v>
      </c>
      <c r="F657" s="2930">
        <v>-5</v>
      </c>
      <c r="G657" s="2930">
        <v>5</v>
      </c>
      <c r="H657" s="2930">
        <v>5</v>
      </c>
      <c r="I657" s="2930" t="s">
        <v>1863</v>
      </c>
      <c r="J657" s="2930" t="s">
        <v>1766</v>
      </c>
      <c r="K657" s="2912" t="s">
        <v>8890</v>
      </c>
      <c r="L657" s="2930" t="str">
        <f t="shared" si="80"/>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ancha</v>
      </c>
      <c r="AJ657" s="2919">
        <f>IF($L657=AJ$627,COUNTIF($L$630:$L657,AJ$627)+1,0)</f>
        <v>0</v>
      </c>
      <c r="AK657" s="2916">
        <f>IF($L657=AK$627,COUNTIF($L$630:$L657,AK$627)+1,0)</f>
        <v>0</v>
      </c>
      <c r="AL657" s="2922">
        <f>IF($L657=AL$627,COUNTIF($L$630:$L657,AL$627)+1,0)</f>
        <v>28</v>
      </c>
    </row>
    <row r="658" spans="1:38" ht="12.75" customHeight="1" x14ac:dyDescent="0.2">
      <c r="A658" s="1928">
        <v>658</v>
      </c>
      <c r="B658" s="5108"/>
      <c r="C658" s="2932"/>
      <c r="D658" s="2933" t="s">
        <v>2496</v>
      </c>
      <c r="E658" s="2940">
        <v>70</v>
      </c>
      <c r="F658" s="2930">
        <v>-30</v>
      </c>
      <c r="G658" s="2930">
        <v>7</v>
      </c>
      <c r="H658" s="2930">
        <v>7</v>
      </c>
      <c r="I658" s="2930" t="s">
        <v>1863</v>
      </c>
      <c r="J658" s="2930" t="s">
        <v>1809</v>
      </c>
      <c r="K658" s="2912" t="s">
        <v>8895</v>
      </c>
      <c r="L658" s="2930" t="str">
        <f t="shared" si="80"/>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Espada bastarda</v>
      </c>
      <c r="AJ658" s="2919">
        <f>IF($L658=AJ$627,COUNTIF($L$630:$L658,AJ$627)+1,0)</f>
        <v>0</v>
      </c>
      <c r="AK658" s="2916">
        <f>IF($L658=AK$627,COUNTIF($L$630:$L658,AK$627)+1,0)</f>
        <v>0</v>
      </c>
      <c r="AL658" s="2922">
        <f>IF($L658=AL$627,COUNTIF($L$630:$L658,AL$627)+1,0)</f>
        <v>29</v>
      </c>
    </row>
    <row r="659" spans="1:38" ht="12.75" customHeight="1" x14ac:dyDescent="0.2">
      <c r="A659" s="1928">
        <v>659</v>
      </c>
      <c r="B659" s="5108"/>
      <c r="C659" s="2932"/>
      <c r="D659" s="2933" t="s">
        <v>2497</v>
      </c>
      <c r="E659" s="2940">
        <v>40</v>
      </c>
      <c r="F659" s="2930">
        <v>15</v>
      </c>
      <c r="G659" s="2930">
        <v>4</v>
      </c>
      <c r="H659" s="2930">
        <v>4</v>
      </c>
      <c r="I659" s="2930" t="s">
        <v>1864</v>
      </c>
      <c r="J659" s="2930" t="s">
        <v>1863</v>
      </c>
      <c r="K659" s="2912" t="s">
        <v>8892</v>
      </c>
      <c r="L659" s="2930" t="str">
        <f t="shared" si="80"/>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Espada corta</v>
      </c>
      <c r="AJ659" s="2919">
        <f>IF($L659=AJ$627,COUNTIF($L$630:$L659,AJ$627)+1,0)</f>
        <v>0</v>
      </c>
      <c r="AK659" s="2916">
        <f>IF($L659=AK$627,COUNTIF($L$630:$L659,AK$627)+1,0)</f>
        <v>0</v>
      </c>
      <c r="AL659" s="2922">
        <f>IF($L659=AL$627,COUNTIF($L$630:$L659,AL$627)+1,0)</f>
        <v>30</v>
      </c>
    </row>
    <row r="660" spans="1:38" ht="12.75" customHeight="1" x14ac:dyDescent="0.2">
      <c r="A660" s="1928">
        <v>660</v>
      </c>
      <c r="B660" s="5108"/>
      <c r="C660" s="2932"/>
      <c r="D660" s="2933" t="s">
        <v>2499</v>
      </c>
      <c r="E660" s="2940">
        <v>50</v>
      </c>
      <c r="F660" s="2930">
        <v>0</v>
      </c>
      <c r="G660" s="2930">
        <v>6</v>
      </c>
      <c r="H660" s="2930">
        <v>6</v>
      </c>
      <c r="I660" s="2930" t="s">
        <v>1863</v>
      </c>
      <c r="J660" s="2930" t="s">
        <v>1766</v>
      </c>
      <c r="K660" s="2912" t="s">
        <v>8890</v>
      </c>
      <c r="L660" s="2930" t="str">
        <f t="shared" si="80"/>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Espada larga</v>
      </c>
      <c r="AJ660" s="2919">
        <f>IF($L660=AJ$627,COUNTIF($L$630:$L660,AJ$627)+1,0)</f>
        <v>0</v>
      </c>
      <c r="AK660" s="2916">
        <f>IF($L660=AK$627,COUNTIF($L$630:$L660,AK$627)+1,0)</f>
        <v>0</v>
      </c>
      <c r="AL660" s="2922">
        <f>IF($L660=AL$627,COUNTIF($L$630:$L660,AL$627)+1,0)</f>
        <v>31</v>
      </c>
    </row>
    <row r="661" spans="1:38" ht="12.75" customHeight="1" x14ac:dyDescent="0.2">
      <c r="A661" s="1928">
        <v>661</v>
      </c>
      <c r="B661" s="5108"/>
      <c r="C661" s="2932"/>
      <c r="D661" s="2933" t="s">
        <v>2500</v>
      </c>
      <c r="E661" s="2940">
        <v>25</v>
      </c>
      <c r="F661" s="2930">
        <v>20</v>
      </c>
      <c r="G661" s="2930">
        <v>3</v>
      </c>
      <c r="H661" s="2930">
        <v>3</v>
      </c>
      <c r="I661" s="2930" t="s">
        <v>1864</v>
      </c>
      <c r="J661" s="2930" t="s">
        <v>1766</v>
      </c>
      <c r="K661" s="2912" t="s">
        <v>8892</v>
      </c>
      <c r="L661" s="2930" t="str">
        <f t="shared" si="80"/>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Estilete</v>
      </c>
      <c r="AJ661" s="2919">
        <f>IF($L661=AJ$627,COUNTIF($L$630:$L661,AJ$627)+1,0)</f>
        <v>0</v>
      </c>
      <c r="AK661" s="2916">
        <f>IF($L661=AK$627,COUNTIF($L$630:$L661,AK$627)+1,0)</f>
        <v>0</v>
      </c>
      <c r="AL661" s="2922">
        <f>IF($L661=AL$627,COUNTIF($L$630:$L661,AL$627)+1,0)</f>
        <v>32</v>
      </c>
    </row>
    <row r="662" spans="1:38" ht="12.75" customHeight="1" x14ac:dyDescent="0.2">
      <c r="A662" s="1928">
        <v>662</v>
      </c>
      <c r="B662" s="5108"/>
      <c r="C662" s="2932"/>
      <c r="D662" s="2933" t="s">
        <v>2502</v>
      </c>
      <c r="E662" s="2940">
        <v>40</v>
      </c>
      <c r="F662" s="2930">
        <v>15</v>
      </c>
      <c r="G662" s="2930">
        <v>4</v>
      </c>
      <c r="H662" s="2930">
        <v>4</v>
      </c>
      <c r="I662" s="2930" t="s">
        <v>1864</v>
      </c>
      <c r="J662" s="2930" t="s">
        <v>1863</v>
      </c>
      <c r="K662" s="2912" t="s">
        <v>8890</v>
      </c>
      <c r="L662" s="2930" t="str">
        <f t="shared" si="80"/>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1">IF(ISNA(INDEX(Lista_Armas,MATCH($A33,AJ$630:AJ$766,0))),"",INDEX(Lista_Armas,MATCH($A33,AJ$630:AJ$766,0)))</f>
        <v/>
      </c>
      <c r="AH662" s="2013" t="str">
        <f t="shared" ref="AH662:AH693" si="82">IF(ISNA(INDEX(Lista_Armas,MATCH($A33,AK$630:AK$766,0))),"",INDEX(Lista_Armas,MATCH($A33,AK$630:AK$766,0)))</f>
        <v/>
      </c>
      <c r="AI662" s="2013" t="str">
        <f t="shared" ref="AI662:AI693" si="83">IF(ISNA(INDEX(Lista_Armas,MATCH($A33,AL$630:AL$766,0))),"",INDEX(Lista_Armas,MATCH($A33,AL$630:AL$766,0)))</f>
        <v>Estoque</v>
      </c>
      <c r="AJ662" s="2919">
        <f>IF($L662=AJ$627,COUNTIF($L$630:$L662,AJ$627)+1,0)</f>
        <v>0</v>
      </c>
      <c r="AK662" s="2916">
        <f>IF($L662=AK$627,COUNTIF($L$630:$L662,AK$627)+1,0)</f>
        <v>0</v>
      </c>
      <c r="AL662" s="2922">
        <f>IF($L662=AL$627,COUNTIF($L$630:$L662,AL$627)+1,0)</f>
        <v>33</v>
      </c>
    </row>
    <row r="663" spans="1:38" ht="12.75" customHeight="1" x14ac:dyDescent="0.2">
      <c r="A663" s="1928">
        <v>663</v>
      </c>
      <c r="B663" s="5108"/>
      <c r="C663" s="2932"/>
      <c r="D663" s="2933" t="s">
        <v>8581</v>
      </c>
      <c r="E663" s="2940">
        <v>60</v>
      </c>
      <c r="F663" s="2930">
        <v>-10</v>
      </c>
      <c r="G663" s="2930">
        <v>7</v>
      </c>
      <c r="H663" s="2930">
        <v>7</v>
      </c>
      <c r="I663" s="2930" t="s">
        <v>1863</v>
      </c>
      <c r="J663" s="2930" t="s">
        <v>1766</v>
      </c>
      <c r="K663" s="2912" t="s">
        <v>8896</v>
      </c>
      <c r="L663" s="2930" t="str">
        <f t="shared" si="80"/>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1"/>
        <v/>
      </c>
      <c r="AH663" s="2013" t="str">
        <f t="shared" si="82"/>
        <v/>
      </c>
      <c r="AI663" s="2013" t="str">
        <f t="shared" si="83"/>
        <v>Falcata</v>
      </c>
      <c r="AJ663" s="2919">
        <f>IF($L663=AJ$627,COUNTIF($L$630:$L663,AJ$627)+1,0)</f>
        <v>0</v>
      </c>
      <c r="AK663" s="2916">
        <f>IF($L663=AK$627,COUNTIF($L$630:$L663,AK$627)+1,0)</f>
        <v>0</v>
      </c>
      <c r="AL663" s="2922">
        <f>IF($L663=AL$627,COUNTIF($L$630:$L663,AL$627)+1,0)</f>
        <v>34</v>
      </c>
    </row>
    <row r="664" spans="1:38" ht="12.75" customHeight="1" x14ac:dyDescent="0.2">
      <c r="A664" s="1928">
        <v>664</v>
      </c>
      <c r="B664" s="5108"/>
      <c r="C664" s="2932"/>
      <c r="D664" s="2933" t="s">
        <v>2503</v>
      </c>
      <c r="E664" s="2940">
        <v>35</v>
      </c>
      <c r="F664" s="2930">
        <v>15</v>
      </c>
      <c r="G664" s="2930">
        <v>3</v>
      </c>
      <c r="H664" s="2930">
        <v>3</v>
      </c>
      <c r="I664" s="2930" t="s">
        <v>1864</v>
      </c>
      <c r="J664" s="2930" t="s">
        <v>1766</v>
      </c>
      <c r="K664" s="2912" t="s">
        <v>8897</v>
      </c>
      <c r="L664" s="2930" t="str">
        <f t="shared" si="80"/>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1"/>
        <v/>
      </c>
      <c r="AH664" s="2013" t="str">
        <f t="shared" si="82"/>
        <v/>
      </c>
      <c r="AI664" s="2013" t="str">
        <f t="shared" si="83"/>
        <v>Florete</v>
      </c>
      <c r="AJ664" s="2919">
        <f>IF($L664=AJ$627,COUNTIF($L$630:$L664,AJ$627)+1,0)</f>
        <v>0</v>
      </c>
      <c r="AK664" s="2916">
        <f>IF($L664=AK$627,COUNTIF($L$630:$L664,AK$627)+1,0)</f>
        <v>0</v>
      </c>
      <c r="AL664" s="2922">
        <f>IF($L664=AL$627,COUNTIF($L$630:$L664,AL$627)+1,0)</f>
        <v>35</v>
      </c>
    </row>
    <row r="665" spans="1:38" ht="12.75" customHeight="1" x14ac:dyDescent="0.2">
      <c r="A665" s="1928">
        <v>665</v>
      </c>
      <c r="B665" s="5108"/>
      <c r="C665" s="2932"/>
      <c r="D665" s="2933" t="s">
        <v>2504</v>
      </c>
      <c r="E665" s="2940">
        <v>30</v>
      </c>
      <c r="F665" s="2930">
        <v>10</v>
      </c>
      <c r="G665" s="2930">
        <v>3</v>
      </c>
      <c r="H665" s="2930">
        <v>3</v>
      </c>
      <c r="I665" s="2930" t="s">
        <v>1864</v>
      </c>
      <c r="J665" s="2930" t="s">
        <v>1766</v>
      </c>
      <c r="K665" s="2912" t="s">
        <v>8892</v>
      </c>
      <c r="L665" s="2930" t="str">
        <f t="shared" si="80"/>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1"/>
        <v/>
      </c>
      <c r="AH665" s="2013" t="str">
        <f t="shared" si="82"/>
        <v/>
      </c>
      <c r="AI665" s="2013" t="str">
        <f t="shared" si="83"/>
        <v>Garfio</v>
      </c>
      <c r="AJ665" s="2919">
        <f>IF($L665=AJ$627,COUNTIF($L$630:$L665,AJ$627)+1,0)</f>
        <v>0</v>
      </c>
      <c r="AK665" s="2916">
        <f>IF($L665=AK$627,COUNTIF($L$630:$L665,AK$627)+1,0)</f>
        <v>0</v>
      </c>
      <c r="AL665" s="2922">
        <f>IF($L665=AL$627,COUNTIF($L$630:$L665,AL$627)+1,0)</f>
        <v>36</v>
      </c>
    </row>
    <row r="666" spans="1:38" ht="12.75" customHeight="1" x14ac:dyDescent="0.2">
      <c r="A666" s="1928">
        <v>666</v>
      </c>
      <c r="B666" s="5108"/>
      <c r="C666" s="2932"/>
      <c r="D666" s="2933" t="s">
        <v>2505</v>
      </c>
      <c r="E666" s="2940">
        <v>30</v>
      </c>
      <c r="F666" s="2930">
        <v>0</v>
      </c>
      <c r="G666" s="2930">
        <v>5</v>
      </c>
      <c r="H666" s="2930">
        <v>5</v>
      </c>
      <c r="I666" s="2930" t="s">
        <v>1809</v>
      </c>
      <c r="J666" s="2930" t="s">
        <v>1766</v>
      </c>
      <c r="K666" s="2912" t="s">
        <v>8893</v>
      </c>
      <c r="L666" s="2930" t="str">
        <f t="shared" si="80"/>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1"/>
        <v/>
      </c>
      <c r="AH666" s="2013" t="str">
        <f t="shared" si="82"/>
        <v/>
      </c>
      <c r="AI666" s="2013" t="str">
        <f t="shared" si="83"/>
        <v>Garrote</v>
      </c>
      <c r="AJ666" s="2919">
        <f>IF($L666=AJ$627,COUNTIF($L$630:$L666,AJ$627)+1,0)</f>
        <v>0</v>
      </c>
      <c r="AK666" s="2916">
        <f>IF($L666=AK$627,COUNTIF($L$630:$L666,AK$627)+1,0)</f>
        <v>0</v>
      </c>
      <c r="AL666" s="2922">
        <f>IF($L666=AL$627,COUNTIF($L$630:$L666,AL$627)+1,0)</f>
        <v>37</v>
      </c>
    </row>
    <row r="667" spans="1:38" ht="12.75" customHeight="1" x14ac:dyDescent="0.2">
      <c r="A667" s="1928">
        <v>667</v>
      </c>
      <c r="B667" s="5108"/>
      <c r="C667" s="2932"/>
      <c r="D667" s="2933" t="s">
        <v>8567</v>
      </c>
      <c r="E667" s="2940">
        <v>40</v>
      </c>
      <c r="F667" s="2930">
        <v>0</v>
      </c>
      <c r="G667" s="2930">
        <v>6</v>
      </c>
      <c r="H667" s="2930">
        <v>7</v>
      </c>
      <c r="I667" s="2930" t="s">
        <v>1864</v>
      </c>
      <c r="J667" s="2930" t="s">
        <v>1863</v>
      </c>
      <c r="K667" s="2912" t="s">
        <v>8887</v>
      </c>
      <c r="L667" s="2930" t="str">
        <f t="shared" si="80"/>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4">IF(AND(K667&lt;&gt;"Natural/-",ISNUMBER(SEARCH(D667,Armas_Conocidas))),", "&amp;K667,"")</f>
        <v/>
      </c>
      <c r="AB667" s="2234" t="s">
        <v>2511</v>
      </c>
      <c r="AC667" s="19" t="s">
        <v>8582</v>
      </c>
      <c r="AD667" s="19"/>
      <c r="AE667" s="2631"/>
      <c r="AG667" s="2234" t="str">
        <f t="shared" si="81"/>
        <v/>
      </c>
      <c r="AH667" s="2013" t="str">
        <f t="shared" si="82"/>
        <v/>
      </c>
      <c r="AI667" s="2013" t="str">
        <f t="shared" si="83"/>
        <v>Glavius</v>
      </c>
      <c r="AJ667" s="2919">
        <f>IF($L667=AJ$627,COUNTIF($L$630:$L667,AJ$627)+1,0)</f>
        <v>0</v>
      </c>
      <c r="AK667" s="2916">
        <f>IF($L667=AK$627,COUNTIF($L$630:$L667,AK$627)+1,0)</f>
        <v>0</v>
      </c>
      <c r="AL667" s="2922">
        <f>IF($L667=AL$627,COUNTIF($L$630:$L667,AL$627)+1,0)</f>
        <v>38</v>
      </c>
    </row>
    <row r="668" spans="1:38" ht="12.75" customHeight="1" x14ac:dyDescent="0.2">
      <c r="A668" s="1928">
        <v>668</v>
      </c>
      <c r="B668" s="5108"/>
      <c r="C668" s="2932"/>
      <c r="D668" s="2933" t="s">
        <v>8568</v>
      </c>
      <c r="E668" s="2940">
        <v>35</v>
      </c>
      <c r="F668" s="2930">
        <v>5</v>
      </c>
      <c r="G668" s="2930">
        <v>4</v>
      </c>
      <c r="H668" s="2930">
        <v>6</v>
      </c>
      <c r="I668" s="2930" t="s">
        <v>1864</v>
      </c>
      <c r="J668" s="2930" t="s">
        <v>1809</v>
      </c>
      <c r="K668" s="2912" t="s">
        <v>8887</v>
      </c>
      <c r="L668" s="293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4"/>
        <v/>
      </c>
      <c r="AB668" s="2234" t="s">
        <v>2513</v>
      </c>
      <c r="AC668" s="19" t="s">
        <v>8583</v>
      </c>
      <c r="AD668" s="19"/>
      <c r="AE668" s="2631"/>
      <c r="AG668" s="2234" t="str">
        <f t="shared" si="81"/>
        <v/>
      </c>
      <c r="AH668" s="2013" t="str">
        <f t="shared" si="82"/>
        <v/>
      </c>
      <c r="AI668" s="2013" t="str">
        <f t="shared" si="83"/>
        <v>Goedendag</v>
      </c>
      <c r="AJ668" s="2919">
        <f>IF($L668=AJ$627,COUNTIF($L$630:$L668,AJ$627)+1,0)</f>
        <v>0</v>
      </c>
      <c r="AK668" s="2916">
        <f>IF($L668=AK$627,COUNTIF($L$630:$L668,AK$627)+1,0)</f>
        <v>0</v>
      </c>
      <c r="AL668" s="2922">
        <f>IF($L668=AL$627,COUNTIF($L$630:$L668,AL$627)+1,0)</f>
        <v>39</v>
      </c>
    </row>
    <row r="669" spans="1:38" ht="12.75" customHeight="1" x14ac:dyDescent="0.2">
      <c r="A669" s="1928">
        <v>669</v>
      </c>
      <c r="B669" s="5108"/>
      <c r="C669" s="2932"/>
      <c r="D669" s="2933" t="s">
        <v>8570</v>
      </c>
      <c r="E669" s="2940">
        <v>65</v>
      </c>
      <c r="F669" s="2930">
        <v>-20</v>
      </c>
      <c r="G669" s="2930">
        <v>6</v>
      </c>
      <c r="H669" s="2930">
        <v>9</v>
      </c>
      <c r="I669" s="2930" t="s">
        <v>1863</v>
      </c>
      <c r="J669" s="2930" t="s">
        <v>1766</v>
      </c>
      <c r="K669" s="2912" t="s">
        <v>8894</v>
      </c>
      <c r="L669" s="2930" t="str">
        <f t="shared" si="85"/>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4"/>
        <v/>
      </c>
      <c r="AB669" s="2234" t="s">
        <v>8586</v>
      </c>
      <c r="AC669" s="19" t="s">
        <v>8585</v>
      </c>
      <c r="AD669" s="19"/>
      <c r="AE669" s="2631"/>
      <c r="AG669" s="2234" t="str">
        <f t="shared" si="81"/>
        <v/>
      </c>
      <c r="AH669" s="2013" t="str">
        <f t="shared" si="82"/>
        <v/>
      </c>
      <c r="AI669" s="2013" t="str">
        <f t="shared" si="83"/>
        <v>Gosse Messer</v>
      </c>
      <c r="AJ669" s="2919">
        <f>IF($L669=AJ$627,COUNTIF($L$630:$L669,AJ$627)+1,0)</f>
        <v>0</v>
      </c>
      <c r="AK669" s="2916">
        <f>IF($L669=AK$627,COUNTIF($L$630:$L669,AK$627)+1,0)</f>
        <v>0</v>
      </c>
      <c r="AL669" s="2922">
        <f>IF($L669=AL$627,COUNTIF($L$630:$L669,AL$627)+1,0)</f>
        <v>40</v>
      </c>
    </row>
    <row r="670" spans="1:38" ht="12.75" customHeight="1" x14ac:dyDescent="0.2">
      <c r="A670" s="1928">
        <v>670</v>
      </c>
      <c r="B670" s="5108"/>
      <c r="C670" s="2932"/>
      <c r="D670" s="2933" t="s">
        <v>2507</v>
      </c>
      <c r="E670" s="2940">
        <v>70</v>
      </c>
      <c r="F670" s="2930">
        <v>-35</v>
      </c>
      <c r="G670" s="2930">
        <v>10</v>
      </c>
      <c r="H670" s="2930">
        <v>7</v>
      </c>
      <c r="I670" s="2930" t="s">
        <v>1809</v>
      </c>
      <c r="J670" s="2930" t="s">
        <v>1766</v>
      </c>
      <c r="K670" s="2912" t="s">
        <v>8893</v>
      </c>
      <c r="L670" s="2930" t="str">
        <f t="shared" si="85"/>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4"/>
        <v/>
      </c>
      <c r="AB670" s="2234" t="s">
        <v>2515</v>
      </c>
      <c r="AC670" s="19" t="s">
        <v>8587</v>
      </c>
      <c r="AD670" s="19"/>
      <c r="AE670" s="2631"/>
      <c r="AG670" s="2234" t="str">
        <f t="shared" si="81"/>
        <v/>
      </c>
      <c r="AH670" s="2013" t="str">
        <f t="shared" si="82"/>
        <v/>
      </c>
      <c r="AI670" s="2013" t="str">
        <f t="shared" si="83"/>
        <v>Gran martillo guerra</v>
      </c>
      <c r="AJ670" s="2919">
        <f>IF($L670=AJ$627,COUNTIF($L$630:$L670,AJ$627)+1,0)</f>
        <v>0</v>
      </c>
      <c r="AK670" s="2916">
        <f>IF($L670=AK$627,COUNTIF($L$630:$L670,AK$627)+1,0)</f>
        <v>0</v>
      </c>
      <c r="AL670" s="2922">
        <f>IF($L670=AL$627,COUNTIF($L$630:$L670,AL$627)+1,0)</f>
        <v>41</v>
      </c>
    </row>
    <row r="671" spans="1:38" ht="12.75" customHeight="1" x14ac:dyDescent="0.2">
      <c r="A671" s="1928">
        <v>671</v>
      </c>
      <c r="B671" s="5108"/>
      <c r="C671" s="2932"/>
      <c r="D671" s="2933" t="s">
        <v>2508</v>
      </c>
      <c r="E671" s="2940">
        <v>35</v>
      </c>
      <c r="F671" s="2930">
        <v>0</v>
      </c>
      <c r="G671" s="2930">
        <v>9</v>
      </c>
      <c r="H671" s="2930">
        <v>5</v>
      </c>
      <c r="I671" s="2930" t="s">
        <v>1863</v>
      </c>
      <c r="J671" s="2930" t="s">
        <v>1809</v>
      </c>
      <c r="K671" s="2912" t="s">
        <v>8886</v>
      </c>
      <c r="L671" s="2930" t="str">
        <f t="shared" si="85"/>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4"/>
        <v/>
      </c>
      <c r="AB671" s="2234" t="s">
        <v>8589</v>
      </c>
      <c r="AC671" s="19" t="s">
        <v>8588</v>
      </c>
      <c r="AD671" s="19"/>
      <c r="AE671" s="2631"/>
      <c r="AG671" s="2234" t="str">
        <f t="shared" si="81"/>
        <v/>
      </c>
      <c r="AH671" s="2013" t="str">
        <f t="shared" si="82"/>
        <v/>
      </c>
      <c r="AI671" s="2013" t="str">
        <f t="shared" si="83"/>
        <v>Guadaña</v>
      </c>
      <c r="AJ671" s="2919">
        <f>IF($L671=AJ$627,COUNTIF($L$630:$L671,AJ$627)+1,0)</f>
        <v>0</v>
      </c>
      <c r="AK671" s="2916">
        <f>IF($L671=AK$627,COUNTIF($L$630:$L671,AK$627)+1,0)</f>
        <v>0</v>
      </c>
      <c r="AL671" s="2922">
        <f>IF($L671=AL$627,COUNTIF($L$630:$L671,AL$627)+1,0)</f>
        <v>42</v>
      </c>
    </row>
    <row r="672" spans="1:38" ht="12.75" customHeight="1" x14ac:dyDescent="0.2">
      <c r="A672" s="1928">
        <v>672</v>
      </c>
      <c r="B672" s="5108"/>
      <c r="C672" s="2932"/>
      <c r="D672" s="2933" t="s">
        <v>8572</v>
      </c>
      <c r="E672" s="2940">
        <v>65</v>
      </c>
      <c r="F672" s="2930">
        <v>-20</v>
      </c>
      <c r="G672" s="2930">
        <v>7</v>
      </c>
      <c r="H672" s="2930">
        <v>11</v>
      </c>
      <c r="I672" s="2930" t="s">
        <v>1863</v>
      </c>
      <c r="J672" s="2930" t="s">
        <v>1864</v>
      </c>
      <c r="K672" s="2912" t="s">
        <v>8887</v>
      </c>
      <c r="L672" s="2930" t="str">
        <f t="shared" si="85"/>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4"/>
        <v/>
      </c>
      <c r="AB672" s="2234" t="s">
        <v>8591</v>
      </c>
      <c r="AC672" s="19" t="s">
        <v>8590</v>
      </c>
      <c r="AD672" s="19"/>
      <c r="AE672" s="2631"/>
      <c r="AG672" s="2234" t="str">
        <f t="shared" si="81"/>
        <v/>
      </c>
      <c r="AH672" s="2013" t="str">
        <f t="shared" si="82"/>
        <v/>
      </c>
      <c r="AI672" s="2013" t="str">
        <f t="shared" si="83"/>
        <v>Guandao</v>
      </c>
      <c r="AJ672" s="2919">
        <f>IF($L672=AJ$627,COUNTIF($L$630:$L672,AJ$627)+1,0)</f>
        <v>0</v>
      </c>
      <c r="AK672" s="2916">
        <f>IF($L672=AK$627,COUNTIF($L$630:$L672,AK$627)+1,0)</f>
        <v>0</v>
      </c>
      <c r="AL672" s="2922">
        <f>IF($L672=AL$627,COUNTIF($L$630:$L672,AL$627)+1,0)</f>
        <v>43</v>
      </c>
    </row>
    <row r="673" spans="1:38" ht="12.75" customHeight="1" x14ac:dyDescent="0.2">
      <c r="A673" s="1928">
        <v>673</v>
      </c>
      <c r="B673" s="5108"/>
      <c r="C673" s="2932"/>
      <c r="D673" s="2933" t="s">
        <v>2509</v>
      </c>
      <c r="E673" s="2940">
        <v>100</v>
      </c>
      <c r="F673" s="2930">
        <v>-70</v>
      </c>
      <c r="G673" s="2930">
        <v>11</v>
      </c>
      <c r="H673" s="2930">
        <v>9</v>
      </c>
      <c r="I673" s="2930" t="s">
        <v>1863</v>
      </c>
      <c r="J673" s="2930" t="s">
        <v>1809</v>
      </c>
      <c r="K673" s="2912" t="s">
        <v>8898</v>
      </c>
      <c r="L673" s="2930" t="str">
        <f t="shared" si="85"/>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4"/>
        <v/>
      </c>
      <c r="AB673" s="2234" t="s">
        <v>8592</v>
      </c>
      <c r="AC673" s="19" t="s">
        <v>2607</v>
      </c>
      <c r="AD673" s="19"/>
      <c r="AE673" s="2631"/>
      <c r="AG673" s="2234" t="str">
        <f t="shared" si="81"/>
        <v/>
      </c>
      <c r="AH673" s="2013" t="str">
        <f t="shared" si="82"/>
        <v/>
      </c>
      <c r="AI673" s="2013" t="str">
        <f t="shared" si="83"/>
        <v>Hacha a dos manos</v>
      </c>
      <c r="AJ673" s="2919">
        <f>IF($L673=AJ$627,COUNTIF($L$630:$L673,AJ$627)+1,0)</f>
        <v>0</v>
      </c>
      <c r="AK673" s="2916">
        <f>IF($L673=AK$627,COUNTIF($L$630:$L673,AK$627)+1,0)</f>
        <v>0</v>
      </c>
      <c r="AL673" s="2922">
        <f>IF($L673=AL$627,COUNTIF($L$630:$L673,AL$627)+1,0)</f>
        <v>44</v>
      </c>
    </row>
    <row r="674" spans="1:38" ht="12.75" customHeight="1" x14ac:dyDescent="0.2">
      <c r="A674" s="1928">
        <v>674</v>
      </c>
      <c r="B674" s="5108"/>
      <c r="C674" s="2932"/>
      <c r="D674" s="2933" t="s">
        <v>2511</v>
      </c>
      <c r="E674" s="2940">
        <v>70</v>
      </c>
      <c r="F674" s="2930">
        <v>-30</v>
      </c>
      <c r="G674" s="2930">
        <v>7</v>
      </c>
      <c r="H674" s="2930">
        <v>7</v>
      </c>
      <c r="I674" s="2930" t="s">
        <v>1863</v>
      </c>
      <c r="J674" s="2930" t="s">
        <v>1809</v>
      </c>
      <c r="K674" s="2912" t="s">
        <v>8899</v>
      </c>
      <c r="L674" s="2930" t="str">
        <f t="shared" si="85"/>
        <v>Distinta</v>
      </c>
      <c r="M674" s="2941">
        <v>15</v>
      </c>
      <c r="N674" s="2941">
        <v>5</v>
      </c>
      <c r="O674" s="2941">
        <v>25</v>
      </c>
      <c r="P674" s="2930"/>
      <c r="Q674" s="2930"/>
      <c r="R674" s="2941">
        <v>100</v>
      </c>
      <c r="S674" s="2930" t="s">
        <v>1766</v>
      </c>
      <c r="T674" s="2941">
        <v>5</v>
      </c>
      <c r="U674" s="2930"/>
      <c r="V674" s="2912" t="s">
        <v>2512</v>
      </c>
      <c r="W674" s="2912"/>
      <c r="X674" s="2913"/>
      <c r="Z674" s="2661" t="str">
        <f t="shared" si="84"/>
        <v/>
      </c>
      <c r="AB674" s="2234" t="s">
        <v>8593</v>
      </c>
      <c r="AC674" s="19" t="s">
        <v>2612</v>
      </c>
      <c r="AD674" s="19"/>
      <c r="AE674" s="2631"/>
      <c r="AG674" s="2234" t="str">
        <f t="shared" si="81"/>
        <v/>
      </c>
      <c r="AH674" s="2013" t="str">
        <f t="shared" si="82"/>
        <v/>
      </c>
      <c r="AI674" s="2013" t="str">
        <f t="shared" si="83"/>
        <v>Hacha de guerra</v>
      </c>
      <c r="AJ674" s="2919">
        <f>IF($L674=AJ$627,COUNTIF($L$630:$L674,AJ$627)+1,0)</f>
        <v>0</v>
      </c>
      <c r="AK674" s="2916">
        <f>IF($L674=AK$627,COUNTIF($L$630:$L674,AK$627)+1,0)</f>
        <v>0</v>
      </c>
      <c r="AL674" s="2922">
        <f>IF($L674=AL$627,COUNTIF($L$630:$L674,AL$627)+1,0)</f>
        <v>45</v>
      </c>
    </row>
    <row r="675" spans="1:38" ht="12.75" customHeight="1" x14ac:dyDescent="0.2">
      <c r="A675" s="1928">
        <v>675</v>
      </c>
      <c r="B675" s="5108"/>
      <c r="C675" s="2932"/>
      <c r="D675" s="2933" t="s">
        <v>2513</v>
      </c>
      <c r="E675" s="2940">
        <v>45</v>
      </c>
      <c r="F675" s="2930">
        <v>0</v>
      </c>
      <c r="G675" s="2930">
        <v>5</v>
      </c>
      <c r="H675" s="2930">
        <v>5</v>
      </c>
      <c r="I675" s="2930" t="s">
        <v>1863</v>
      </c>
      <c r="J675" s="2930" t="s">
        <v>1766</v>
      </c>
      <c r="K675" s="2912" t="s">
        <v>8899</v>
      </c>
      <c r="L675" s="2930" t="str">
        <f t="shared" si="85"/>
        <v>Distinta</v>
      </c>
      <c r="M675" s="2941">
        <v>13</v>
      </c>
      <c r="N675" s="2941">
        <v>4</v>
      </c>
      <c r="O675" s="2941">
        <v>15</v>
      </c>
      <c r="P675" s="2930"/>
      <c r="Q675" s="2930"/>
      <c r="R675" s="2941">
        <v>80</v>
      </c>
      <c r="S675" s="2930" t="s">
        <v>1766</v>
      </c>
      <c r="T675" s="2941">
        <v>10</v>
      </c>
      <c r="U675" s="2930"/>
      <c r="V675" s="2912" t="s">
        <v>2514</v>
      </c>
      <c r="W675" s="2912"/>
      <c r="X675" s="2913"/>
      <c r="Z675" s="2661" t="str">
        <f t="shared" si="84"/>
        <v/>
      </c>
      <c r="AB675" s="2234" t="s">
        <v>2517</v>
      </c>
      <c r="AC675" s="19" t="s">
        <v>2614</v>
      </c>
      <c r="AD675" s="19"/>
      <c r="AE675" s="2631"/>
      <c r="AG675" s="2234" t="str">
        <f t="shared" si="81"/>
        <v/>
      </c>
      <c r="AH675" s="2013" t="str">
        <f t="shared" si="82"/>
        <v/>
      </c>
      <c r="AI675" s="2013" t="str">
        <f t="shared" si="83"/>
        <v>Hacha de mano</v>
      </c>
      <c r="AJ675" s="2919">
        <f>IF($L675=AJ$627,COUNTIF($L$630:$L675,AJ$627)+1,0)</f>
        <v>0</v>
      </c>
      <c r="AK675" s="2916">
        <f>IF($L675=AK$627,COUNTIF($L$630:$L675,AK$627)+1,0)</f>
        <v>0</v>
      </c>
      <c r="AL675" s="2922">
        <f>IF($L675=AL$627,COUNTIF($L$630:$L675,AL$627)+1,0)</f>
        <v>46</v>
      </c>
    </row>
    <row r="676" spans="1:38" ht="12.75" customHeight="1" x14ac:dyDescent="0.2">
      <c r="A676" s="1928">
        <v>676</v>
      </c>
      <c r="B676" s="5108"/>
      <c r="C676" s="2932"/>
      <c r="D676" s="2933" t="s">
        <v>8586</v>
      </c>
      <c r="E676" s="2940">
        <v>30</v>
      </c>
      <c r="F676" s="2930">
        <v>15</v>
      </c>
      <c r="G676" s="2930">
        <v>5</v>
      </c>
      <c r="H676" s="2930">
        <v>5</v>
      </c>
      <c r="I676" s="2930" t="s">
        <v>1863</v>
      </c>
      <c r="J676" s="2930" t="s">
        <v>1809</v>
      </c>
      <c r="K676" s="2912" t="s">
        <v>8892</v>
      </c>
      <c r="L676" s="2930" t="str">
        <f t="shared" si="85"/>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4"/>
        <v/>
      </c>
      <c r="AB676" s="2234" t="s">
        <v>2519</v>
      </c>
      <c r="AC676" s="19" t="s">
        <v>2616</v>
      </c>
      <c r="AD676" s="19"/>
      <c r="AE676" s="2631"/>
      <c r="AG676" s="2234" t="str">
        <f t="shared" si="81"/>
        <v/>
      </c>
      <c r="AH676" s="2013" t="str">
        <f t="shared" si="82"/>
        <v/>
      </c>
      <c r="AI676" s="2013" t="str">
        <f t="shared" si="83"/>
        <v>Hu Die Dao</v>
      </c>
      <c r="AJ676" s="2919">
        <f>IF($L676=AJ$627,COUNTIF($L$630:$L676,AJ$627)+1,0)</f>
        <v>0</v>
      </c>
      <c r="AK676" s="2916">
        <f>IF($L676=AK$627,COUNTIF($L$630:$L676,AK$627)+1,0)</f>
        <v>0</v>
      </c>
      <c r="AL676" s="2922">
        <f>IF($L676=AL$627,COUNTIF($L$630:$L676,AL$627)+1,0)</f>
        <v>47</v>
      </c>
    </row>
    <row r="677" spans="1:38" ht="12.75" customHeight="1" x14ac:dyDescent="0.2">
      <c r="A677" s="1928">
        <v>677</v>
      </c>
      <c r="B677" s="5108"/>
      <c r="C677" s="2932"/>
      <c r="D677" s="2933" t="s">
        <v>2515</v>
      </c>
      <c r="E677" s="2940">
        <v>35</v>
      </c>
      <c r="F677" s="2930">
        <v>5</v>
      </c>
      <c r="G677" s="2930">
        <v>4</v>
      </c>
      <c r="H677" s="2930">
        <v>4</v>
      </c>
      <c r="I677" s="2930" t="s">
        <v>1864</v>
      </c>
      <c r="J677" s="2930" t="s">
        <v>1766</v>
      </c>
      <c r="K677" s="2912" t="s">
        <v>8887</v>
      </c>
      <c r="L677" s="2930" t="str">
        <f t="shared" si="85"/>
        <v>Distinta</v>
      </c>
      <c r="M677" s="2941">
        <v>10</v>
      </c>
      <c r="N677" s="2941">
        <v>-2</v>
      </c>
      <c r="O677" s="2941">
        <v>20</v>
      </c>
      <c r="P677" s="2930"/>
      <c r="Q677" s="2930"/>
      <c r="R677" s="2941">
        <v>100</v>
      </c>
      <c r="S677" s="2930" t="s">
        <v>1766</v>
      </c>
      <c r="T677" s="2941">
        <v>30</v>
      </c>
      <c r="U677" s="2930"/>
      <c r="V677" s="2912" t="s">
        <v>2516</v>
      </c>
      <c r="W677" s="2912"/>
      <c r="X677" s="2913"/>
      <c r="Z677" s="2661" t="str">
        <f t="shared" si="84"/>
        <v/>
      </c>
      <c r="AB677" s="2234" t="s">
        <v>2521</v>
      </c>
      <c r="AC677" s="19" t="s">
        <v>2617</v>
      </c>
      <c r="AD677" s="19"/>
      <c r="AE677" s="2631"/>
      <c r="AG677" s="2234" t="str">
        <f t="shared" si="81"/>
        <v/>
      </c>
      <c r="AH677" s="2013" t="str">
        <f t="shared" si="82"/>
        <v/>
      </c>
      <c r="AI677" s="2013" t="str">
        <f t="shared" si="83"/>
        <v>Jabalina</v>
      </c>
      <c r="AJ677" s="2919">
        <f>IF($L677=AJ$627,COUNTIF($L$630:$L677,AJ$627)+1,0)</f>
        <v>0</v>
      </c>
      <c r="AK677" s="2916">
        <f>IF($L677=AK$627,COUNTIF($L$630:$L677,AK$627)+1,0)</f>
        <v>0</v>
      </c>
      <c r="AL677" s="2922">
        <f>IF($L677=AL$627,COUNTIF($L$630:$L677,AL$627)+1,0)</f>
        <v>48</v>
      </c>
    </row>
    <row r="678" spans="1:38" ht="12.75" customHeight="1" x14ac:dyDescent="0.2">
      <c r="A678" s="1928">
        <v>678</v>
      </c>
      <c r="B678" s="5108"/>
      <c r="C678" s="2932"/>
      <c r="D678" s="2933" t="s">
        <v>8589</v>
      </c>
      <c r="E678" s="2940">
        <v>45</v>
      </c>
      <c r="F678" s="2930">
        <v>10</v>
      </c>
      <c r="G678" s="2930">
        <v>5</v>
      </c>
      <c r="H678" s="2930">
        <v>5</v>
      </c>
      <c r="I678" s="2930" t="s">
        <v>1863</v>
      </c>
      <c r="J678" s="2930" t="s">
        <v>1766</v>
      </c>
      <c r="K678" s="2912" t="s">
        <v>8892</v>
      </c>
      <c r="L678" s="2930" t="str">
        <f t="shared" si="85"/>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4"/>
        <v/>
      </c>
      <c r="AB678" s="2234" t="s">
        <v>2523</v>
      </c>
      <c r="AC678" s="19" t="s">
        <v>2619</v>
      </c>
      <c r="AD678" s="19"/>
      <c r="AE678" s="2631"/>
      <c r="AG678" s="2234" t="str">
        <f t="shared" si="81"/>
        <v/>
      </c>
      <c r="AH678" s="2013" t="str">
        <f t="shared" si="82"/>
        <v/>
      </c>
      <c r="AI678" s="2013" t="str">
        <f t="shared" si="83"/>
        <v>Katzbalger</v>
      </c>
      <c r="AJ678" s="2919">
        <f>IF($L678=AJ$627,COUNTIF($L$630:$L678,AJ$627)+1,0)</f>
        <v>0</v>
      </c>
      <c r="AK678" s="2916">
        <f>IF($L678=AK$627,COUNTIF($L$630:$L678,AK$627)+1,0)</f>
        <v>0</v>
      </c>
      <c r="AL678" s="2922">
        <f>IF($L678=AL$627,COUNTIF($L$630:$L678,AL$627)+1,0)</f>
        <v>49</v>
      </c>
    </row>
    <row r="679" spans="1:38" ht="12.75" customHeight="1" x14ac:dyDescent="0.2">
      <c r="A679" s="1928">
        <v>679</v>
      </c>
      <c r="B679" s="5108"/>
      <c r="C679" s="2932"/>
      <c r="D679" s="2933" t="s">
        <v>8591</v>
      </c>
      <c r="E679" s="2940">
        <v>25</v>
      </c>
      <c r="F679" s="2930">
        <v>20</v>
      </c>
      <c r="G679" s="2930">
        <v>4</v>
      </c>
      <c r="H679" s="2930">
        <v>4</v>
      </c>
      <c r="I679" s="2930" t="s">
        <v>1863</v>
      </c>
      <c r="J679" s="2930" t="s">
        <v>1809</v>
      </c>
      <c r="K679" s="2912" t="s">
        <v>8892</v>
      </c>
      <c r="L679" s="2930" t="str">
        <f t="shared" si="85"/>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4"/>
        <v/>
      </c>
      <c r="AB679" s="2234" t="s">
        <v>8594</v>
      </c>
      <c r="AC679" s="19" t="s">
        <v>2620</v>
      </c>
      <c r="AD679" s="19"/>
      <c r="AE679" s="2631"/>
      <c r="AG679" s="2234" t="str">
        <f t="shared" si="81"/>
        <v/>
      </c>
      <c r="AH679" s="2013" t="str">
        <f t="shared" si="82"/>
        <v/>
      </c>
      <c r="AI679" s="2013" t="str">
        <f t="shared" si="83"/>
        <v>Kerambit</v>
      </c>
      <c r="AJ679" s="2919">
        <f>IF($L679=AJ$627,COUNTIF($L$630:$L679,AJ$627)+1,0)</f>
        <v>0</v>
      </c>
      <c r="AK679" s="2916">
        <f>IF($L679=AK$627,COUNTIF($L$630:$L679,AK$627)+1,0)</f>
        <v>0</v>
      </c>
      <c r="AL679" s="2922">
        <f>IF($L679=AL$627,COUNTIF($L$630:$L679,AL$627)+1,0)</f>
        <v>50</v>
      </c>
    </row>
    <row r="680" spans="1:38" ht="12.75" customHeight="1" x14ac:dyDescent="0.2">
      <c r="A680" s="1928">
        <v>680</v>
      </c>
      <c r="B680" s="5108"/>
      <c r="C680" s="2932"/>
      <c r="D680" s="2933" t="s">
        <v>8592</v>
      </c>
      <c r="E680" s="2940">
        <v>60</v>
      </c>
      <c r="F680" s="2930">
        <v>-30</v>
      </c>
      <c r="G680" s="2930">
        <v>8</v>
      </c>
      <c r="H680" s="2930">
        <v>8</v>
      </c>
      <c r="I680" s="2930" t="s">
        <v>1864</v>
      </c>
      <c r="J680" s="2930" t="s">
        <v>1766</v>
      </c>
      <c r="K680" s="2912" t="s">
        <v>8890</v>
      </c>
      <c r="L680" s="2930" t="str">
        <f t="shared" si="85"/>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4"/>
        <v/>
      </c>
      <c r="AB680" s="2234" t="s">
        <v>2525</v>
      </c>
      <c r="AC680" s="19" t="s">
        <v>2634</v>
      </c>
      <c r="AD680" s="19"/>
      <c r="AE680" s="2631"/>
      <c r="AG680" s="2234" t="str">
        <f t="shared" si="81"/>
        <v/>
      </c>
      <c r="AH680" s="2013" t="str">
        <f t="shared" si="82"/>
        <v/>
      </c>
      <c r="AI680" s="2013" t="str">
        <f t="shared" si="83"/>
        <v>Koncerz</v>
      </c>
      <c r="AJ680" s="2919">
        <f>IF($L680=AJ$627,COUNTIF($L$630:$L680,AJ$627)+1,0)</f>
        <v>0</v>
      </c>
      <c r="AK680" s="2916">
        <f>IF($L680=AK$627,COUNTIF($L$630:$L680,AK$627)+1,0)</f>
        <v>0</v>
      </c>
      <c r="AL680" s="2922">
        <f>IF($L680=AL$627,COUNTIF($L$630:$L680,AL$627)+1,0)</f>
        <v>51</v>
      </c>
    </row>
    <row r="681" spans="1:38" ht="12.75" customHeight="1" x14ac:dyDescent="0.2">
      <c r="A681" s="1928">
        <v>681</v>
      </c>
      <c r="B681" s="5108"/>
      <c r="C681" s="2932"/>
      <c r="D681" s="2933" t="s">
        <v>8593</v>
      </c>
      <c r="E681" s="2940">
        <v>35</v>
      </c>
      <c r="F681" s="2930">
        <v>10</v>
      </c>
      <c r="G681" s="2930">
        <v>6</v>
      </c>
      <c r="H681" s="2930">
        <v>6</v>
      </c>
      <c r="I681" s="2930" t="s">
        <v>1863</v>
      </c>
      <c r="J681" s="2930" t="s">
        <v>1766</v>
      </c>
      <c r="K681" s="2912" t="s">
        <v>8892</v>
      </c>
      <c r="L681" s="2930" t="str">
        <f t="shared" si="85"/>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4"/>
        <v/>
      </c>
      <c r="AB681" s="2234" t="s">
        <v>2527</v>
      </c>
      <c r="AC681" s="19"/>
      <c r="AD681" s="19"/>
      <c r="AE681" s="2631"/>
      <c r="AG681" s="2234" t="str">
        <f t="shared" si="81"/>
        <v/>
      </c>
      <c r="AH681" s="2013" t="str">
        <f t="shared" si="82"/>
        <v/>
      </c>
      <c r="AI681" s="2013" t="str">
        <f t="shared" si="83"/>
        <v>Kukri</v>
      </c>
      <c r="AJ681" s="2919">
        <f>IF($L681=AJ$627,COUNTIF($L$630:$L681,AJ$627)+1,0)</f>
        <v>0</v>
      </c>
      <c r="AK681" s="2916">
        <f>IF($L681=AK$627,COUNTIF($L$630:$L681,AK$627)+1,0)</f>
        <v>0</v>
      </c>
      <c r="AL681" s="2922">
        <f>IF($L681=AL$627,COUNTIF($L$630:$L681,AL$627)+1,0)</f>
        <v>52</v>
      </c>
    </row>
    <row r="682" spans="1:38" ht="12.75" customHeight="1" x14ac:dyDescent="0.2">
      <c r="A682" s="1928">
        <v>682</v>
      </c>
      <c r="B682" s="5108"/>
      <c r="C682" s="2932"/>
      <c r="D682" s="2933" t="s">
        <v>2517</v>
      </c>
      <c r="E682" s="2940">
        <v>40</v>
      </c>
      <c r="F682" s="2930">
        <v>5</v>
      </c>
      <c r="G682" s="2930">
        <v>4</v>
      </c>
      <c r="H682" s="2930">
        <v>4</v>
      </c>
      <c r="I682" s="2930" t="s">
        <v>1864</v>
      </c>
      <c r="J682" s="2930" t="s">
        <v>1766</v>
      </c>
      <c r="K682" s="2912" t="s">
        <v>8887</v>
      </c>
      <c r="L682" s="2930" t="str">
        <f t="shared" si="85"/>
        <v>Distinta</v>
      </c>
      <c r="M682" s="2941">
        <v>13</v>
      </c>
      <c r="N682" s="2941">
        <v>2</v>
      </c>
      <c r="O682" s="2941">
        <v>25</v>
      </c>
      <c r="P682" s="2930"/>
      <c r="Q682" s="2930"/>
      <c r="R682" s="2941">
        <v>80</v>
      </c>
      <c r="S682" s="2930" t="s">
        <v>1766</v>
      </c>
      <c r="T682" s="2941">
        <v>30</v>
      </c>
      <c r="U682" s="2930"/>
      <c r="V682" s="2912" t="s">
        <v>2518</v>
      </c>
      <c r="W682" s="2912"/>
      <c r="X682" s="2913"/>
      <c r="Z682" s="2661" t="str">
        <f t="shared" si="84"/>
        <v/>
      </c>
      <c r="AB682" s="2234" t="s">
        <v>2528</v>
      </c>
      <c r="AC682" s="19"/>
      <c r="AD682" s="19"/>
      <c r="AE682" s="2631"/>
      <c r="AG682" s="2234" t="str">
        <f t="shared" si="81"/>
        <v/>
      </c>
      <c r="AH682" s="2013" t="str">
        <f t="shared" si="82"/>
        <v/>
      </c>
      <c r="AI682" s="2013" t="str">
        <f t="shared" si="83"/>
        <v>Lanza</v>
      </c>
      <c r="AJ682" s="2919">
        <f>IF($L682=AJ$627,COUNTIF($L$630:$L682,AJ$627)+1,0)</f>
        <v>0</v>
      </c>
      <c r="AK682" s="2916">
        <f>IF($L682=AK$627,COUNTIF($L$630:$L682,AK$627)+1,0)</f>
        <v>0</v>
      </c>
      <c r="AL682" s="2922">
        <f>IF($L682=AL$627,COUNTIF($L$630:$L682,AL$627)+1,0)</f>
        <v>53</v>
      </c>
    </row>
    <row r="683" spans="1:38" ht="12.75" customHeight="1" x14ac:dyDescent="0.2">
      <c r="A683" s="1928">
        <v>683</v>
      </c>
      <c r="B683" s="5108"/>
      <c r="C683" s="2932"/>
      <c r="D683" s="2933" t="s">
        <v>2519</v>
      </c>
      <c r="E683" s="2940">
        <v>80</v>
      </c>
      <c r="F683" s="2930">
        <v>-30</v>
      </c>
      <c r="G683" s="2930">
        <v>8</v>
      </c>
      <c r="H683" s="2930">
        <v>8</v>
      </c>
      <c r="I683" s="2930" t="s">
        <v>1864</v>
      </c>
      <c r="J683" s="2930" t="s">
        <v>1766</v>
      </c>
      <c r="K683" s="2912" t="s">
        <v>8887</v>
      </c>
      <c r="L683" s="2930" t="str">
        <f t="shared" si="85"/>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4"/>
        <v/>
      </c>
      <c r="AB683" s="2234" t="s">
        <v>8576</v>
      </c>
      <c r="AC683" s="19"/>
      <c r="AD683" s="19"/>
      <c r="AE683" s="2631"/>
      <c r="AG683" s="2234" t="str">
        <f t="shared" si="81"/>
        <v/>
      </c>
      <c r="AH683" s="2013" t="str">
        <f t="shared" si="82"/>
        <v/>
      </c>
      <c r="AI683" s="2013" t="str">
        <f t="shared" si="83"/>
        <v>Lanza de caballería</v>
      </c>
      <c r="AJ683" s="2919">
        <f>IF($L683=AJ$627,COUNTIF($L$630:$L683,AJ$627)+1,0)</f>
        <v>0</v>
      </c>
      <c r="AK683" s="2916">
        <f>IF($L683=AK$627,COUNTIF($L$630:$L683,AK$627)+1,0)</f>
        <v>0</v>
      </c>
      <c r="AL683" s="2922">
        <f>IF($L683=AL$627,COUNTIF($L$630:$L683,AL$627)+1,0)</f>
        <v>54</v>
      </c>
    </row>
    <row r="684" spans="1:38" ht="12.75" customHeight="1" x14ac:dyDescent="0.2">
      <c r="A684" s="1928">
        <v>684</v>
      </c>
      <c r="B684" s="5108"/>
      <c r="C684" s="2932"/>
      <c r="D684" s="2933" t="s">
        <v>2521</v>
      </c>
      <c r="E684" s="2940">
        <v>35</v>
      </c>
      <c r="F684" s="2930">
        <v>-20</v>
      </c>
      <c r="G684" s="2930">
        <v>4</v>
      </c>
      <c r="H684" s="2930">
        <v>4</v>
      </c>
      <c r="I684" s="2930" t="s">
        <v>1863</v>
      </c>
      <c r="J684" s="2930" t="s">
        <v>1809</v>
      </c>
      <c r="K684" s="2912" t="s">
        <v>8891</v>
      </c>
      <c r="L684" s="2930" t="str">
        <f t="shared" si="85"/>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4"/>
        <v/>
      </c>
      <c r="AB684" s="2234" t="s">
        <v>2529</v>
      </c>
      <c r="AC684" s="19"/>
      <c r="AD684" s="19"/>
      <c r="AE684" s="2631"/>
      <c r="AG684" s="2234" t="str">
        <f t="shared" si="81"/>
        <v/>
      </c>
      <c r="AH684" s="2013" t="str">
        <f t="shared" si="82"/>
        <v/>
      </c>
      <c r="AI684" s="2013" t="str">
        <f t="shared" si="83"/>
        <v>Látigo</v>
      </c>
      <c r="AJ684" s="2919">
        <f>IF($L684=AJ$627,COUNTIF($L$630:$L684,AJ$627)+1,0)</f>
        <v>0</v>
      </c>
      <c r="AK684" s="2916">
        <f>IF($L684=AK$627,COUNTIF($L$630:$L684,AK$627)+1,0)</f>
        <v>0</v>
      </c>
      <c r="AL684" s="2922">
        <f>IF($L684=AL$627,COUNTIF($L$630:$L684,AL$627)+1,0)</f>
        <v>55</v>
      </c>
    </row>
    <row r="685" spans="1:38" ht="12.75" customHeight="1" x14ac:dyDescent="0.2">
      <c r="A685" s="1928">
        <v>685</v>
      </c>
      <c r="B685" s="5108"/>
      <c r="C685" s="2932"/>
      <c r="D685" s="2933" t="s">
        <v>2523</v>
      </c>
      <c r="E685" s="2940">
        <v>5</v>
      </c>
      <c r="F685" s="2930">
        <v>10</v>
      </c>
      <c r="G685" s="2930">
        <v>4</v>
      </c>
      <c r="H685" s="2930">
        <v>4</v>
      </c>
      <c r="I685" s="2930" t="s">
        <v>1809</v>
      </c>
      <c r="J685" s="2930" t="s">
        <v>1766</v>
      </c>
      <c r="K685" s="2912" t="s">
        <v>8891</v>
      </c>
      <c r="L685" s="2930" t="str">
        <f t="shared" si="85"/>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4"/>
        <v/>
      </c>
      <c r="AB685" s="2234" t="s">
        <v>2530</v>
      </c>
      <c r="AC685" s="19"/>
      <c r="AD685" s="19"/>
      <c r="AE685" s="2631"/>
      <c r="AG685" s="2234" t="str">
        <f t="shared" si="81"/>
        <v/>
      </c>
      <c r="AH685" s="2013" t="str">
        <f t="shared" si="82"/>
        <v/>
      </c>
      <c r="AI685" s="2013" t="str">
        <f t="shared" si="83"/>
        <v>Lazo</v>
      </c>
      <c r="AJ685" s="2919">
        <f>IF($L685=AJ$627,COUNTIF($L$630:$L685,AJ$627)+1,0)</f>
        <v>0</v>
      </c>
      <c r="AK685" s="2916">
        <f>IF($L685=AK$627,COUNTIF($L$630:$L685,AK$627)+1,0)</f>
        <v>0</v>
      </c>
      <c r="AL685" s="2922">
        <f>IF($L685=AL$627,COUNTIF($L$630:$L685,AL$627)+1,0)</f>
        <v>56</v>
      </c>
    </row>
    <row r="686" spans="1:38" ht="12.75" customHeight="1" x14ac:dyDescent="0.2">
      <c r="A686" s="1928">
        <v>686</v>
      </c>
      <c r="B686" s="5108"/>
      <c r="C686" s="2932"/>
      <c r="D686" s="2933" t="s">
        <v>8575</v>
      </c>
      <c r="E686" s="2940">
        <v>30</v>
      </c>
      <c r="F686" s="2930">
        <v>15</v>
      </c>
      <c r="G686" s="2930">
        <v>5</v>
      </c>
      <c r="H686" s="2930">
        <v>5</v>
      </c>
      <c r="I686" s="2930" t="s">
        <v>1809</v>
      </c>
      <c r="J686" s="2930" t="s">
        <v>1766</v>
      </c>
      <c r="K686" s="2912" t="s">
        <v>8891</v>
      </c>
      <c r="L686" s="2930" t="str">
        <f t="shared" si="85"/>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4"/>
        <v/>
      </c>
      <c r="AB686" s="2234" t="s">
        <v>8595</v>
      </c>
      <c r="AC686" s="19"/>
      <c r="AD686" s="19"/>
      <c r="AE686" s="2631"/>
      <c r="AG686" s="2234" t="str">
        <f t="shared" si="81"/>
        <v/>
      </c>
      <c r="AH686" s="2013" t="str">
        <f t="shared" si="82"/>
        <v/>
      </c>
      <c r="AI686" s="2013" t="str">
        <f t="shared" si="83"/>
        <v>Liu Xing Chui</v>
      </c>
      <c r="AJ686" s="2919">
        <f>IF($L686=AJ$627,COUNTIF($L$630:$L686,AJ$627)+1,0)</f>
        <v>0</v>
      </c>
      <c r="AK686" s="2916">
        <f>IF($L686=AK$627,COUNTIF($L$630:$L686,AK$627)+1,0)</f>
        <v>0</v>
      </c>
      <c r="AL686" s="2922">
        <f>IF($L686=AL$627,COUNTIF($L$630:$L686,AL$627)+1,0)</f>
        <v>57</v>
      </c>
    </row>
    <row r="687" spans="1:38" ht="12.75" customHeight="1" x14ac:dyDescent="0.2">
      <c r="A687" s="1928">
        <v>687</v>
      </c>
      <c r="B687" s="5108"/>
      <c r="C687" s="2932"/>
      <c r="D687" s="2933" t="s">
        <v>8594</v>
      </c>
      <c r="E687" s="2940">
        <v>25</v>
      </c>
      <c r="F687" s="2930">
        <v>20</v>
      </c>
      <c r="G687" s="2930">
        <v>5</v>
      </c>
      <c r="H687" s="2930">
        <v>5</v>
      </c>
      <c r="I687" s="2930" t="s">
        <v>1863</v>
      </c>
      <c r="J687" s="2930" t="s">
        <v>1766</v>
      </c>
      <c r="K687" s="2912" t="s">
        <v>8892</v>
      </c>
      <c r="L687" s="2930" t="str">
        <f t="shared" si="85"/>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4"/>
        <v/>
      </c>
      <c r="AB687" s="2234" t="s">
        <v>8579</v>
      </c>
      <c r="AC687" s="19"/>
      <c r="AD687" s="19"/>
      <c r="AE687" s="2631"/>
      <c r="AG687" s="2234" t="str">
        <f t="shared" si="81"/>
        <v/>
      </c>
      <c r="AH687" s="2013" t="str">
        <f t="shared" si="82"/>
        <v/>
      </c>
      <c r="AI687" s="2013" t="str">
        <f t="shared" si="83"/>
        <v>Lujiaodao</v>
      </c>
      <c r="AJ687" s="2919">
        <f>IF($L687=AJ$627,COUNTIF($L$630:$L687,AJ$627)+1,0)</f>
        <v>0</v>
      </c>
      <c r="AK687" s="2916">
        <f>IF($L687=AK$627,COUNTIF($L$630:$L687,AK$627)+1,0)</f>
        <v>0</v>
      </c>
      <c r="AL687" s="2922">
        <f>IF($L687=AL$627,COUNTIF($L$630:$L687,AL$627)+1,0)</f>
        <v>58</v>
      </c>
    </row>
    <row r="688" spans="1:38" ht="12.75" customHeight="1" x14ac:dyDescent="0.2">
      <c r="A688" s="1928">
        <v>688</v>
      </c>
      <c r="B688" s="5108"/>
      <c r="C688" s="2932"/>
      <c r="D688" s="2933" t="s">
        <v>2525</v>
      </c>
      <c r="E688" s="2940">
        <v>80</v>
      </c>
      <c r="F688" s="2930">
        <v>-50</v>
      </c>
      <c r="G688" s="2930">
        <v>10</v>
      </c>
      <c r="H688" s="2930">
        <v>8</v>
      </c>
      <c r="I688" s="2930" t="s">
        <v>1809</v>
      </c>
      <c r="J688" s="2930" t="s">
        <v>1766</v>
      </c>
      <c r="K688" s="2912" t="s">
        <v>8900</v>
      </c>
      <c r="L688" s="2930" t="str">
        <f t="shared" si="85"/>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4"/>
        <v/>
      </c>
      <c r="AB688" s="2234" t="s">
        <v>2531</v>
      </c>
      <c r="AC688" s="19"/>
      <c r="AD688" s="19"/>
      <c r="AE688" s="2631"/>
      <c r="AG688" s="2234" t="str">
        <f t="shared" si="81"/>
        <v/>
      </c>
      <c r="AH688" s="2013" t="str">
        <f t="shared" si="82"/>
        <v/>
      </c>
      <c r="AI688" s="2013" t="str">
        <f t="shared" si="83"/>
        <v>Mangual</v>
      </c>
      <c r="AJ688" s="2919">
        <f>IF($L688=AJ$627,COUNTIF($L$630:$L688,AJ$627)+1,0)</f>
        <v>0</v>
      </c>
      <c r="AK688" s="2916">
        <f>IF($L688=AK$627,COUNTIF($L$630:$L688,AK$627)+1,0)</f>
        <v>0</v>
      </c>
      <c r="AL688" s="2922">
        <f>IF($L688=AL$627,COUNTIF($L$630:$L688,AL$627)+1,0)</f>
        <v>59</v>
      </c>
    </row>
    <row r="689" spans="1:38" ht="12.75" customHeight="1" x14ac:dyDescent="0.2">
      <c r="A689" s="1928">
        <v>689</v>
      </c>
      <c r="B689" s="5108"/>
      <c r="C689" s="2932"/>
      <c r="D689" s="2933" t="s">
        <v>2527</v>
      </c>
      <c r="E689" s="2940">
        <v>50</v>
      </c>
      <c r="F689" s="2930">
        <v>-5</v>
      </c>
      <c r="G689" s="2930">
        <v>6</v>
      </c>
      <c r="H689" s="2930">
        <v>6</v>
      </c>
      <c r="I689" s="2930" t="s">
        <v>1809</v>
      </c>
      <c r="J689" s="2930" t="s">
        <v>1766</v>
      </c>
      <c r="K689" s="2912" t="s">
        <v>8893</v>
      </c>
      <c r="L689" s="2930" t="str">
        <f t="shared" si="85"/>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4"/>
        <v/>
      </c>
      <c r="AB689" s="2234" t="s">
        <v>2533</v>
      </c>
      <c r="AC689" s="19"/>
      <c r="AD689" s="19"/>
      <c r="AE689" s="2631"/>
      <c r="AG689" s="2234" t="str">
        <f t="shared" si="81"/>
        <v/>
      </c>
      <c r="AH689" s="2013" t="str">
        <f t="shared" si="82"/>
        <v/>
      </c>
      <c r="AI689" s="2013" t="str">
        <f t="shared" si="83"/>
        <v>Martillo de guerra</v>
      </c>
      <c r="AJ689" s="2919">
        <f>IF($L689=AJ$627,COUNTIF($L$630:$L689,AJ$627)+1,0)</f>
        <v>0</v>
      </c>
      <c r="AK689" s="2916">
        <f>IF($L689=AK$627,COUNTIF($L$630:$L689,AK$627)+1,0)</f>
        <v>0</v>
      </c>
      <c r="AL689" s="2922">
        <f>IF($L689=AL$627,COUNTIF($L$630:$L689,AL$627)+1,0)</f>
        <v>60</v>
      </c>
    </row>
    <row r="690" spans="1:38" ht="12.75" customHeight="1" x14ac:dyDescent="0.2">
      <c r="A690" s="1928">
        <v>690</v>
      </c>
      <c r="B690" s="5108"/>
      <c r="C690" s="2932"/>
      <c r="D690" s="2933" t="s">
        <v>2528</v>
      </c>
      <c r="E690" s="2940">
        <v>40</v>
      </c>
      <c r="F690" s="2930">
        <v>0</v>
      </c>
      <c r="G690" s="2930">
        <v>6</v>
      </c>
      <c r="H690" s="2930">
        <v>6</v>
      </c>
      <c r="I690" s="2930" t="s">
        <v>1809</v>
      </c>
      <c r="J690" s="2930" t="s">
        <v>1766</v>
      </c>
      <c r="K690" s="2912" t="s">
        <v>8901</v>
      </c>
      <c r="L690" s="2930" t="str">
        <f t="shared" si="85"/>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4"/>
        <v/>
      </c>
      <c r="AB690" s="2234" t="s">
        <v>8596</v>
      </c>
      <c r="AC690" s="19"/>
      <c r="AD690" s="19"/>
      <c r="AE690" s="2631"/>
      <c r="AG690" s="2234" t="str">
        <f t="shared" si="81"/>
        <v/>
      </c>
      <c r="AH690" s="2013" t="str">
        <f t="shared" si="82"/>
        <v/>
      </c>
      <c r="AI690" s="2013" t="str">
        <f t="shared" si="83"/>
        <v>Mayal</v>
      </c>
      <c r="AJ690" s="2919">
        <f>IF($L690=AJ$627,COUNTIF($L$630:$L690,AJ$627)+1,0)</f>
        <v>0</v>
      </c>
      <c r="AK690" s="2916">
        <f>IF($L690=AK$627,COUNTIF($L$630:$L690,AK$627)+1,0)</f>
        <v>0</v>
      </c>
      <c r="AL690" s="2922">
        <f>IF($L690=AL$627,COUNTIF($L$630:$L690,AL$627)+1,0)</f>
        <v>61</v>
      </c>
    </row>
    <row r="691" spans="1:38" ht="12.75" customHeight="1" x14ac:dyDescent="0.2">
      <c r="A691" s="1928">
        <v>691</v>
      </c>
      <c r="B691" s="5108"/>
      <c r="C691" s="2932"/>
      <c r="D691" s="2933" t="s">
        <v>8576</v>
      </c>
      <c r="E691" s="2940">
        <v>50</v>
      </c>
      <c r="F691" s="2930">
        <v>0</v>
      </c>
      <c r="G691" s="2930">
        <v>6</v>
      </c>
      <c r="H691" s="2930">
        <v>7</v>
      </c>
      <c r="I691" s="2930" t="s">
        <v>1809</v>
      </c>
      <c r="J691" s="2930" t="s">
        <v>1766</v>
      </c>
      <c r="K691" s="2912" t="s">
        <v>8893</v>
      </c>
      <c r="L691" s="2930" t="str">
        <f t="shared" si="85"/>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4"/>
        <v/>
      </c>
      <c r="AB691" s="2234" t="s">
        <v>8597</v>
      </c>
      <c r="AC691" s="19"/>
      <c r="AD691" s="19"/>
      <c r="AE691" s="2631"/>
      <c r="AG691" s="2234" t="str">
        <f t="shared" si="81"/>
        <v/>
      </c>
      <c r="AH691" s="2013" t="str">
        <f t="shared" si="82"/>
        <v/>
      </c>
      <c r="AI691" s="2013" t="str">
        <f t="shared" si="83"/>
        <v>Maza Barra</v>
      </c>
      <c r="AJ691" s="2919">
        <f>IF($L691=AJ$627,COUNTIF($L$630:$L691,AJ$627)+1,0)</f>
        <v>0</v>
      </c>
      <c r="AK691" s="2916">
        <f>IF($L691=AK$627,COUNTIF($L$630:$L691,AK$627)+1,0)</f>
        <v>0</v>
      </c>
      <c r="AL691" s="2922">
        <f>IF($L691=AL$627,COUNTIF($L$630:$L691,AL$627)+1,0)</f>
        <v>62</v>
      </c>
    </row>
    <row r="692" spans="1:38" ht="12.75" customHeight="1" x14ac:dyDescent="0.2">
      <c r="A692" s="1928">
        <v>692</v>
      </c>
      <c r="B692" s="5108"/>
      <c r="C692" s="2932"/>
      <c r="D692" s="2933" t="s">
        <v>2529</v>
      </c>
      <c r="E692" s="2940">
        <v>40</v>
      </c>
      <c r="F692" s="2930">
        <v>0</v>
      </c>
      <c r="G692" s="2930">
        <v>6</v>
      </c>
      <c r="H692" s="2930">
        <v>6</v>
      </c>
      <c r="I692" s="2930" t="s">
        <v>1809</v>
      </c>
      <c r="J692" s="2930" t="s">
        <v>1766</v>
      </c>
      <c r="K692" s="2912" t="s">
        <v>8893</v>
      </c>
      <c r="L692" s="2930" t="str">
        <f t="shared" si="85"/>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4"/>
        <v/>
      </c>
      <c r="AB692" s="2234" t="s">
        <v>2534</v>
      </c>
      <c r="AC692" s="19"/>
      <c r="AD692" s="19"/>
      <c r="AE692" s="2631"/>
      <c r="AG692" s="2234" t="str">
        <f t="shared" si="81"/>
        <v/>
      </c>
      <c r="AH692" s="2013" t="str">
        <f t="shared" si="82"/>
        <v/>
      </c>
      <c r="AI692" s="2013" t="str">
        <f t="shared" si="83"/>
        <v>Maza ligera</v>
      </c>
      <c r="AJ692" s="2919">
        <f>IF($L692=AJ$627,COUNTIF($L$630:$L692,AJ$627)+1,0)</f>
        <v>0</v>
      </c>
      <c r="AK692" s="2916">
        <f>IF($L692=AK$627,COUNTIF($L$630:$L692,AK$627)+1,0)</f>
        <v>0</v>
      </c>
      <c r="AL692" s="2922">
        <f>IF($L692=AL$627,COUNTIF($L$630:$L692,AL$627)+1,0)</f>
        <v>63</v>
      </c>
    </row>
    <row r="693" spans="1:38" ht="12.75" customHeight="1" x14ac:dyDescent="0.2">
      <c r="A693" s="1928">
        <v>693</v>
      </c>
      <c r="B693" s="5108"/>
      <c r="C693" s="2932"/>
      <c r="D693" s="2933" t="s">
        <v>2530</v>
      </c>
      <c r="E693" s="2940">
        <v>60</v>
      </c>
      <c r="F693" s="2930">
        <v>-15</v>
      </c>
      <c r="G693" s="2930">
        <v>10</v>
      </c>
      <c r="H693" s="2930">
        <v>6</v>
      </c>
      <c r="I693" s="2930" t="s">
        <v>1809</v>
      </c>
      <c r="J693" s="2930" t="s">
        <v>1766</v>
      </c>
      <c r="K693" s="2912" t="s">
        <v>8900</v>
      </c>
      <c r="L693" s="2930" t="str">
        <f t="shared" si="85"/>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4"/>
        <v/>
      </c>
      <c r="AB693" s="2234" t="s">
        <v>2536</v>
      </c>
      <c r="AC693" s="19"/>
      <c r="AD693" s="19"/>
      <c r="AE693" s="2631"/>
      <c r="AG693" s="2234" t="str">
        <f t="shared" si="81"/>
        <v/>
      </c>
      <c r="AH693" s="2013" t="str">
        <f t="shared" si="82"/>
        <v/>
      </c>
      <c r="AI693" s="2013" t="str">
        <f t="shared" si="83"/>
        <v>Maza pesada</v>
      </c>
      <c r="AJ693" s="2919">
        <f>IF($L693=AJ$627,COUNTIF($L$630:$L693,AJ$627)+1,0)</f>
        <v>0</v>
      </c>
      <c r="AK693" s="2916">
        <f>IF($L693=AK$627,COUNTIF($L$630:$L693,AK$627)+1,0)</f>
        <v>0</v>
      </c>
      <c r="AL693" s="2922">
        <f>IF($L693=AL$627,COUNTIF($L$630:$L693,AL$627)+1,0)</f>
        <v>64</v>
      </c>
    </row>
    <row r="694" spans="1:38" ht="12.75" customHeight="1" x14ac:dyDescent="0.2">
      <c r="A694" s="1928">
        <v>694</v>
      </c>
      <c r="B694" s="5108"/>
      <c r="C694" s="2932"/>
      <c r="D694" s="2933" t="s">
        <v>8577</v>
      </c>
      <c r="E694" s="2940">
        <v>80</v>
      </c>
      <c r="F694" s="2930">
        <v>-50</v>
      </c>
      <c r="G694" s="2930">
        <v>8</v>
      </c>
      <c r="H694" s="2930">
        <v>11</v>
      </c>
      <c r="I694" s="2930" t="s">
        <v>1864</v>
      </c>
      <c r="J694" s="2930" t="s">
        <v>1863</v>
      </c>
      <c r="K694" s="2912" t="s">
        <v>8894</v>
      </c>
      <c r="L694" s="2930" t="str">
        <f t="shared" si="85"/>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4"/>
        <v/>
      </c>
      <c r="AB694" s="2236" t="s">
        <v>8598</v>
      </c>
      <c r="AC694" s="19"/>
      <c r="AD694" s="19"/>
      <c r="AE694" s="2631"/>
      <c r="AG694" s="2234" t="str">
        <f t="shared" ref="AG694:AG725" si="86">IF(ISNA(INDEX(Lista_Armas,MATCH($A65,AJ$630:AJ$766,0))),"",INDEX(Lista_Armas,MATCH($A65,AJ$630:AJ$766,0)))</f>
        <v/>
      </c>
      <c r="AH694" s="2013" t="str">
        <f t="shared" ref="AH694:AH725" si="87">IF(ISNA(INDEX(Lista_Armas,MATCH($A65,AK$630:AK$766,0))),"",INDEX(Lista_Armas,MATCH($A65,AK$630:AK$766,0)))</f>
        <v/>
      </c>
      <c r="AI694" s="2013" t="str">
        <f t="shared" ref="AI694:AI725" si="88">IF(ISNA(INDEX(Lista_Armas,MATCH($A65,AL$630:AL$766,0))),"",INDEX(Lista_Armas,MATCH($A65,AL$630:AL$766,0)))</f>
        <v>Montante</v>
      </c>
      <c r="AJ694" s="2919">
        <f>IF($L694=AJ$627,COUNTIF($L$630:$L694,AJ$627)+1,0)</f>
        <v>0</v>
      </c>
      <c r="AK694" s="2916">
        <f>IF($L694=AK$627,COUNTIF($L$630:$L694,AK$627)+1,0)</f>
        <v>0</v>
      </c>
      <c r="AL694" s="2922">
        <f>IF($L694=AL$627,COUNTIF($L$630:$L694,AL$627)+1,0)</f>
        <v>65</v>
      </c>
    </row>
    <row r="695" spans="1:38" ht="12.75" customHeight="1" x14ac:dyDescent="0.2">
      <c r="A695" s="1928">
        <v>695</v>
      </c>
      <c r="B695" s="5108"/>
      <c r="C695" s="2932"/>
      <c r="D695" s="2933" t="s">
        <v>8595</v>
      </c>
      <c r="E695" s="2940">
        <v>40</v>
      </c>
      <c r="F695" s="2930">
        <v>15</v>
      </c>
      <c r="G695" s="2930">
        <v>6</v>
      </c>
      <c r="H695" s="2930" t="s">
        <v>1766</v>
      </c>
      <c r="I695" s="2930" t="s">
        <v>1863</v>
      </c>
      <c r="J695" s="2930" t="s">
        <v>1864</v>
      </c>
      <c r="K695" s="2912" t="s">
        <v>8892</v>
      </c>
      <c r="L695" s="2930" t="str">
        <f t="shared" si="85"/>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4"/>
        <v/>
      </c>
      <c r="AB695" s="2236" t="s">
        <v>8580</v>
      </c>
      <c r="AC695" s="19"/>
      <c r="AD695" s="19"/>
      <c r="AE695" s="2631"/>
      <c r="AG695" s="2234" t="str">
        <f t="shared" si="86"/>
        <v/>
      </c>
      <c r="AH695" s="2013" t="str">
        <f t="shared" si="87"/>
        <v/>
      </c>
      <c r="AI695" s="2013" t="str">
        <f t="shared" si="88"/>
        <v>Pata</v>
      </c>
      <c r="AJ695" s="2919">
        <f>IF($L695=AJ$627,COUNTIF($L$630:$L695,AJ$627)+1,0)</f>
        <v>0</v>
      </c>
      <c r="AK695" s="2916">
        <f>IF($L695=AK$627,COUNTIF($L$630:$L695,AK$627)+1,0)</f>
        <v>0</v>
      </c>
      <c r="AL695" s="2922">
        <f>IF($L695=AL$627,COUNTIF($L$630:$L695,AL$627)+1,0)</f>
        <v>66</v>
      </c>
    </row>
    <row r="696" spans="1:38" ht="12.75" customHeight="1" x14ac:dyDescent="0.2">
      <c r="A696" s="1928">
        <v>696</v>
      </c>
      <c r="B696" s="5108"/>
      <c r="C696" s="2932"/>
      <c r="D696" s="2933" t="s">
        <v>8578</v>
      </c>
      <c r="E696" s="2940">
        <v>60</v>
      </c>
      <c r="F696" s="2930">
        <v>-30</v>
      </c>
      <c r="G696" s="2930" t="s">
        <v>1766</v>
      </c>
      <c r="H696" s="2930">
        <v>6</v>
      </c>
      <c r="I696" s="2930" t="s">
        <v>1864</v>
      </c>
      <c r="J696" s="2930" t="s">
        <v>1766</v>
      </c>
      <c r="K696" s="2912" t="s">
        <v>8887</v>
      </c>
      <c r="L696" s="2930" t="str">
        <f t="shared" si="85"/>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4"/>
        <v/>
      </c>
      <c r="AB696" s="2236" t="s">
        <v>2539</v>
      </c>
      <c r="AC696" s="19"/>
      <c r="AD696" s="19"/>
      <c r="AE696" s="2631"/>
      <c r="AG696" s="2234" t="str">
        <f t="shared" si="86"/>
        <v/>
      </c>
      <c r="AH696" s="2013" t="str">
        <f t="shared" si="87"/>
        <v/>
      </c>
      <c r="AI696" s="2013" t="str">
        <f t="shared" si="88"/>
        <v>Pica</v>
      </c>
      <c r="AJ696" s="2919">
        <f>IF($L696=AJ$627,COUNTIF($L$630:$L696,AJ$627)+1,0)</f>
        <v>0</v>
      </c>
      <c r="AK696" s="2916">
        <f>IF($L696=AK$627,COUNTIF($L$630:$L696,AK$627)+1,0)</f>
        <v>0</v>
      </c>
      <c r="AL696" s="2922">
        <f>IF($L696=AL$627,COUNTIF($L$630:$L696,AL$627)+1,0)</f>
        <v>67</v>
      </c>
    </row>
    <row r="697" spans="1:38" ht="12.75" customHeight="1" x14ac:dyDescent="0.2">
      <c r="A697" s="1928">
        <v>697</v>
      </c>
      <c r="B697" s="5108"/>
      <c r="C697" s="2932"/>
      <c r="D697" s="2933" t="s">
        <v>8579</v>
      </c>
      <c r="E697" s="2940">
        <v>40</v>
      </c>
      <c r="F697" s="2930">
        <v>-5</v>
      </c>
      <c r="G697" s="2930">
        <v>6</v>
      </c>
      <c r="H697" s="2930">
        <v>7</v>
      </c>
      <c r="I697" s="2930" t="s">
        <v>1863</v>
      </c>
      <c r="J697" s="2930" t="s">
        <v>1809</v>
      </c>
      <c r="K697" s="2912" t="s">
        <v>8887</v>
      </c>
      <c r="L697" s="2930" t="str">
        <f t="shared" si="85"/>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4"/>
        <v/>
      </c>
      <c r="AB697" s="2236" t="s">
        <v>2540</v>
      </c>
      <c r="AC697" s="19"/>
      <c r="AD697" s="19"/>
      <c r="AE697" s="2631"/>
      <c r="AG697" s="2234" t="str">
        <f t="shared" si="86"/>
        <v/>
      </c>
      <c r="AH697" s="2013" t="str">
        <f t="shared" si="87"/>
        <v/>
      </c>
      <c r="AI697" s="2013" t="str">
        <f t="shared" si="88"/>
        <v>Pudao</v>
      </c>
      <c r="AJ697" s="2919">
        <f>IF($L697=AJ$627,COUNTIF($L$630:$L697,AJ$627)+1,0)</f>
        <v>0</v>
      </c>
      <c r="AK697" s="2916">
        <f>IF($L697=AK$627,COUNTIF($L$630:$L697,AK$627)+1,0)</f>
        <v>0</v>
      </c>
      <c r="AL697" s="2922">
        <f>IF($L697=AL$627,COUNTIF($L$630:$L697,AL$627)+1,0)</f>
        <v>68</v>
      </c>
    </row>
    <row r="698" spans="1:38" ht="12.75" customHeight="1" x14ac:dyDescent="0.2">
      <c r="A698" s="1928">
        <v>698</v>
      </c>
      <c r="B698" s="5108"/>
      <c r="C698" s="2932"/>
      <c r="D698" s="2933" t="s">
        <v>2531</v>
      </c>
      <c r="E698" s="2940">
        <v>5</v>
      </c>
      <c r="F698" s="2930">
        <v>0</v>
      </c>
      <c r="G698" s="2930">
        <v>4</v>
      </c>
      <c r="H698" s="2930">
        <v>4</v>
      </c>
      <c r="I698" s="2930" t="s">
        <v>2478</v>
      </c>
      <c r="J698" s="2930" t="s">
        <v>1863</v>
      </c>
      <c r="K698" s="2912" t="s">
        <v>8891</v>
      </c>
      <c r="L698" s="2930" t="str">
        <f t="shared" si="85"/>
        <v>Distinta</v>
      </c>
      <c r="M698" s="2941">
        <v>13</v>
      </c>
      <c r="N698" s="2941">
        <v>-4</v>
      </c>
      <c r="O698" s="2941">
        <v>15</v>
      </c>
      <c r="P698" s="2930"/>
      <c r="Q698" s="2930"/>
      <c r="R698" s="2941">
        <v>100</v>
      </c>
      <c r="S698" s="2930" t="s">
        <v>1766</v>
      </c>
      <c r="T698" s="2930">
        <v>5</v>
      </c>
      <c r="U698" s="2930"/>
      <c r="V698" s="2912" t="s">
        <v>2532</v>
      </c>
      <c r="W698" s="2912"/>
      <c r="X698" s="2913"/>
      <c r="Z698" s="2661" t="str">
        <f t="shared" si="84"/>
        <v/>
      </c>
      <c r="AB698" s="2236" t="s">
        <v>2542</v>
      </c>
      <c r="AC698" s="19"/>
      <c r="AD698" s="19"/>
      <c r="AE698" s="2631"/>
      <c r="AG698" s="2234" t="str">
        <f t="shared" si="86"/>
        <v/>
      </c>
      <c r="AH698" s="2013" t="str">
        <f t="shared" si="87"/>
        <v/>
      </c>
      <c r="AI698" s="2013" t="str">
        <f t="shared" si="88"/>
        <v>Red</v>
      </c>
      <c r="AJ698" s="2919">
        <f>IF($L698=AJ$627,COUNTIF($L$630:$L698,AJ$627)+1,0)</f>
        <v>0</v>
      </c>
      <c r="AK698" s="2916">
        <f>IF($L698=AK$627,COUNTIF($L$630:$L698,AK$627)+1,0)</f>
        <v>0</v>
      </c>
      <c r="AL698" s="2922">
        <f>IF($L698=AL$627,COUNTIF($L$630:$L698,AL$627)+1,0)</f>
        <v>69</v>
      </c>
    </row>
    <row r="699" spans="1:38" ht="12.75" customHeight="1" x14ac:dyDescent="0.2">
      <c r="A699" s="1928">
        <v>699</v>
      </c>
      <c r="B699" s="5108"/>
      <c r="C699" s="2932"/>
      <c r="D699" s="2933" t="s">
        <v>2533</v>
      </c>
      <c r="E699" s="2940">
        <v>45</v>
      </c>
      <c r="F699" s="2930">
        <v>10</v>
      </c>
      <c r="G699" s="2930">
        <v>6</v>
      </c>
      <c r="H699" s="2930">
        <v>6</v>
      </c>
      <c r="I699" s="2930" t="s">
        <v>1863</v>
      </c>
      <c r="J699" s="2930" t="s">
        <v>1864</v>
      </c>
      <c r="K699" s="2912" t="s">
        <v>8890</v>
      </c>
      <c r="L699" s="2930" t="str">
        <f t="shared" si="85"/>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9">IF(AND(K699&lt;&gt;"Natural/-",ISNUMBER(SEARCH(D699,Armas_Conocidas))),", "&amp;K699,"")</f>
        <v/>
      </c>
      <c r="AB699" s="2236" t="s">
        <v>2543</v>
      </c>
      <c r="AC699" s="19"/>
      <c r="AD699" s="19"/>
      <c r="AE699" s="2631"/>
      <c r="AG699" s="2234" t="str">
        <f t="shared" si="86"/>
        <v/>
      </c>
      <c r="AH699" s="2013" t="str">
        <f t="shared" si="87"/>
        <v/>
      </c>
      <c r="AI699" s="2013" t="str">
        <f t="shared" si="88"/>
        <v>Sable</v>
      </c>
      <c r="AJ699" s="2919">
        <f>IF($L699=AJ$627,COUNTIF($L$630:$L699,AJ$627)+1,0)</f>
        <v>0</v>
      </c>
      <c r="AK699" s="2916">
        <f>IF($L699=AK$627,COUNTIF($L$630:$L699,AK$627)+1,0)</f>
        <v>0</v>
      </c>
      <c r="AL699" s="2922">
        <f>IF($L699=AL$627,COUNTIF($L$630:$L699,AL$627)+1,0)</f>
        <v>70</v>
      </c>
    </row>
    <row r="700" spans="1:38" ht="12.75" customHeight="1" x14ac:dyDescent="0.2">
      <c r="A700" s="1928">
        <v>700</v>
      </c>
      <c r="B700" s="5108"/>
      <c r="C700" s="2932"/>
      <c r="D700" s="2933" t="s">
        <v>8596</v>
      </c>
      <c r="E700" s="2940">
        <v>40</v>
      </c>
      <c r="F700" s="2930">
        <v>5</v>
      </c>
      <c r="G700" s="2930">
        <v>5</v>
      </c>
      <c r="H700" s="2930">
        <v>5</v>
      </c>
      <c r="I700" s="2930" t="s">
        <v>1863</v>
      </c>
      <c r="J700" s="2930" t="s">
        <v>1766</v>
      </c>
      <c r="K700" s="2912" t="s">
        <v>8890</v>
      </c>
      <c r="L700" s="293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9"/>
        <v/>
      </c>
      <c r="AB700" s="2237" t="s">
        <v>2544</v>
      </c>
      <c r="AC700" s="19"/>
      <c r="AD700" s="19"/>
      <c r="AE700" s="2631"/>
      <c r="AG700" s="2234" t="str">
        <f t="shared" si="86"/>
        <v/>
      </c>
      <c r="AH700" s="2013" t="str">
        <f t="shared" si="87"/>
        <v/>
      </c>
      <c r="AI700" s="2013" t="str">
        <f t="shared" si="88"/>
        <v>Shang Gou</v>
      </c>
      <c r="AJ700" s="2919">
        <f>IF($L700=AJ$627,COUNTIF($L$630:$L700,AJ$627)+1,0)</f>
        <v>0</v>
      </c>
      <c r="AK700" s="2916">
        <f>IF($L700=AK$627,COUNTIF($L$630:$L700,AK$627)+1,0)</f>
        <v>0</v>
      </c>
      <c r="AL700" s="2922">
        <f>IF($L700=AL$627,COUNTIF($L$630:$L700,AL$627)+1,0)</f>
        <v>71</v>
      </c>
    </row>
    <row r="701" spans="1:38" ht="12.75" customHeight="1" x14ac:dyDescent="0.2">
      <c r="A701" s="1928">
        <v>701</v>
      </c>
      <c r="B701" s="5108"/>
      <c r="C701" s="2932"/>
      <c r="D701" s="2933" t="s">
        <v>8597</v>
      </c>
      <c r="E701" s="2940">
        <v>45</v>
      </c>
      <c r="F701" s="2930">
        <v>5</v>
      </c>
      <c r="G701" s="2930">
        <v>6</v>
      </c>
      <c r="H701" s="2930">
        <v>6</v>
      </c>
      <c r="I701" s="2930" t="s">
        <v>1864</v>
      </c>
      <c r="J701" s="2930" t="s">
        <v>1863</v>
      </c>
      <c r="K701" s="2912" t="s">
        <v>8890</v>
      </c>
      <c r="L701" s="2930" t="str">
        <f t="shared" si="90"/>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9"/>
        <v/>
      </c>
      <c r="AB701" s="2237" t="s">
        <v>2545</v>
      </c>
      <c r="AC701" s="19"/>
      <c r="AD701" s="19"/>
      <c r="AE701" s="2631"/>
      <c r="AG701" s="2234" t="str">
        <f t="shared" si="86"/>
        <v/>
      </c>
      <c r="AH701" s="2013" t="str">
        <f t="shared" si="87"/>
        <v/>
      </c>
      <c r="AI701" s="2013" t="str">
        <f t="shared" si="88"/>
        <v>Spatha</v>
      </c>
      <c r="AJ701" s="2919">
        <f>IF($L701=AJ$627,COUNTIF($L$630:$L701,AJ$627)+1,0)</f>
        <v>0</v>
      </c>
      <c r="AK701" s="2916">
        <f>IF($L701=AK$627,COUNTIF($L$630:$L701,AK$627)+1,0)</f>
        <v>0</v>
      </c>
      <c r="AL701" s="2922">
        <f>IF($L701=AL$627,COUNTIF($L$630:$L701,AL$627)+1,0)</f>
        <v>72</v>
      </c>
    </row>
    <row r="702" spans="1:38" ht="12.75" customHeight="1" x14ac:dyDescent="0.2">
      <c r="A702" s="1928">
        <v>702</v>
      </c>
      <c r="B702" s="5108"/>
      <c r="C702" s="2932"/>
      <c r="D702" s="2933" t="s">
        <v>2534</v>
      </c>
      <c r="E702" s="2940">
        <v>40</v>
      </c>
      <c r="F702" s="2930">
        <v>-10</v>
      </c>
      <c r="G702" s="2930">
        <v>6</v>
      </c>
      <c r="H702" s="2930">
        <v>6</v>
      </c>
      <c r="I702" s="2930" t="s">
        <v>1864</v>
      </c>
      <c r="J702" s="2930" t="s">
        <v>1766</v>
      </c>
      <c r="K702" s="2912" t="s">
        <v>8887</v>
      </c>
      <c r="L702" s="2930" t="str">
        <f t="shared" si="90"/>
        <v>Distinta</v>
      </c>
      <c r="M702" s="2941">
        <v>12</v>
      </c>
      <c r="N702" s="2941">
        <v>3</v>
      </c>
      <c r="O702" s="2941">
        <v>15</v>
      </c>
      <c r="P702" s="2930"/>
      <c r="Q702" s="2930"/>
      <c r="R702" s="2941">
        <v>100</v>
      </c>
      <c r="S702" s="2930" t="s">
        <v>1766</v>
      </c>
      <c r="T702" s="2930">
        <v>15</v>
      </c>
      <c r="U702" s="2930"/>
      <c r="V702" s="2912" t="s">
        <v>2535</v>
      </c>
      <c r="W702" s="2912"/>
      <c r="X702" s="2913"/>
      <c r="Z702" s="2661" t="str">
        <f t="shared" si="89"/>
        <v/>
      </c>
      <c r="AB702" s="2236" t="s">
        <v>2549</v>
      </c>
      <c r="AC702" s="19"/>
      <c r="AD702" s="19"/>
      <c r="AE702" s="2631"/>
      <c r="AG702" s="2234" t="str">
        <f t="shared" si="86"/>
        <v/>
      </c>
      <c r="AH702" s="2013" t="str">
        <f t="shared" si="87"/>
        <v/>
      </c>
      <c r="AI702" s="2013" t="str">
        <f t="shared" si="88"/>
        <v>Tridente</v>
      </c>
      <c r="AJ702" s="2919">
        <f>IF($L702=AJ$627,COUNTIF($L$630:$L702,AJ$627)+1,0)</f>
        <v>0</v>
      </c>
      <c r="AK702" s="2916">
        <f>IF($L702=AK$627,COUNTIF($L$630:$L702,AK$627)+1,0)</f>
        <v>0</v>
      </c>
      <c r="AL702" s="2922">
        <f>IF($L702=AL$627,COUNTIF($L$630:$L702,AL$627)+1,0)</f>
        <v>73</v>
      </c>
    </row>
    <row r="703" spans="1:38" ht="12.75" customHeight="1" x14ac:dyDescent="0.2">
      <c r="A703" s="1928">
        <v>703</v>
      </c>
      <c r="B703" s="5108"/>
      <c r="C703" s="2932"/>
      <c r="D703" s="2933" t="s">
        <v>2536</v>
      </c>
      <c r="E703" s="2930">
        <v>40</v>
      </c>
      <c r="F703" s="2930">
        <v>0</v>
      </c>
      <c r="G703" s="2930">
        <v>6</v>
      </c>
      <c r="H703" s="2930">
        <v>6</v>
      </c>
      <c r="I703" s="2930" t="s">
        <v>1863</v>
      </c>
      <c r="J703" s="2930" t="s">
        <v>1766</v>
      </c>
      <c r="K703" s="2912" t="s">
        <v>8889</v>
      </c>
      <c r="L703" s="2930" t="str">
        <f t="shared" si="90"/>
        <v>Distinta</v>
      </c>
      <c r="M703" s="2941">
        <v>9</v>
      </c>
      <c r="N703" s="2941">
        <v>2</v>
      </c>
      <c r="O703" s="2941">
        <v>20</v>
      </c>
      <c r="P703" s="2930"/>
      <c r="Q703" s="2930"/>
      <c r="R703" s="2941">
        <v>80</v>
      </c>
      <c r="S703" s="2930" t="s">
        <v>1766</v>
      </c>
      <c r="T703" s="2930">
        <v>30</v>
      </c>
      <c r="U703" s="2930"/>
      <c r="V703" s="2912" t="s">
        <v>2537</v>
      </c>
      <c r="W703" s="2912"/>
      <c r="X703" s="2913"/>
      <c r="Z703" s="2661" t="str">
        <f t="shared" si="89"/>
        <v/>
      </c>
      <c r="AB703" s="2236" t="s">
        <v>2551</v>
      </c>
      <c r="AC703" s="19"/>
      <c r="AD703" s="19"/>
      <c r="AE703" s="2631"/>
      <c r="AG703" s="2234" t="str">
        <f t="shared" si="86"/>
        <v/>
      </c>
      <c r="AH703" s="2013" t="str">
        <f t="shared" si="87"/>
        <v/>
      </c>
      <c r="AI703" s="2013" t="str">
        <f t="shared" si="88"/>
        <v>Turcus</v>
      </c>
      <c r="AJ703" s="2919">
        <f>IF($L703=AJ$627,COUNTIF($L$630:$L703,AJ$627)+1,0)</f>
        <v>0</v>
      </c>
      <c r="AK703" s="2916">
        <f>IF($L703=AK$627,COUNTIF($L$630:$L703,AK$627)+1,0)</f>
        <v>0</v>
      </c>
      <c r="AL703" s="2922">
        <f>IF($L703=AL$627,COUNTIF($L$630:$L703,AL$627)+1,0)</f>
        <v>74</v>
      </c>
    </row>
    <row r="704" spans="1:38" ht="12.75" customHeight="1" x14ac:dyDescent="0.2">
      <c r="A704" s="1928">
        <v>704</v>
      </c>
      <c r="B704" s="5108"/>
      <c r="C704" s="2932"/>
      <c r="D704" s="2933" t="s">
        <v>8598</v>
      </c>
      <c r="E704" s="2940">
        <v>25</v>
      </c>
      <c r="F704" s="2930">
        <v>15</v>
      </c>
      <c r="G704" s="2930">
        <v>4</v>
      </c>
      <c r="H704" s="2930">
        <v>4</v>
      </c>
      <c r="I704" s="2930" t="s">
        <v>1863</v>
      </c>
      <c r="J704" s="2930" t="s">
        <v>1766</v>
      </c>
      <c r="K704" s="2912" t="s">
        <v>8891</v>
      </c>
      <c r="L704" s="2930" t="str">
        <f t="shared" si="90"/>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9"/>
        <v/>
      </c>
      <c r="AB704" s="2236" t="s">
        <v>2553</v>
      </c>
      <c r="AC704" s="19"/>
      <c r="AD704" s="19"/>
      <c r="AE704" s="2631"/>
      <c r="AG704" s="2234" t="str">
        <f t="shared" si="86"/>
        <v/>
      </c>
      <c r="AH704" s="2013" t="str">
        <f t="shared" si="87"/>
        <v/>
      </c>
      <c r="AI704" s="2013" t="str">
        <f t="shared" si="88"/>
        <v>Urumi</v>
      </c>
      <c r="AJ704" s="2919">
        <f>IF($L704=AJ$627,COUNTIF($L$630:$L704,AJ$627)+1,0)</f>
        <v>0</v>
      </c>
      <c r="AK704" s="2916">
        <f>IF($L704=AK$627,COUNTIF($L$630:$L704,AK$627)+1,0)</f>
        <v>0</v>
      </c>
      <c r="AL704" s="2922">
        <f>IF($L704=AL$627,COUNTIF($L$630:$L704,AL$627)+1,0)</f>
        <v>75</v>
      </c>
    </row>
    <row r="705" spans="1:38" ht="12.75" customHeight="1" x14ac:dyDescent="0.2">
      <c r="A705" s="1928">
        <v>705</v>
      </c>
      <c r="B705" s="5108"/>
      <c r="C705" s="2932"/>
      <c r="D705" s="2933" t="s">
        <v>8580</v>
      </c>
      <c r="E705" s="2940">
        <v>40</v>
      </c>
      <c r="F705" s="2930">
        <v>0</v>
      </c>
      <c r="G705" s="2930">
        <v>5</v>
      </c>
      <c r="H705" s="2930">
        <v>8</v>
      </c>
      <c r="I705" s="2930" t="s">
        <v>1863</v>
      </c>
      <c r="J705" s="2930" t="s">
        <v>1809</v>
      </c>
      <c r="K705" s="2912" t="s">
        <v>8902</v>
      </c>
      <c r="L705" s="2930" t="str">
        <f t="shared" si="90"/>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9"/>
        <v/>
      </c>
      <c r="AB705" s="2236" t="s">
        <v>2554</v>
      </c>
      <c r="AC705" s="19"/>
      <c r="AD705" s="19"/>
      <c r="AE705" s="2631"/>
      <c r="AG705" s="2234" t="str">
        <f t="shared" si="86"/>
        <v/>
      </c>
      <c r="AH705" s="2013" t="str">
        <f t="shared" si="87"/>
        <v/>
      </c>
      <c r="AI705" s="2013" t="str">
        <f t="shared" si="88"/>
        <v>Valaska</v>
      </c>
      <c r="AJ705" s="2919">
        <f>IF($L705=AJ$627,COUNTIF($L$630:$L705,AJ$627)+1,0)</f>
        <v>0</v>
      </c>
      <c r="AK705" s="2916">
        <f>IF($L705=AK$627,COUNTIF($L$630:$L705,AK$627)+1,0)</f>
        <v>0</v>
      </c>
      <c r="AL705" s="2922">
        <f>IF($L705=AL$627,COUNTIF($L$630:$L705,AL$627)+1,0)</f>
        <v>76</v>
      </c>
    </row>
    <row r="706" spans="1:38" ht="12.75" customHeight="1" x14ac:dyDescent="0.2">
      <c r="A706" s="1928">
        <v>706</v>
      </c>
      <c r="B706" s="5108"/>
      <c r="C706" s="2932"/>
      <c r="D706" s="2933" t="s">
        <v>2538</v>
      </c>
      <c r="E706" s="2940">
        <v>30</v>
      </c>
      <c r="F706" s="2930">
        <v>10</v>
      </c>
      <c r="G706" s="2930">
        <v>4</v>
      </c>
      <c r="H706" s="2930">
        <v>4</v>
      </c>
      <c r="I706" s="2930" t="s">
        <v>1809</v>
      </c>
      <c r="J706" s="2930" t="s">
        <v>1766</v>
      </c>
      <c r="K706" s="2912" t="s">
        <v>8887</v>
      </c>
      <c r="L706" s="2930" t="str">
        <f t="shared" si="90"/>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9"/>
        <v/>
      </c>
      <c r="AB706" s="2236" t="s">
        <v>2557</v>
      </c>
      <c r="AC706" s="19"/>
      <c r="AD706" s="19"/>
      <c r="AE706" s="2631"/>
      <c r="AG706" s="2234" t="str">
        <f t="shared" si="86"/>
        <v/>
      </c>
      <c r="AH706" s="2013" t="str">
        <f t="shared" si="87"/>
        <v/>
      </c>
      <c r="AI706" s="2013" t="str">
        <f t="shared" si="88"/>
        <v>Vara</v>
      </c>
      <c r="AJ706" s="2919">
        <f>IF($L706=AJ$627,COUNTIF($L$630:$L706,AJ$627)+1,0)</f>
        <v>0</v>
      </c>
      <c r="AK706" s="2916">
        <f>IF($L706=AK$627,COUNTIF($L$630:$L706,AK$627)+1,0)</f>
        <v>0</v>
      </c>
      <c r="AL706" s="2922">
        <f>IF($L706=AL$627,COUNTIF($L$630:$L706,AL$627)+1,0)</f>
        <v>77</v>
      </c>
    </row>
    <row r="707" spans="1:38" ht="12.75" customHeight="1" x14ac:dyDescent="0.2">
      <c r="A707" s="1928">
        <v>707</v>
      </c>
      <c r="B707" s="5108"/>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9"/>
        <v/>
      </c>
      <c r="AB707" s="2236" t="s">
        <v>2562</v>
      </c>
      <c r="AC707" s="19"/>
      <c r="AD707" s="19"/>
      <c r="AE707" s="2631"/>
      <c r="AG707" s="2234" t="str">
        <f t="shared" si="86"/>
        <v/>
      </c>
      <c r="AH707" s="2013" t="str">
        <f t="shared" si="87"/>
        <v/>
      </c>
      <c r="AI707" s="2013" t="str">
        <f t="shared" si="88"/>
        <v>&gt; ESCUDOS</v>
      </c>
      <c r="AJ707" s="2919">
        <f>MAX(AJ$630:AJ706)+1</f>
        <v>2</v>
      </c>
      <c r="AK707" s="2916">
        <f>MAX(AK$630:AK706)+1</f>
        <v>2</v>
      </c>
      <c r="AL707" s="2922">
        <f>MAX(AL$630:AL706)+1</f>
        <v>78</v>
      </c>
    </row>
    <row r="708" spans="1:38" ht="12.75" customHeight="1" x14ac:dyDescent="0.2">
      <c r="A708" s="1928">
        <v>708</v>
      </c>
      <c r="B708" s="5108"/>
      <c r="C708" s="2932"/>
      <c r="D708" s="2933" t="s">
        <v>2540</v>
      </c>
      <c r="E708" s="2940">
        <v>25</v>
      </c>
      <c r="F708" s="2930">
        <v>-40</v>
      </c>
      <c r="G708" s="2930">
        <v>10</v>
      </c>
      <c r="H708" s="2930">
        <v>10</v>
      </c>
      <c r="I708" s="2930" t="s">
        <v>1809</v>
      </c>
      <c r="J708" s="2930" t="s">
        <v>1766</v>
      </c>
      <c r="K708" s="2912" t="s">
        <v>8903</v>
      </c>
      <c r="L708" s="2930" t="str">
        <f>IF(ISNUMBER(SEARCH($D708,Armas_Conocidas)),"Conocida",IF(OR(ISNUMBER(SEARCH(LEFT($K708,SEARCH("/",$K708)),Tipologías_Conocidas)),AND(NOT(ISNUMBER(SEARCH("/-",$K708))),ISNUMBER(SEARCH(MID($K708,SEARCH("/",$K708)+1,LEN($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40" t="str">
        <f>"Escudo. -"&amp;P708&amp;" HP/-"&amp;Q708&amp;" HE si se usa para atacar."</f>
        <v>Escudo. -30 HP/-15 HE si se usa para atacar.</v>
      </c>
      <c r="W708" s="5140"/>
      <c r="X708" s="5141"/>
      <c r="Z708" s="2661" t="str">
        <f t="shared" si="89"/>
        <v/>
      </c>
      <c r="AB708" s="2234" t="s">
        <v>2563</v>
      </c>
      <c r="AC708" s="19"/>
      <c r="AD708" s="19"/>
      <c r="AE708" s="2631"/>
      <c r="AG708" s="2234" t="str">
        <f t="shared" si="86"/>
        <v/>
      </c>
      <c r="AH708" s="2013" t="str">
        <f t="shared" si="87"/>
        <v/>
      </c>
      <c r="AI708" s="2013" t="str">
        <f t="shared" si="88"/>
        <v>Escudo corporal</v>
      </c>
      <c r="AJ708" s="2919">
        <f>IF($L708=AJ$627,COUNTIF($L$630:$L708,AJ$627)+2,0)</f>
        <v>0</v>
      </c>
      <c r="AK708" s="2916">
        <f>IF($L708=AK$627,COUNTIF($L$630:$L708,AK$627)+2,0)</f>
        <v>0</v>
      </c>
      <c r="AL708" s="2922">
        <f>IF($L708=AL$627,COUNTIF($L$630:$L708,AL$627)+2,0)</f>
        <v>79</v>
      </c>
    </row>
    <row r="709" spans="1:38" ht="12.75" customHeight="1" x14ac:dyDescent="0.2">
      <c r="A709" s="1928">
        <v>709</v>
      </c>
      <c r="B709" s="5108"/>
      <c r="C709" s="2932"/>
      <c r="D709" s="2933" t="s">
        <v>2542</v>
      </c>
      <c r="E709" s="2940">
        <v>20</v>
      </c>
      <c r="F709" s="2930">
        <v>-25</v>
      </c>
      <c r="G709" s="2930">
        <v>7</v>
      </c>
      <c r="H709" s="2930">
        <v>7</v>
      </c>
      <c r="I709" s="2930" t="s">
        <v>1809</v>
      </c>
      <c r="J709" s="2930" t="s">
        <v>1766</v>
      </c>
      <c r="K709" s="2912" t="s">
        <v>8903</v>
      </c>
      <c r="L709" s="2930" t="str">
        <f>IF(ISNUMBER(SEARCH($D709,Armas_Conocidas)),"Conocida",IF(OR(ISNUMBER(SEARCH(LEFT($K709,SEARCH("/",$K709)),Tipologías_Conocidas)),AND(NOT(ISNUMBER(SEARCH("/-",$K709))),ISNUMBER(SEARCH(MID($K709,SEARCH("/",$K709)+1,LEN($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40" t="str">
        <f>"Escudo. -"&amp;P709&amp;" HP/-"&amp;Q709&amp;" HE si se usa para atacar."</f>
        <v>Escudo. -20 HP/-10 HE si se usa para atacar.</v>
      </c>
      <c r="W709" s="5140"/>
      <c r="X709" s="5141"/>
      <c r="Z709" s="2661" t="str">
        <f t="shared" si="89"/>
        <v/>
      </c>
      <c r="AB709" s="2236" t="s">
        <v>2564</v>
      </c>
      <c r="AC709" s="19"/>
      <c r="AD709" s="19"/>
      <c r="AE709" s="2631"/>
      <c r="AG709" s="2234" t="str">
        <f t="shared" si="86"/>
        <v/>
      </c>
      <c r="AH709" s="2013" t="str">
        <f t="shared" si="87"/>
        <v/>
      </c>
      <c r="AI709" s="2013" t="str">
        <f t="shared" si="88"/>
        <v>Escudo medio</v>
      </c>
      <c r="AJ709" s="2919">
        <f>IF($L709=AJ$627,COUNTIF($L$630:$L709,AJ$627)+2,0)</f>
        <v>0</v>
      </c>
      <c r="AK709" s="2916">
        <f>IF($L709=AK$627,COUNTIF($L$630:$L709,AK$627)+2,0)</f>
        <v>0</v>
      </c>
      <c r="AL709" s="2922">
        <f>IF($L709=AL$627,COUNTIF($L$630:$L709,AL$627)+2,0)</f>
        <v>80</v>
      </c>
    </row>
    <row r="710" spans="1:38" ht="12.75" customHeight="1" x14ac:dyDescent="0.2">
      <c r="A710" s="1928">
        <v>710</v>
      </c>
      <c r="B710" s="5108"/>
      <c r="C710" s="2932"/>
      <c r="D710" s="2933" t="s">
        <v>2543</v>
      </c>
      <c r="E710" s="2940">
        <v>15</v>
      </c>
      <c r="F710" s="2930">
        <v>-15</v>
      </c>
      <c r="G710" s="2930">
        <v>5</v>
      </c>
      <c r="H710" s="2930">
        <v>5</v>
      </c>
      <c r="I710" s="2930" t="s">
        <v>1809</v>
      </c>
      <c r="J710" s="2930" t="s">
        <v>1766</v>
      </c>
      <c r="K710" s="2912" t="s">
        <v>8903</v>
      </c>
      <c r="L710" s="2930" t="str">
        <f>IF(ISNUMBER(SEARCH($D710,Armas_Conocidas)),"Conocida",IF(OR(ISNUMBER(SEARCH(LEFT($K710,SEARCH("/",$K710)),Tipologías_Conocidas)),AND(NOT(ISNUMBER(SEARCH("/-",$K710))),ISNUMBER(SEARCH(MID($K710,SEARCH("/",$K710)+1,LEN($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40" t="str">
        <f>"Escudo. -"&amp;P710&amp;" HP/-"&amp;Q710&amp;" HE si se usa para atacar."</f>
        <v>Escudo. -10 HP/-5 HE si se usa para atacar.</v>
      </c>
      <c r="W710" s="5140"/>
      <c r="X710" s="5141"/>
      <c r="Z710" s="2661" t="str">
        <f t="shared" si="89"/>
        <v/>
      </c>
      <c r="AB710" s="2234" t="s">
        <v>2565</v>
      </c>
      <c r="AC710" s="19"/>
      <c r="AD710" s="19"/>
      <c r="AE710" s="2631"/>
      <c r="AG710" s="2234" t="str">
        <f t="shared" si="86"/>
        <v/>
      </c>
      <c r="AH710" s="2013" t="str">
        <f t="shared" si="87"/>
        <v/>
      </c>
      <c r="AI710" s="2013" t="str">
        <f t="shared" si="88"/>
        <v>Rodela</v>
      </c>
      <c r="AJ710" s="2919">
        <f>IF($L710=AJ$627,COUNTIF($L$630:$L710,AJ$627)+2,0)</f>
        <v>0</v>
      </c>
      <c r="AK710" s="2916">
        <f>IF($L710=AK$627,COUNTIF($L$630:$L710,AK$627)+2,0)</f>
        <v>0</v>
      </c>
      <c r="AL710" s="2922">
        <f>IF($L710=AL$627,COUNTIF($L$630:$L710,AL$627)+2,0)</f>
        <v>81</v>
      </c>
    </row>
    <row r="711" spans="1:38" ht="12.75" customHeight="1" x14ac:dyDescent="0.2">
      <c r="A711" s="1928">
        <v>711</v>
      </c>
      <c r="B711" s="5108"/>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9"/>
        <v/>
      </c>
      <c r="AB711" s="2236" t="s">
        <v>2567</v>
      </c>
      <c r="AC711" s="19"/>
      <c r="AD711" s="19"/>
      <c r="AE711" s="2631"/>
      <c r="AG711" s="2234" t="str">
        <f t="shared" si="86"/>
        <v/>
      </c>
      <c r="AH711" s="2013" t="str">
        <f t="shared" si="87"/>
        <v/>
      </c>
      <c r="AI711" s="2013" t="str">
        <f t="shared" si="88"/>
        <v>&gt; ARMAS EXÓTICAS</v>
      </c>
      <c r="AJ711" s="2919">
        <f>MAX(AJ$630:AJ710)+1</f>
        <v>3</v>
      </c>
      <c r="AK711" s="2916">
        <f>MAX(AK$630:AK710)+1</f>
        <v>3</v>
      </c>
      <c r="AL711" s="2922">
        <f>MAX(AL$630:AL710)+1</f>
        <v>82</v>
      </c>
    </row>
    <row r="712" spans="1:38" ht="12.75" customHeight="1" x14ac:dyDescent="0.2">
      <c r="A712" s="1928">
        <v>712</v>
      </c>
      <c r="B712" s="5108"/>
      <c r="C712" s="2932"/>
      <c r="D712" s="2933" t="s">
        <v>2545</v>
      </c>
      <c r="E712" s="2940">
        <v>30</v>
      </c>
      <c r="F712" s="2930">
        <v>20</v>
      </c>
      <c r="G712" s="2930">
        <v>4</v>
      </c>
      <c r="H712" s="2930">
        <v>4</v>
      </c>
      <c r="I712" s="2930" t="s">
        <v>1863</v>
      </c>
      <c r="J712" s="2930" t="s">
        <v>1809</v>
      </c>
      <c r="K712" s="2912" t="s">
        <v>8892</v>
      </c>
      <c r="L712" s="2930" t="str">
        <f>IF(ISNUMBER(SEARCH($D712,Armas_Conocidas)),"Conocida",IF(OR(ISNUMBER(SEARCH(LEFT($K712,SEARCH("/",$K712)),Tipologías_Conocidas)),AND(NOT(ISNUMBER(SEARCH("/-",$K712))),ISNUMBER(SEARCH(MID($K712,SEARCH("/",$K712)+1,LEN($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40" t="s">
        <v>2546</v>
      </c>
      <c r="W712" s="5140"/>
      <c r="X712" s="5141"/>
      <c r="Z712" s="2661" t="str">
        <f t="shared" si="89"/>
        <v/>
      </c>
      <c r="AB712" s="2236" t="s">
        <v>2568</v>
      </c>
      <c r="AC712" s="19"/>
      <c r="AD712" s="19"/>
      <c r="AE712" s="2631"/>
      <c r="AG712" s="2234" t="str">
        <f t="shared" si="86"/>
        <v/>
      </c>
      <c r="AH712" s="2013" t="str">
        <f t="shared" si="87"/>
        <v/>
      </c>
      <c r="AI712" s="2013" t="str">
        <f t="shared" si="88"/>
        <v>Abanico de combate</v>
      </c>
      <c r="AJ712" s="2919">
        <f>IF($L712=AJ$627,COUNTIF($L$630:$L712,AJ$627)+3,0)</f>
        <v>0</v>
      </c>
      <c r="AK712" s="2916">
        <f>IF($L712=AK$627,COUNTIF($L$630:$L712,AK$627)+3,0)</f>
        <v>0</v>
      </c>
      <c r="AL712" s="2922">
        <f>IF($L712=AL$627,COUNTIF($L$630:$L712,AL$627)+3,0)</f>
        <v>83</v>
      </c>
    </row>
    <row r="713" spans="1:38" ht="12.75" customHeight="1" x14ac:dyDescent="0.2">
      <c r="A713" s="1928">
        <v>713</v>
      </c>
      <c r="B713" s="5108"/>
      <c r="C713" s="2932"/>
      <c r="D713" s="2933" t="s">
        <v>2547</v>
      </c>
      <c r="E713" s="2940">
        <v>35</v>
      </c>
      <c r="F713" s="2930">
        <v>15</v>
      </c>
      <c r="G713" s="2930">
        <v>4</v>
      </c>
      <c r="H713" s="2930">
        <v>4</v>
      </c>
      <c r="I713" s="2930" t="s">
        <v>1863</v>
      </c>
      <c r="J713" s="2930" t="s">
        <v>1864</v>
      </c>
      <c r="K713" s="2912" t="s">
        <v>8887</v>
      </c>
      <c r="L713" s="2930" t="str">
        <f>IF(ISNUMBER(SEARCH($D713,Armas_Conocidas)),"Conocida",IF(OR(ISNUMBER(SEARCH(LEFT($K713,SEARCH("/",$K713)),Tipologías_Conocidas)),AND(NOT(ISNUMBER(SEARCH("/-",$K713))),ISNUMBER(SEARCH(MID($K713,SEARCH("/",$K713)+1,LEN($K713)),Tipologías_Conocidas)))),IF(ISNUMBER(SEARCH($K713,Tipologías_Conocidas)),"Similar","Mixta"),"Distinta"))</f>
        <v>Distinta</v>
      </c>
      <c r="M713" s="2941">
        <v>12</v>
      </c>
      <c r="N713" s="2941">
        <v>2</v>
      </c>
      <c r="O713" s="2941">
        <v>25</v>
      </c>
      <c r="P713" s="2930"/>
      <c r="Q713" s="2930"/>
      <c r="R713" s="2930" t="s">
        <v>1766</v>
      </c>
      <c r="S713" s="2930" t="s">
        <v>1766</v>
      </c>
      <c r="T713" s="2930" t="s">
        <v>1766</v>
      </c>
      <c r="U713" s="2930"/>
      <c r="V713" s="5140" t="s">
        <v>2548</v>
      </c>
      <c r="W713" s="5140"/>
      <c r="X713" s="5141"/>
      <c r="Z713" s="2661" t="str">
        <f t="shared" si="89"/>
        <v/>
      </c>
      <c r="AB713" s="2236" t="s">
        <v>2570</v>
      </c>
      <c r="AC713" s="19"/>
      <c r="AD713" s="19"/>
      <c r="AE713" s="2631"/>
      <c r="AG713" s="2234" t="str">
        <f t="shared" si="86"/>
        <v/>
      </c>
      <c r="AH713" s="2013" t="str">
        <f t="shared" si="87"/>
        <v/>
      </c>
      <c r="AI713" s="2013" t="str">
        <f t="shared" si="88"/>
        <v>Anciano de primavera</v>
      </c>
      <c r="AJ713" s="2919">
        <f>IF($L713=AJ$627,COUNTIF($L$630:$L713,AJ$627)+3,0)</f>
        <v>0</v>
      </c>
      <c r="AK713" s="2916">
        <f>IF($L713=AK$627,COUNTIF($L$630:$L713,AK$627)+3,0)</f>
        <v>0</v>
      </c>
      <c r="AL713" s="2922">
        <f>IF($L713=AL$627,COUNTIF($L$630:$L713,AL$627)+3,0)</f>
        <v>84</v>
      </c>
    </row>
    <row r="714" spans="1:38" ht="12.75" customHeight="1" x14ac:dyDescent="0.2">
      <c r="A714" s="1928">
        <v>714</v>
      </c>
      <c r="B714" s="5108"/>
      <c r="C714" s="2932"/>
      <c r="D714" s="2933" t="s">
        <v>2549</v>
      </c>
      <c r="E714" s="2940">
        <v>30</v>
      </c>
      <c r="F714" s="2930">
        <v>10</v>
      </c>
      <c r="G714" s="2930">
        <v>4</v>
      </c>
      <c r="H714" s="2930">
        <v>4</v>
      </c>
      <c r="I714" s="2930" t="s">
        <v>1809</v>
      </c>
      <c r="J714" s="2930" t="s">
        <v>1863</v>
      </c>
      <c r="K714" s="2912" t="s">
        <v>8892</v>
      </c>
      <c r="L714" s="2930" t="str">
        <f>IF(ISNUMBER(SEARCH($D714,Armas_Conocidas)),"Conocida",IF(OR(ISNUMBER(SEARCH(LEFT($K714,SEARCH("/",$K714)),Tipologías_Conocidas)),AND(NOT(ISNUMBER(SEARCH("/-",$K714))),ISNUMBER(SEARCH(MID($K714,SEARCH("/",$K714)+1,LEN($K714)),Tipologías_Conocidas)))),IF(ISNUMBER(SEARCH($K714,Tipologías_Conocidas)),"Similar","Mixta"),"Distinta"))</f>
        <v>Distinta</v>
      </c>
      <c r="M714" s="2941">
        <v>10</v>
      </c>
      <c r="N714" s="2941">
        <v>0</v>
      </c>
      <c r="O714" s="2941">
        <v>15</v>
      </c>
      <c r="P714" s="2930"/>
      <c r="Q714" s="2930"/>
      <c r="R714" s="2941">
        <v>60</v>
      </c>
      <c r="S714" s="2930" t="s">
        <v>1766</v>
      </c>
      <c r="T714" s="2930">
        <v>20</v>
      </c>
      <c r="U714" s="2930"/>
      <c r="V714" s="5140" t="s">
        <v>2550</v>
      </c>
      <c r="W714" s="5140"/>
      <c r="X714" s="5141"/>
      <c r="Z714" s="2661" t="str">
        <f t="shared" si="89"/>
        <v/>
      </c>
      <c r="AB714" s="2236" t="s">
        <v>2571</v>
      </c>
      <c r="AC714" s="19"/>
      <c r="AD714" s="19"/>
      <c r="AE714" s="2631"/>
      <c r="AG714" s="2234" t="str">
        <f t="shared" si="86"/>
        <v/>
      </c>
      <c r="AH714" s="2013" t="str">
        <f t="shared" si="87"/>
        <v/>
      </c>
      <c r="AI714" s="2013" t="str">
        <f t="shared" si="88"/>
        <v>Bumerang</v>
      </c>
      <c r="AJ714" s="2919">
        <f>IF($L714=AJ$627,COUNTIF($L$630:$L714,AJ$627)+3,0)</f>
        <v>0</v>
      </c>
      <c r="AK714" s="2916">
        <f>IF($L714=AK$627,COUNTIF($L$630:$L714,AK$627)+3,0)</f>
        <v>0</v>
      </c>
      <c r="AL714" s="2922">
        <f>IF($L714=AL$627,COUNTIF($L$630:$L714,AL$627)+3,0)</f>
        <v>85</v>
      </c>
    </row>
    <row r="715" spans="1:38" ht="12.75" customHeight="1" x14ac:dyDescent="0.2">
      <c r="A715" s="1928">
        <v>715</v>
      </c>
      <c r="B715" s="5108"/>
      <c r="C715" s="2932"/>
      <c r="D715" s="2933" t="s">
        <v>2551</v>
      </c>
      <c r="E715" s="2940">
        <v>35</v>
      </c>
      <c r="F715" s="2930">
        <v>10</v>
      </c>
      <c r="G715" s="2930">
        <v>4</v>
      </c>
      <c r="H715" s="2930">
        <v>4</v>
      </c>
      <c r="I715" s="2930" t="s">
        <v>1809</v>
      </c>
      <c r="J715" s="2930" t="s">
        <v>1863</v>
      </c>
      <c r="K715" s="2912" t="s">
        <v>8892</v>
      </c>
      <c r="L715" s="2930" t="str">
        <f>IF(ISNUMBER(SEARCH($D715,Armas_Conocidas)),"Conocida",IF(OR(ISNUMBER(SEARCH(LEFT($K715,SEARCH("/",$K715)),Tipologías_Conocidas)),AND(NOT(ISNUMBER(SEARCH("/-",$K715))),ISNUMBER(SEARCH(MID($K715,SEARCH("/",$K715)+1,LEN($K715)),Tipologías_Conocidas)))),IF(ISNUMBER(SEARCH($K715,Tipologías_Conocidas)),"Similar","Mixta"),"Distinta"))</f>
        <v>Distinta</v>
      </c>
      <c r="M715" s="2941">
        <v>11</v>
      </c>
      <c r="N715" s="2941">
        <v>2</v>
      </c>
      <c r="O715" s="2941">
        <v>25</v>
      </c>
      <c r="P715" s="2930"/>
      <c r="Q715" s="2930"/>
      <c r="R715" s="2930" t="s">
        <v>1766</v>
      </c>
      <c r="S715" s="2930" t="s">
        <v>1766</v>
      </c>
      <c r="T715" s="2930" t="s">
        <v>1766</v>
      </c>
      <c r="U715" s="2930"/>
      <c r="V715" s="5140" t="s">
        <v>2552</v>
      </c>
      <c r="W715" s="5140"/>
      <c r="X715" s="5141"/>
      <c r="Z715" s="2661" t="str">
        <f t="shared" si="89"/>
        <v/>
      </c>
      <c r="AB715" s="2236" t="s">
        <v>8582</v>
      </c>
      <c r="AC715" s="19"/>
      <c r="AD715" s="19"/>
      <c r="AE715" s="2631"/>
      <c r="AG715" s="2234" t="str">
        <f t="shared" si="86"/>
        <v/>
      </c>
      <c r="AH715" s="2013" t="str">
        <f t="shared" si="87"/>
        <v/>
      </c>
      <c r="AI715" s="2013" t="str">
        <f t="shared" si="88"/>
        <v>Cuervo</v>
      </c>
      <c r="AJ715" s="2919">
        <f>IF($L715=AJ$627,COUNTIF($L$630:$L715,AJ$627)+3,0)</f>
        <v>0</v>
      </c>
      <c r="AK715" s="2916">
        <f>IF($L715=AK$627,COUNTIF($L$630:$L715,AK$627)+3,0)</f>
        <v>0</v>
      </c>
      <c r="AL715" s="2922">
        <f>IF($L715=AL$627,COUNTIF($L$630:$L715,AL$627)+3,0)</f>
        <v>86</v>
      </c>
    </row>
    <row r="716" spans="1:38" ht="12.75" customHeight="1" x14ac:dyDescent="0.2">
      <c r="A716" s="1928">
        <v>716</v>
      </c>
      <c r="B716" s="5108"/>
      <c r="C716" s="2932"/>
      <c r="D716" s="2933" t="s">
        <v>2553</v>
      </c>
      <c r="E716" s="2940">
        <v>30</v>
      </c>
      <c r="F716" s="2930">
        <v>15</v>
      </c>
      <c r="G716" s="2930">
        <v>4</v>
      </c>
      <c r="H716" s="2930">
        <v>4</v>
      </c>
      <c r="I716" s="2930" t="s">
        <v>1863</v>
      </c>
      <c r="J716" s="2930" t="s">
        <v>1864</v>
      </c>
      <c r="K716" s="2912" t="s">
        <v>8892</v>
      </c>
      <c r="L716" s="2930" t="str">
        <f>IF(ISNUMBER(SEARCH($D716,Armas_Conocidas)),"Conocida",IF(OR(ISNUMBER(SEARCH(LEFT($K716,SEARCH("/",$K716)),Tipologías_Conocidas)),AND(NOT(ISNUMBER(SEARCH("/-",$K716))),ISNUMBER(SEARCH(MID($K716,SEARCH("/",$K716)+1,LEN($K716)),Tipologías_Conocidas)))),IF(ISNUMBER(SEARCH($K716,Tipologías_Conocidas)),"Similar","Mixta"),"Distinta"))</f>
        <v>Distinta</v>
      </c>
      <c r="M716" s="2941">
        <v>12</v>
      </c>
      <c r="N716" s="2941">
        <v>2</v>
      </c>
      <c r="O716" s="2941">
        <v>15</v>
      </c>
      <c r="P716" s="2930"/>
      <c r="Q716" s="2930"/>
      <c r="R716" s="2930" t="s">
        <v>1766</v>
      </c>
      <c r="S716" s="2930" t="s">
        <v>1766</v>
      </c>
      <c r="T716" s="2930" t="s">
        <v>1766</v>
      </c>
      <c r="U716" s="2930"/>
      <c r="V716" s="5140" t="s">
        <v>1766</v>
      </c>
      <c r="W716" s="5140"/>
      <c r="X716" s="5141"/>
      <c r="Z716" s="2661" t="str">
        <f t="shared" si="89"/>
        <v/>
      </c>
      <c r="AB716" s="2236" t="s">
        <v>8599</v>
      </c>
      <c r="AC716" s="19"/>
      <c r="AD716" s="19"/>
      <c r="AE716" s="2631"/>
      <c r="AG716" s="2234" t="str">
        <f t="shared" si="86"/>
        <v/>
      </c>
      <c r="AH716" s="2013" t="str">
        <f t="shared" si="87"/>
        <v/>
      </c>
      <c r="AI716" s="2013" t="str">
        <f t="shared" si="88"/>
        <v>Garras</v>
      </c>
      <c r="AJ716" s="2919">
        <f>IF($L716=AJ$627,COUNTIF($L$630:$L716,AJ$627)+3,0)</f>
        <v>0</v>
      </c>
      <c r="AK716" s="2916">
        <f>IF($L716=AK$627,COUNTIF($L$630:$L716,AK$627)+3,0)</f>
        <v>0</v>
      </c>
      <c r="AL716" s="2922">
        <f>IF($L716=AL$627,COUNTIF($L$630:$L716,AL$627)+3,0)</f>
        <v>87</v>
      </c>
    </row>
    <row r="717" spans="1:38" ht="12.75" customHeight="1" x14ac:dyDescent="0.2">
      <c r="A717" s="1928">
        <v>717</v>
      </c>
      <c r="B717" s="5108"/>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40" t="s">
        <v>2494</v>
      </c>
      <c r="W717" s="5140"/>
      <c r="X717" s="5141"/>
      <c r="Z717" s="2661" t="str">
        <f t="shared" si="89"/>
        <v/>
      </c>
      <c r="AB717" s="2237" t="s">
        <v>8600</v>
      </c>
      <c r="AC717" s="19"/>
      <c r="AD717" s="19"/>
      <c r="AE717" s="2631"/>
      <c r="AG717" s="2234" t="str">
        <f t="shared" si="86"/>
        <v/>
      </c>
      <c r="AH717" s="2013" t="str">
        <f t="shared" si="87"/>
        <v/>
      </c>
      <c r="AI717" s="2013" t="str">
        <f t="shared" si="88"/>
        <v>Katana</v>
      </c>
      <c r="AJ717" s="2919">
        <f>IF($L717=AJ$627,COUNTIF($L$630:$L717,AJ$627)+3,0)</f>
        <v>0</v>
      </c>
      <c r="AK717" s="2916">
        <f>IF($L717=AK$627,COUNTIF($L$630:$L717,AK$627)+3,0)</f>
        <v>0</v>
      </c>
      <c r="AL717" s="2922">
        <f>IF($L717=AL$627,COUNTIF($L$630:$L717,AL$627)+3,0)</f>
        <v>88</v>
      </c>
    </row>
    <row r="718" spans="1:38" ht="12.75" customHeight="1" x14ac:dyDescent="0.2">
      <c r="A718" s="1928">
        <v>718</v>
      </c>
      <c r="B718" s="5108"/>
      <c r="C718" s="2932"/>
      <c r="D718" s="2933" t="s">
        <v>2555</v>
      </c>
      <c r="E718" s="2940">
        <v>55</v>
      </c>
      <c r="F718" s="2930">
        <v>-5</v>
      </c>
      <c r="G718" s="2930">
        <v>8</v>
      </c>
      <c r="H718" s="2930">
        <v>8</v>
      </c>
      <c r="I718" s="2930" t="s">
        <v>1863</v>
      </c>
      <c r="J718" s="2930" t="s">
        <v>1766</v>
      </c>
      <c r="K718" s="2912" t="s">
        <v>8890</v>
      </c>
      <c r="L718" s="293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41">
        <v>11</v>
      </c>
      <c r="N718" s="2941">
        <v>3</v>
      </c>
      <c r="O718" s="2941">
        <v>40</v>
      </c>
      <c r="P718" s="2930"/>
      <c r="Q718" s="2930"/>
      <c r="R718" s="2930" t="s">
        <v>1766</v>
      </c>
      <c r="S718" s="2930" t="s">
        <v>1766</v>
      </c>
      <c r="T718" s="2930" t="s">
        <v>1766</v>
      </c>
      <c r="U718" s="2930"/>
      <c r="V718" s="5140" t="s">
        <v>2556</v>
      </c>
      <c r="W718" s="5140"/>
      <c r="X718" s="5141"/>
      <c r="Z718" s="2661" t="str">
        <f t="shared" si="89"/>
        <v/>
      </c>
      <c r="AB718" s="2237" t="s">
        <v>8601</v>
      </c>
      <c r="AC718" s="19"/>
      <c r="AD718" s="19"/>
      <c r="AE718" s="2631"/>
      <c r="AG718" s="2234" t="str">
        <f t="shared" si="86"/>
        <v/>
      </c>
      <c r="AH718" s="2013" t="str">
        <f t="shared" si="87"/>
        <v/>
      </c>
      <c r="AI718" s="2013" t="str">
        <f t="shared" si="88"/>
        <v>Katana de doble hoja</v>
      </c>
      <c r="AJ718" s="2919">
        <f>IF($L718=AJ$627,COUNTIF($L$630:$L718,AJ$627)+3,0)</f>
        <v>0</v>
      </c>
      <c r="AK718" s="2916">
        <f>IF($L718=AK$627,COUNTIF($L$630:$L718,AK$627)+3,0)</f>
        <v>0</v>
      </c>
      <c r="AL718" s="2922">
        <f>IF($L718=AL$627,COUNTIF($L$630:$L718,AL$627)+3,0)</f>
        <v>89</v>
      </c>
    </row>
    <row r="719" spans="1:38" ht="12.75" customHeight="1" x14ac:dyDescent="0.2">
      <c r="A719" s="1928">
        <v>719</v>
      </c>
      <c r="B719" s="5108"/>
      <c r="C719" s="2932"/>
      <c r="D719" s="2933" t="s">
        <v>2557</v>
      </c>
      <c r="E719" s="2940">
        <v>40</v>
      </c>
      <c r="F719" s="2930">
        <v>10</v>
      </c>
      <c r="G719" s="2930">
        <v>8</v>
      </c>
      <c r="H719" s="2930">
        <v>8</v>
      </c>
      <c r="I719" s="2930" t="s">
        <v>1864</v>
      </c>
      <c r="J719" s="2930" t="s">
        <v>1863</v>
      </c>
      <c r="K719" s="2912" t="s">
        <v>8892</v>
      </c>
      <c r="L719" s="2930" t="str">
        <f t="shared" si="91"/>
        <v>Distinta</v>
      </c>
      <c r="M719" s="2941">
        <v>13</v>
      </c>
      <c r="N719" s="2941">
        <v>3</v>
      </c>
      <c r="O719" s="2941">
        <v>25</v>
      </c>
      <c r="P719" s="2930"/>
      <c r="Q719" s="2930"/>
      <c r="R719" s="2930" t="s">
        <v>1766</v>
      </c>
      <c r="S719" s="2930" t="s">
        <v>1766</v>
      </c>
      <c r="T719" s="2930" t="s">
        <v>1766</v>
      </c>
      <c r="U719" s="2930"/>
      <c r="V719" s="5140" t="s">
        <v>2558</v>
      </c>
      <c r="W719" s="5140"/>
      <c r="X719" s="5141"/>
      <c r="Z719" s="2661" t="str">
        <f t="shared" si="89"/>
        <v/>
      </c>
      <c r="AB719" s="2236" t="s">
        <v>8602</v>
      </c>
      <c r="AC719" s="19"/>
      <c r="AD719" s="19"/>
      <c r="AE719" s="2631"/>
      <c r="AG719" s="2234" t="str">
        <f t="shared" si="86"/>
        <v/>
      </c>
      <c r="AH719" s="2013" t="str">
        <f t="shared" si="87"/>
        <v/>
      </c>
      <c r="AI719" s="2013" t="str">
        <f t="shared" si="88"/>
        <v>Katar</v>
      </c>
      <c r="AJ719" s="2919">
        <f>IF($L719=AJ$627,COUNTIF($L$630:$L719,AJ$627)+3,0)</f>
        <v>0</v>
      </c>
      <c r="AK719" s="2916">
        <f>IF($L719=AK$627,COUNTIF($L$630:$L719,AK$627)+3,0)</f>
        <v>0</v>
      </c>
      <c r="AL719" s="2922">
        <f>IF($L719=AL$627,COUNTIF($L$630:$L719,AL$627)+3,0)</f>
        <v>90</v>
      </c>
    </row>
    <row r="720" spans="1:38" ht="12.75" customHeight="1" x14ac:dyDescent="0.2">
      <c r="A720" s="1928">
        <v>720</v>
      </c>
      <c r="B720" s="5108"/>
      <c r="C720" s="2932"/>
      <c r="D720" s="2933" t="s">
        <v>2559</v>
      </c>
      <c r="E720" s="2940">
        <f>40-Bono_Fue</f>
        <v>40</v>
      </c>
      <c r="F720" s="2930">
        <v>5</v>
      </c>
      <c r="G720" s="2930">
        <v>5</v>
      </c>
      <c r="H720" s="2930">
        <v>5</v>
      </c>
      <c r="I720" s="2930" t="s">
        <v>1863</v>
      </c>
      <c r="J720" s="2930" t="s">
        <v>2560</v>
      </c>
      <c r="K720" s="2912" t="s">
        <v>8904</v>
      </c>
      <c r="L720" s="2930" t="str">
        <f t="shared" si="91"/>
        <v>Distinta</v>
      </c>
      <c r="M720" s="2941">
        <v>12</v>
      </c>
      <c r="N720" s="2941">
        <v>4</v>
      </c>
      <c r="O720" s="2941">
        <v>25</v>
      </c>
      <c r="P720" s="2930"/>
      <c r="Q720" s="2930"/>
      <c r="R720" s="2930" t="s">
        <v>1766</v>
      </c>
      <c r="S720" s="2930" t="s">
        <v>1766</v>
      </c>
      <c r="T720" s="2930" t="s">
        <v>1766</v>
      </c>
      <c r="U720" s="2930"/>
      <c r="V720" s="5140" t="s">
        <v>2561</v>
      </c>
      <c r="W720" s="5140"/>
      <c r="X720" s="5141"/>
      <c r="Z720" s="2661" t="str">
        <f t="shared" si="89"/>
        <v/>
      </c>
      <c r="AB720" s="2236" t="s">
        <v>8603</v>
      </c>
      <c r="AC720" s="19"/>
      <c r="AD720" s="19"/>
      <c r="AE720" s="2631"/>
      <c r="AG720" s="2234" t="str">
        <f t="shared" si="86"/>
        <v/>
      </c>
      <c r="AH720" s="2013" t="str">
        <f t="shared" si="87"/>
        <v/>
      </c>
      <c r="AI720" s="2013" t="str">
        <f t="shared" si="88"/>
        <v>Kusari-Gama</v>
      </c>
      <c r="AJ720" s="2919">
        <f>IF($L720=AJ$627,COUNTIF($L$630:$L720,AJ$627)+3,0)</f>
        <v>0</v>
      </c>
      <c r="AK720" s="2916">
        <f>IF($L720=AK$627,COUNTIF($L$630:$L720,AK$627)+3,0)</f>
        <v>0</v>
      </c>
      <c r="AL720" s="2922">
        <f>IF($L720=AL$627,COUNTIF($L$630:$L720,AL$627)+3,0)</f>
        <v>91</v>
      </c>
    </row>
    <row r="721" spans="1:38" ht="12.75" customHeight="1" x14ac:dyDescent="0.2">
      <c r="A721" s="1928">
        <v>721</v>
      </c>
      <c r="B721" s="5108"/>
      <c r="C721" s="2932"/>
      <c r="D721" s="2933" t="s">
        <v>2562</v>
      </c>
      <c r="E721" s="2940">
        <v>80</v>
      </c>
      <c r="F721" s="2930">
        <v>-35</v>
      </c>
      <c r="G721" s="2930">
        <v>10</v>
      </c>
      <c r="H721" s="2930">
        <v>8</v>
      </c>
      <c r="I721" s="2930" t="s">
        <v>1863</v>
      </c>
      <c r="J721" s="2930" t="s">
        <v>1766</v>
      </c>
      <c r="K721" s="2912" t="s">
        <v>8894</v>
      </c>
      <c r="L721" s="2930" t="str">
        <f t="shared" si="91"/>
        <v>Distinta</v>
      </c>
      <c r="M721" s="2941">
        <v>14</v>
      </c>
      <c r="N721" s="2941">
        <v>4</v>
      </c>
      <c r="O721" s="2941">
        <v>40</v>
      </c>
      <c r="P721" s="2930"/>
      <c r="Q721" s="2930"/>
      <c r="R721" s="2930" t="s">
        <v>1766</v>
      </c>
      <c r="S721" s="2930" t="s">
        <v>1766</v>
      </c>
      <c r="T721" s="2930" t="s">
        <v>1766</v>
      </c>
      <c r="U721" s="2930"/>
      <c r="V721" s="5140" t="s">
        <v>2494</v>
      </c>
      <c r="W721" s="5140"/>
      <c r="X721" s="5141"/>
      <c r="Z721" s="2661" t="str">
        <f t="shared" si="89"/>
        <v/>
      </c>
      <c r="AB721" s="2236" t="s">
        <v>8604</v>
      </c>
      <c r="AC721" s="19"/>
      <c r="AD721" s="19"/>
      <c r="AE721" s="2631"/>
      <c r="AG721" s="2234" t="str">
        <f t="shared" si="86"/>
        <v/>
      </c>
      <c r="AH721" s="2013" t="str">
        <f t="shared" si="87"/>
        <v/>
      </c>
      <c r="AI721" s="2013" t="str">
        <f t="shared" si="88"/>
        <v>Nodachi</v>
      </c>
      <c r="AJ721" s="2919">
        <f>IF($L721=AJ$627,COUNTIF($L$630:$L721,AJ$627)+3,0)</f>
        <v>0</v>
      </c>
      <c r="AK721" s="2916">
        <f>IF($L721=AK$627,COUNTIF($L$630:$L721,AK$627)+3,0)</f>
        <v>0</v>
      </c>
      <c r="AL721" s="2922">
        <f>IF($L721=AL$627,COUNTIF($L$630:$L721,AL$627)+3,0)</f>
        <v>92</v>
      </c>
    </row>
    <row r="722" spans="1:38" ht="12.75" customHeight="1" x14ac:dyDescent="0.2">
      <c r="A722" s="1928">
        <v>722</v>
      </c>
      <c r="B722" s="5108"/>
      <c r="C722" s="2932"/>
      <c r="D722" s="2933" t="s">
        <v>2563</v>
      </c>
      <c r="E722" s="2940">
        <v>30</v>
      </c>
      <c r="F722" s="2930">
        <v>15</v>
      </c>
      <c r="G722" s="2930">
        <v>5</v>
      </c>
      <c r="H722" s="2930">
        <v>5</v>
      </c>
      <c r="I722" s="2930" t="s">
        <v>1809</v>
      </c>
      <c r="J722" s="2930" t="s">
        <v>1766</v>
      </c>
      <c r="K722" s="2912" t="s">
        <v>8891</v>
      </c>
      <c r="L722" s="2930" t="str">
        <f t="shared" si="91"/>
        <v>Distinta</v>
      </c>
      <c r="M722" s="2941">
        <v>11</v>
      </c>
      <c r="N722" s="2941">
        <v>0</v>
      </c>
      <c r="O722" s="2941">
        <v>15</v>
      </c>
      <c r="P722" s="2930"/>
      <c r="Q722" s="2930"/>
      <c r="R722" s="2930" t="s">
        <v>1766</v>
      </c>
      <c r="S722" s="2930" t="s">
        <v>1766</v>
      </c>
      <c r="T722" s="2930" t="s">
        <v>1766</v>
      </c>
      <c r="U722" s="2930"/>
      <c r="V722" s="5140" t="s">
        <v>1766</v>
      </c>
      <c r="W722" s="5140"/>
      <c r="X722" s="5141"/>
      <c r="Z722" s="2661" t="str">
        <f t="shared" si="89"/>
        <v/>
      </c>
      <c r="AB722" s="2236" t="s">
        <v>8605</v>
      </c>
      <c r="AC722" s="19"/>
      <c r="AD722" s="19"/>
      <c r="AE722" s="2631"/>
      <c r="AG722" s="2234" t="str">
        <f t="shared" si="86"/>
        <v/>
      </c>
      <c r="AH722" s="2013" t="str">
        <f t="shared" si="87"/>
        <v/>
      </c>
      <c r="AI722" s="2013" t="str">
        <f t="shared" si="88"/>
        <v>Nunchaku</v>
      </c>
      <c r="AJ722" s="2919">
        <f>IF($L722=AJ$627,COUNTIF($L$630:$L722,AJ$627)+3,0)</f>
        <v>0</v>
      </c>
      <c r="AK722" s="2916">
        <f>IF($L722=AK$627,COUNTIF($L$630:$L722,AK$627)+3,0)</f>
        <v>0</v>
      </c>
      <c r="AL722" s="2922">
        <f>IF($L722=AL$627,COUNTIF($L$630:$L722,AL$627)+3,0)</f>
        <v>93</v>
      </c>
    </row>
    <row r="723" spans="1:38" ht="12.75" customHeight="1" x14ac:dyDescent="0.2">
      <c r="A723" s="1928">
        <v>723</v>
      </c>
      <c r="B723" s="5108"/>
      <c r="C723" s="2932"/>
      <c r="D723" s="2933" t="s">
        <v>2564</v>
      </c>
      <c r="E723" s="2940">
        <v>50</v>
      </c>
      <c r="F723" s="2930">
        <v>-20</v>
      </c>
      <c r="G723" s="2930">
        <v>10</v>
      </c>
      <c r="H723" s="2930">
        <v>8</v>
      </c>
      <c r="I723" s="2930" t="s">
        <v>1809</v>
      </c>
      <c r="J723" s="2930" t="s">
        <v>1863</v>
      </c>
      <c r="K723" s="2912" t="s">
        <v>8894</v>
      </c>
      <c r="L723" s="2930" t="str">
        <f t="shared" si="91"/>
        <v>Distinta</v>
      </c>
      <c r="M723" s="2941">
        <v>16</v>
      </c>
      <c r="N723" s="2941">
        <v>8</v>
      </c>
      <c r="O723" s="2941">
        <v>25</v>
      </c>
      <c r="P723" s="2930"/>
      <c r="Q723" s="2930"/>
      <c r="R723" s="2930" t="s">
        <v>1766</v>
      </c>
      <c r="S723" s="2930" t="s">
        <v>1766</v>
      </c>
      <c r="T723" s="2930" t="s">
        <v>1766</v>
      </c>
      <c r="U723" s="2930"/>
      <c r="V723" s="5140" t="s">
        <v>2494</v>
      </c>
      <c r="W723" s="5140"/>
      <c r="X723" s="5141"/>
      <c r="Z723" s="2661" t="str">
        <f t="shared" si="89"/>
        <v/>
      </c>
      <c r="AB723" s="2236" t="s">
        <v>8606</v>
      </c>
      <c r="AC723" s="19"/>
      <c r="AD723" s="19"/>
      <c r="AE723" s="2631"/>
      <c r="AG723" s="2234" t="str">
        <f t="shared" si="86"/>
        <v/>
      </c>
      <c r="AH723" s="2013" t="str">
        <f t="shared" si="87"/>
        <v/>
      </c>
      <c r="AI723" s="2013" t="str">
        <f t="shared" si="88"/>
        <v>Quebradora</v>
      </c>
      <c r="AJ723" s="2919">
        <f>IF($L723=AJ$627,COUNTIF($L$630:$L723,AJ$627)+3,0)</f>
        <v>0</v>
      </c>
      <c r="AK723" s="2916">
        <f>IF($L723=AK$627,COUNTIF($L$630:$L723,AK$627)+3,0)</f>
        <v>0</v>
      </c>
      <c r="AL723" s="2922">
        <f>IF($L723=AL$627,COUNTIF($L$630:$L723,AL$627)+3,0)</f>
        <v>94</v>
      </c>
    </row>
    <row r="724" spans="1:38" ht="12.75" customHeight="1" x14ac:dyDescent="0.2">
      <c r="A724" s="1928">
        <v>724</v>
      </c>
      <c r="B724" s="5108"/>
      <c r="C724" s="2932"/>
      <c r="D724" s="2933" t="s">
        <v>2565</v>
      </c>
      <c r="E724" s="2940">
        <v>35</v>
      </c>
      <c r="F724" s="2930">
        <v>15</v>
      </c>
      <c r="G724" s="2930">
        <v>4</v>
      </c>
      <c r="H724" s="2930">
        <v>4</v>
      </c>
      <c r="I724" s="2930" t="s">
        <v>1864</v>
      </c>
      <c r="J724" s="2930" t="s">
        <v>1863</v>
      </c>
      <c r="K724" s="2912" t="s">
        <v>8892</v>
      </c>
      <c r="L724" s="2930" t="str">
        <f t="shared" si="91"/>
        <v>Distinta</v>
      </c>
      <c r="M724" s="2941">
        <v>12</v>
      </c>
      <c r="N724" s="2941">
        <v>0</v>
      </c>
      <c r="O724" s="2941">
        <v>25</v>
      </c>
      <c r="P724" s="2930"/>
      <c r="Q724" s="2930"/>
      <c r="R724" s="2930" t="s">
        <v>1766</v>
      </c>
      <c r="S724" s="2930" t="s">
        <v>1766</v>
      </c>
      <c r="T724" s="2930" t="s">
        <v>1766</v>
      </c>
      <c r="U724" s="2930"/>
      <c r="V724" s="5140" t="s">
        <v>2566</v>
      </c>
      <c r="W724" s="5140"/>
      <c r="X724" s="5141"/>
      <c r="Z724" s="2661" t="str">
        <f t="shared" si="89"/>
        <v/>
      </c>
      <c r="AB724" s="2234" t="s">
        <v>8585</v>
      </c>
      <c r="AC724" s="19"/>
      <c r="AD724" s="19"/>
      <c r="AE724" s="2631"/>
      <c r="AG724" s="2234" t="str">
        <f t="shared" si="86"/>
        <v/>
      </c>
      <c r="AH724" s="2013" t="str">
        <f t="shared" si="87"/>
        <v/>
      </c>
      <c r="AI724" s="2013" t="str">
        <f t="shared" si="88"/>
        <v>Sai</v>
      </c>
      <c r="AJ724" s="2919">
        <f>IF($L724=AJ$627,COUNTIF($L$630:$L724,AJ$627)+3,0)</f>
        <v>0</v>
      </c>
      <c r="AK724" s="2916">
        <f>IF($L724=AK$627,COUNTIF($L$630:$L724,AK$627)+3,0)</f>
        <v>0</v>
      </c>
      <c r="AL724" s="2922">
        <f>IF($L724=AL$627,COUNTIF($L$630:$L724,AL$627)+3,0)</f>
        <v>95</v>
      </c>
    </row>
    <row r="725" spans="1:38" ht="12.75" customHeight="1" x14ac:dyDescent="0.2">
      <c r="A725" s="1928">
        <v>725</v>
      </c>
      <c r="B725" s="5108"/>
      <c r="C725" s="2932"/>
      <c r="D725" s="2933" t="s">
        <v>2567</v>
      </c>
      <c r="E725" s="2940">
        <v>20</v>
      </c>
      <c r="F725" s="2930">
        <v>10</v>
      </c>
      <c r="G725" s="2930">
        <v>4</v>
      </c>
      <c r="H725" s="2930">
        <v>4</v>
      </c>
      <c r="I725" s="2930" t="s">
        <v>1864</v>
      </c>
      <c r="J725" s="2930" t="s">
        <v>1766</v>
      </c>
      <c r="K725" s="2912" t="s">
        <v>8892</v>
      </c>
      <c r="L725" s="2930" t="str">
        <f t="shared" si="91"/>
        <v>Distinta</v>
      </c>
      <c r="M725" s="2941">
        <v>9</v>
      </c>
      <c r="N725" s="2941">
        <v>-2</v>
      </c>
      <c r="O725" s="2941">
        <v>25</v>
      </c>
      <c r="P725" s="2930"/>
      <c r="Q725" s="2930"/>
      <c r="R725" s="2930" t="s">
        <v>1766</v>
      </c>
      <c r="S725" s="2930" t="s">
        <v>1766</v>
      </c>
      <c r="T725" s="2930" t="s">
        <v>1766</v>
      </c>
      <c r="U725" s="2930"/>
      <c r="V725" s="5140" t="s">
        <v>2520</v>
      </c>
      <c r="W725" s="5140"/>
      <c r="X725" s="5141"/>
      <c r="Z725" s="2661" t="str">
        <f t="shared" si="89"/>
        <v/>
      </c>
      <c r="AB725" s="2236" t="s">
        <v>8607</v>
      </c>
      <c r="AC725" s="19"/>
      <c r="AD725" s="19"/>
      <c r="AE725" s="2631"/>
      <c r="AG725" s="2234" t="str">
        <f t="shared" si="86"/>
        <v/>
      </c>
      <c r="AH725" s="2013" t="str">
        <f t="shared" si="87"/>
        <v/>
      </c>
      <c r="AI725" s="2013" t="str">
        <f t="shared" si="88"/>
        <v>Shuko</v>
      </c>
      <c r="AJ725" s="2919">
        <f>IF($L725=AJ$627,COUNTIF($L$630:$L725,AJ$627)+3,0)</f>
        <v>0</v>
      </c>
      <c r="AK725" s="2916">
        <f>IF($L725=AK$627,COUNTIF($L$630:$L725,AK$627)+3,0)</f>
        <v>0</v>
      </c>
      <c r="AL725" s="2922">
        <f>IF($L725=AL$627,COUNTIF($L$630:$L725,AL$627)+3,0)</f>
        <v>96</v>
      </c>
    </row>
    <row r="726" spans="1:38" ht="12.75" customHeight="1" x14ac:dyDescent="0.2">
      <c r="A726" s="1928">
        <v>726</v>
      </c>
      <c r="B726" s="5108"/>
      <c r="C726" s="2932"/>
      <c r="D726" s="2933" t="s">
        <v>2568</v>
      </c>
      <c r="E726" s="2940">
        <v>25</v>
      </c>
      <c r="F726" s="2930">
        <v>20</v>
      </c>
      <c r="G726" s="2930">
        <v>4</v>
      </c>
      <c r="H726" s="2930">
        <v>4</v>
      </c>
      <c r="I726" s="2930" t="s">
        <v>1863</v>
      </c>
      <c r="J726" s="2930" t="s">
        <v>1864</v>
      </c>
      <c r="K726" s="2912" t="s">
        <v>8892</v>
      </c>
      <c r="L726" s="2930" t="str">
        <f t="shared" si="91"/>
        <v>Distinta</v>
      </c>
      <c r="M726" s="2941">
        <v>10</v>
      </c>
      <c r="N726" s="2941">
        <v>1</v>
      </c>
      <c r="O726" s="2941">
        <v>20</v>
      </c>
      <c r="P726" s="2930"/>
      <c r="Q726" s="2930"/>
      <c r="R726" s="2941">
        <v>30</v>
      </c>
      <c r="S726" s="2930" t="s">
        <v>1766</v>
      </c>
      <c r="T726" s="2930">
        <v>20</v>
      </c>
      <c r="U726" s="2930"/>
      <c r="V726" s="5140" t="s">
        <v>2569</v>
      </c>
      <c r="W726" s="5140"/>
      <c r="X726" s="5141"/>
      <c r="Z726" s="2661" t="str">
        <f t="shared" si="89"/>
        <v/>
      </c>
      <c r="AB726" s="2236" t="s">
        <v>8587</v>
      </c>
      <c r="AC726" s="19"/>
      <c r="AD726" s="19"/>
      <c r="AE726" s="2631"/>
      <c r="AG726" s="2234" t="str">
        <f t="shared" ref="AG726:AG757" si="92">IF(ISNA(INDEX(Lista_Armas,MATCH($A97,AJ$630:AJ$766,0))),"",INDEX(Lista_Armas,MATCH($A97,AJ$630:AJ$766,0)))</f>
        <v/>
      </c>
      <c r="AH726" s="2013" t="str">
        <f t="shared" ref="AH726:AH757" si="93">IF(ISNA(INDEX(Lista_Armas,MATCH($A97,AK$630:AK$766,0))),"",INDEX(Lista_Armas,MATCH($A97,AK$630:AK$766,0)))</f>
        <v/>
      </c>
      <c r="AI726" s="2013" t="str">
        <f t="shared" ref="AI726:AI757" si="94">IF(ISNA(INDEX(Lista_Armas,MATCH($A97,AL$630:AL$766,0))),"",INDEX(Lista_Armas,MATCH($A97,AL$630:AL$766,0)))</f>
        <v>Shuriken</v>
      </c>
      <c r="AJ726" s="2919">
        <f>IF($L726=AJ$627,COUNTIF($L$630:$L726,AJ$627)+3,0)</f>
        <v>0</v>
      </c>
      <c r="AK726" s="2916">
        <f>IF($L726=AK$627,COUNTIF($L$630:$L726,AK$627)+3,0)</f>
        <v>0</v>
      </c>
      <c r="AL726" s="2922">
        <f>IF($L726=AL$627,COUNTIF($L$630:$L726,AL$627)+3,0)</f>
        <v>97</v>
      </c>
    </row>
    <row r="727" spans="1:38" ht="12.75" customHeight="1" x14ac:dyDescent="0.2">
      <c r="A727" s="1928">
        <v>727</v>
      </c>
      <c r="B727" s="5108"/>
      <c r="C727" s="2932"/>
      <c r="D727" s="2933" t="s">
        <v>2570</v>
      </c>
      <c r="E727" s="2940">
        <v>40</v>
      </c>
      <c r="F727" s="2930">
        <v>20</v>
      </c>
      <c r="G727" s="2930">
        <v>3</v>
      </c>
      <c r="H727" s="2930">
        <v>3</v>
      </c>
      <c r="I727" s="2930" t="s">
        <v>1863</v>
      </c>
      <c r="J727" s="2930" t="s">
        <v>1766</v>
      </c>
      <c r="K727" s="2912" t="s">
        <v>8892</v>
      </c>
      <c r="L727" s="2930" t="str">
        <f t="shared" si="91"/>
        <v>Distinta</v>
      </c>
      <c r="M727" s="2941">
        <v>9</v>
      </c>
      <c r="N727" s="2941">
        <v>1</v>
      </c>
      <c r="O727" s="2941">
        <v>40</v>
      </c>
      <c r="P727" s="2930"/>
      <c r="Q727" s="2930"/>
      <c r="R727" s="2930" t="s">
        <v>1766</v>
      </c>
      <c r="S727" s="2930" t="s">
        <v>1766</v>
      </c>
      <c r="T727" s="2930" t="s">
        <v>1766</v>
      </c>
      <c r="U727" s="2930"/>
      <c r="V727" s="5140" t="s">
        <v>2498</v>
      </c>
      <c r="W727" s="5140"/>
      <c r="X727" s="5141"/>
      <c r="Z727" s="2661" t="str">
        <f t="shared" si="89"/>
        <v/>
      </c>
      <c r="AB727" s="2236" t="s">
        <v>8608</v>
      </c>
      <c r="AC727" s="19"/>
      <c r="AD727" s="19"/>
      <c r="AE727" s="2631"/>
      <c r="AG727" s="2234" t="str">
        <f t="shared" si="92"/>
        <v/>
      </c>
      <c r="AH727" s="2013" t="str">
        <f t="shared" si="93"/>
        <v/>
      </c>
      <c r="AI727" s="2013" t="str">
        <f t="shared" si="94"/>
        <v>Tanto</v>
      </c>
      <c r="AJ727" s="2919">
        <f>IF($L727=AJ$627,COUNTIF($L$630:$L727,AJ$627)+3,0)</f>
        <v>0</v>
      </c>
      <c r="AK727" s="2916">
        <f>IF($L727=AK$627,COUNTIF($L$630:$L727,AK$627)+3,0)</f>
        <v>0</v>
      </c>
      <c r="AL727" s="2922">
        <f>IF($L727=AL$627,COUNTIF($L$630:$L727,AL$627)+3,0)</f>
        <v>98</v>
      </c>
    </row>
    <row r="728" spans="1:38" ht="12.75" customHeight="1" x14ac:dyDescent="0.2">
      <c r="A728" s="1928">
        <v>728</v>
      </c>
      <c r="B728" s="5108"/>
      <c r="C728" s="2932"/>
      <c r="D728" s="2933" t="s">
        <v>2571</v>
      </c>
      <c r="E728" s="2940">
        <v>30</v>
      </c>
      <c r="F728" s="2930">
        <v>20</v>
      </c>
      <c r="G728" s="2930">
        <v>4</v>
      </c>
      <c r="H728" s="2930">
        <v>4</v>
      </c>
      <c r="I728" s="2930" t="s">
        <v>1809</v>
      </c>
      <c r="J728" s="2930" t="s">
        <v>1766</v>
      </c>
      <c r="K728" s="2912" t="s">
        <v>8892</v>
      </c>
      <c r="L728" s="2930" t="str">
        <f t="shared" si="91"/>
        <v>Distinta</v>
      </c>
      <c r="M728" s="2941">
        <v>13</v>
      </c>
      <c r="N728" s="2941">
        <v>0</v>
      </c>
      <c r="O728" s="2941">
        <v>25</v>
      </c>
      <c r="P728" s="2930"/>
      <c r="Q728" s="2930"/>
      <c r="R728" s="2930" t="s">
        <v>1766</v>
      </c>
      <c r="S728" s="2930" t="s">
        <v>1766</v>
      </c>
      <c r="T728" s="2930" t="s">
        <v>1766</v>
      </c>
      <c r="U728" s="2930"/>
      <c r="V728" s="5140" t="s">
        <v>2498</v>
      </c>
      <c r="W728" s="5140"/>
      <c r="X728" s="5141"/>
      <c r="Z728" s="2661" t="str">
        <f t="shared" si="89"/>
        <v/>
      </c>
      <c r="AB728" s="2236" t="s">
        <v>8590</v>
      </c>
      <c r="AC728" s="19"/>
      <c r="AD728" s="19"/>
      <c r="AE728" s="2631"/>
      <c r="AG728" s="2234" t="str">
        <f t="shared" si="92"/>
        <v/>
      </c>
      <c r="AH728" s="2013" t="str">
        <f t="shared" si="93"/>
        <v/>
      </c>
      <c r="AI728" s="2013" t="str">
        <f t="shared" si="94"/>
        <v>Tonfa</v>
      </c>
      <c r="AJ728" s="2919">
        <f>IF($L728=AJ$627,COUNTIF($L$630:$L728,AJ$627)+3,0)</f>
        <v>0</v>
      </c>
      <c r="AK728" s="2916">
        <f>IF($L728=AK$627,COUNTIF($L$630:$L728,AK$627)+3,0)</f>
        <v>0</v>
      </c>
      <c r="AL728" s="2922">
        <f>IF($L728=AL$627,COUNTIF($L$630:$L728,AL$627)+3,0)</f>
        <v>99</v>
      </c>
    </row>
    <row r="729" spans="1:38" ht="12.75" customHeight="1" x14ac:dyDescent="0.2">
      <c r="A729" s="1928">
        <v>729</v>
      </c>
      <c r="B729" s="5108"/>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9"/>
        <v/>
      </c>
      <c r="AB729" s="2236" t="s">
        <v>8609</v>
      </c>
      <c r="AC729" s="19"/>
      <c r="AD729" s="19"/>
      <c r="AE729" s="2631"/>
      <c r="AG729" s="2234" t="str">
        <f t="shared" si="92"/>
        <v/>
      </c>
      <c r="AH729" s="2013" t="str">
        <f t="shared" si="93"/>
        <v/>
      </c>
      <c r="AI729" s="2013" t="str">
        <f t="shared" si="94"/>
        <v>Boku-to</v>
      </c>
      <c r="AJ729" s="2919">
        <f>IF($L729=AJ$627,COUNTIF($L$630:$L729,AJ$627)+3,0)</f>
        <v>0</v>
      </c>
      <c r="AK729" s="2916">
        <f>IF($L729=AK$627,COUNTIF($L$630:$L729,AK$627)+3,0)</f>
        <v>0</v>
      </c>
      <c r="AL729" s="2922">
        <f>IF($L729=AL$627,COUNTIF($L$630:$L729,AL$627)+3,0)</f>
        <v>100</v>
      </c>
    </row>
    <row r="730" spans="1:38" ht="12.75" customHeight="1" x14ac:dyDescent="0.2">
      <c r="A730" s="1928">
        <v>730</v>
      </c>
      <c r="B730" s="5108"/>
      <c r="C730" s="2932"/>
      <c r="D730" s="2933" t="s">
        <v>8599</v>
      </c>
      <c r="E730" s="2940">
        <v>20</v>
      </c>
      <c r="F730" s="2930">
        <v>15</v>
      </c>
      <c r="G730" s="2930">
        <v>4</v>
      </c>
      <c r="H730" s="2930">
        <v>4</v>
      </c>
      <c r="I730" s="2930" t="s">
        <v>1809</v>
      </c>
      <c r="J730" s="2930" t="s">
        <v>1766</v>
      </c>
      <c r="K730" s="2912" t="s">
        <v>8892</v>
      </c>
      <c r="L730" s="293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9"/>
        <v/>
      </c>
      <c r="AB730" s="2236" t="s">
        <v>8610</v>
      </c>
      <c r="AC730" s="19"/>
      <c r="AD730" s="19"/>
      <c r="AE730" s="2631"/>
      <c r="AG730" s="2234" t="str">
        <f t="shared" si="92"/>
        <v/>
      </c>
      <c r="AH730" s="2013" t="str">
        <f t="shared" si="93"/>
        <v/>
      </c>
      <c r="AI730" s="2013" t="str">
        <f t="shared" si="94"/>
        <v>Jutte</v>
      </c>
      <c r="AJ730" s="2919">
        <f>IF($L730=AJ$627,COUNTIF($L$630:$L730,AJ$627)+3,0)</f>
        <v>0</v>
      </c>
      <c r="AK730" s="2916">
        <f>IF($L730=AK$627,COUNTIF($L$630:$L730,AK$627)+3,0)</f>
        <v>0</v>
      </c>
      <c r="AL730" s="2922">
        <f>IF($L730=AL$627,COUNTIF($L$630:$L730,AL$627)+3,0)</f>
        <v>101</v>
      </c>
    </row>
    <row r="731" spans="1:38" ht="12.75" customHeight="1" x14ac:dyDescent="0.2">
      <c r="A731" s="1928">
        <v>731</v>
      </c>
      <c r="B731" s="5108"/>
      <c r="C731" s="2932"/>
      <c r="D731" s="2933" t="s">
        <v>8600</v>
      </c>
      <c r="E731" s="2940">
        <v>40</v>
      </c>
      <c r="F731" s="2930">
        <v>5</v>
      </c>
      <c r="G731" s="2930">
        <v>4</v>
      </c>
      <c r="H731" s="2930">
        <v>4</v>
      </c>
      <c r="I731" s="2930" t="s">
        <v>1863</v>
      </c>
      <c r="J731" s="2930" t="s">
        <v>1864</v>
      </c>
      <c r="K731" s="2912" t="s">
        <v>8892</v>
      </c>
      <c r="L731" s="2930" t="str">
        <f t="shared" si="95"/>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6">IF(AND(K731&lt;&gt;"Natural/-",ISNUMBER(SEARCH(D731,Armas_Conocidas))),", "&amp;K731,"")</f>
        <v/>
      </c>
      <c r="AB731" s="2237" t="s">
        <v>2607</v>
      </c>
      <c r="AC731" s="19"/>
      <c r="AD731" s="19"/>
      <c r="AE731" s="2631"/>
      <c r="AG731" s="2234" t="str">
        <f t="shared" si="92"/>
        <v/>
      </c>
      <c r="AH731" s="2013" t="str">
        <f t="shared" si="93"/>
        <v/>
      </c>
      <c r="AI731" s="2013" t="str">
        <f t="shared" si="94"/>
        <v>Kama</v>
      </c>
      <c r="AJ731" s="2919">
        <f>IF($L731=AJ$627,COUNTIF($L$630:$L731,AJ$627)+3,0)</f>
        <v>0</v>
      </c>
      <c r="AK731" s="2916">
        <f>IF($L731=AK$627,COUNTIF($L$630:$L731,AK$627)+3,0)</f>
        <v>0</v>
      </c>
      <c r="AL731" s="2922">
        <f>IF($L731=AL$627,COUNTIF($L$630:$L731,AL$627)+3,0)</f>
        <v>102</v>
      </c>
    </row>
    <row r="732" spans="1:38" ht="12.75" customHeight="1" x14ac:dyDescent="0.2">
      <c r="A732" s="1928">
        <v>732</v>
      </c>
      <c r="B732" s="5108"/>
      <c r="C732" s="2932"/>
      <c r="D732" s="2933" t="s">
        <v>8601</v>
      </c>
      <c r="E732" s="2940">
        <v>30</v>
      </c>
      <c r="F732" s="2930">
        <v>0</v>
      </c>
      <c r="G732" s="2930">
        <v>6</v>
      </c>
      <c r="H732" s="2930">
        <v>6</v>
      </c>
      <c r="I732" s="2930" t="s">
        <v>1809</v>
      </c>
      <c r="J732" s="2930" t="s">
        <v>1766</v>
      </c>
      <c r="K732" s="2912" t="s">
        <v>8891</v>
      </c>
      <c r="L732" s="2930" t="str">
        <f t="shared" si="95"/>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6"/>
        <v/>
      </c>
      <c r="AB732" s="2237" t="s">
        <v>2631</v>
      </c>
      <c r="AC732" s="19"/>
      <c r="AD732" s="19"/>
      <c r="AE732" s="2631"/>
      <c r="AG732" s="2234" t="str">
        <f t="shared" si="92"/>
        <v/>
      </c>
      <c r="AH732" s="2013" t="str">
        <f t="shared" si="93"/>
        <v/>
      </c>
      <c r="AI732" s="2013" t="str">
        <f t="shared" si="94"/>
        <v>Kau Sin Ke</v>
      </c>
      <c r="AJ732" s="2919">
        <f>IF($L732=AJ$627,COUNTIF($L$630:$L732,AJ$627)+3,0)</f>
        <v>0</v>
      </c>
      <c r="AK732" s="2916">
        <f>IF($L732=AK$627,COUNTIF($L$630:$L732,AK$627)+3,0)</f>
        <v>0</v>
      </c>
      <c r="AL732" s="2922">
        <f>IF($L732=AL$627,COUNTIF($L$630:$L732,AL$627)+3,0)</f>
        <v>103</v>
      </c>
    </row>
    <row r="733" spans="1:38" ht="12.75" customHeight="1" x14ac:dyDescent="0.2">
      <c r="A733" s="1928">
        <v>733</v>
      </c>
      <c r="B733" s="5108"/>
      <c r="C733" s="2932"/>
      <c r="D733" s="2933" t="s">
        <v>8602</v>
      </c>
      <c r="E733" s="2940">
        <v>20</v>
      </c>
      <c r="F733" s="2930">
        <v>15</v>
      </c>
      <c r="G733" s="2930">
        <v>4</v>
      </c>
      <c r="H733" s="2930">
        <v>4</v>
      </c>
      <c r="I733" s="2930" t="s">
        <v>1809</v>
      </c>
      <c r="J733" s="2930" t="s">
        <v>1766</v>
      </c>
      <c r="K733" s="2912" t="s">
        <v>8893</v>
      </c>
      <c r="L733" s="2930" t="str">
        <f t="shared" si="95"/>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6"/>
        <v/>
      </c>
      <c r="AB733" s="2236" t="s">
        <v>2629</v>
      </c>
      <c r="AC733" s="19"/>
      <c r="AD733" s="19"/>
      <c r="AE733" s="2631"/>
      <c r="AG733" s="2234" t="str">
        <f t="shared" si="92"/>
        <v/>
      </c>
      <c r="AH733" s="2013" t="str">
        <f t="shared" si="93"/>
        <v/>
      </c>
      <c r="AI733" s="2013" t="str">
        <f t="shared" si="94"/>
        <v>Kiseru</v>
      </c>
      <c r="AJ733" s="2919">
        <f>IF($L733=AJ$627,COUNTIF($L$630:$L733,AJ$627)+3,0)</f>
        <v>0</v>
      </c>
      <c r="AK733" s="2916">
        <f>IF($L733=AK$627,COUNTIF($L$630:$L733,AK$627)+3,0)</f>
        <v>0</v>
      </c>
      <c r="AL733" s="2922">
        <f>IF($L733=AL$627,COUNTIF($L$630:$L733,AL$627)+3,0)</f>
        <v>104</v>
      </c>
    </row>
    <row r="734" spans="1:38" ht="12.75" customHeight="1" x14ac:dyDescent="0.2">
      <c r="A734" s="1928">
        <v>734</v>
      </c>
      <c r="B734" s="5108"/>
      <c r="C734" s="2932"/>
      <c r="D734" s="2933" t="s">
        <v>8603</v>
      </c>
      <c r="E734" s="2940">
        <v>30</v>
      </c>
      <c r="F734" s="2930">
        <v>15</v>
      </c>
      <c r="G734" s="2930">
        <v>4</v>
      </c>
      <c r="H734" s="2930">
        <v>4</v>
      </c>
      <c r="I734" s="2930" t="s">
        <v>1864</v>
      </c>
      <c r="J734" s="2930" t="s">
        <v>1863</v>
      </c>
      <c r="K734" s="2912" t="s">
        <v>8892</v>
      </c>
      <c r="L734" s="2930" t="str">
        <f t="shared" si="95"/>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6"/>
        <v/>
      </c>
      <c r="AB734" s="2236" t="s">
        <v>2617</v>
      </c>
      <c r="AC734" s="19"/>
      <c r="AD734" s="19"/>
      <c r="AE734" s="2631"/>
      <c r="AG734" s="2234" t="str">
        <f t="shared" si="92"/>
        <v/>
      </c>
      <c r="AH734" s="2013" t="str">
        <f t="shared" si="93"/>
        <v/>
      </c>
      <c r="AI734" s="2013" t="str">
        <f t="shared" si="94"/>
        <v>Kris</v>
      </c>
      <c r="AJ734" s="2919">
        <f>IF($L734=AJ$627,COUNTIF($L$630:$L734,AJ$627)+3,0)</f>
        <v>0</v>
      </c>
      <c r="AK734" s="2916">
        <f>IF($L734=AK$627,COUNTIF($L$630:$L734,AK$627)+3,0)</f>
        <v>0</v>
      </c>
      <c r="AL734" s="2922">
        <f>IF($L734=AL$627,COUNTIF($L$630:$L734,AL$627)+3,0)</f>
        <v>105</v>
      </c>
    </row>
    <row r="735" spans="1:38" ht="12.75" customHeight="1" x14ac:dyDescent="0.2">
      <c r="A735" s="1928">
        <v>735</v>
      </c>
      <c r="B735" s="5108"/>
      <c r="C735" s="2932"/>
      <c r="D735" s="2933" t="s">
        <v>8604</v>
      </c>
      <c r="E735" s="2940">
        <v>35</v>
      </c>
      <c r="F735" s="2930">
        <v>-10</v>
      </c>
      <c r="G735" s="2930">
        <v>4</v>
      </c>
      <c r="H735" s="2930">
        <v>4</v>
      </c>
      <c r="I735" s="2930" t="s">
        <v>1864</v>
      </c>
      <c r="J735" s="2930" t="s">
        <v>1766</v>
      </c>
      <c r="K735" s="2912" t="s">
        <v>8887</v>
      </c>
      <c r="L735" s="2930" t="str">
        <f t="shared" si="95"/>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6"/>
        <v/>
      </c>
      <c r="AB735" s="2236" t="s">
        <v>2619</v>
      </c>
      <c r="AC735" s="19"/>
      <c r="AD735" s="19"/>
      <c r="AE735" s="2631"/>
      <c r="AG735" s="2234" t="str">
        <f t="shared" si="92"/>
        <v/>
      </c>
      <c r="AH735" s="2013" t="str">
        <f t="shared" si="93"/>
        <v/>
      </c>
      <c r="AI735" s="2013" t="str">
        <f t="shared" si="94"/>
        <v>Kumade</v>
      </c>
      <c r="AJ735" s="2919">
        <f>IF($L735=AJ$627,COUNTIF($L$630:$L735,AJ$627)+3,0)</f>
        <v>0</v>
      </c>
      <c r="AK735" s="2916">
        <f>IF($L735=AK$627,COUNTIF($L$630:$L735,AK$627)+3,0)</f>
        <v>0</v>
      </c>
      <c r="AL735" s="2922">
        <f>IF($L735=AL$627,COUNTIF($L$630:$L735,AL$627)+3,0)</f>
        <v>106</v>
      </c>
    </row>
    <row r="736" spans="1:38" ht="12.75" customHeight="1" x14ac:dyDescent="0.2">
      <c r="A736" s="1928">
        <v>736</v>
      </c>
      <c r="B736" s="5108"/>
      <c r="C736" s="2932"/>
      <c r="D736" s="2933" t="s">
        <v>8605</v>
      </c>
      <c r="E736" s="2940">
        <v>25</v>
      </c>
      <c r="F736" s="2930">
        <v>20</v>
      </c>
      <c r="G736" s="2930">
        <v>4</v>
      </c>
      <c r="H736" s="2930">
        <v>4</v>
      </c>
      <c r="I736" s="2930" t="s">
        <v>1864</v>
      </c>
      <c r="J736" s="2930" t="s">
        <v>1766</v>
      </c>
      <c r="K736" s="2912" t="s">
        <v>8892</v>
      </c>
      <c r="L736" s="2930" t="str">
        <f t="shared" si="95"/>
        <v>Distinta</v>
      </c>
      <c r="M736" s="2941">
        <v>10</v>
      </c>
      <c r="N736" s="2941">
        <v>2</v>
      </c>
      <c r="O736" s="2941">
        <v>15</v>
      </c>
      <c r="P736" s="2930"/>
      <c r="Q736" s="2930"/>
      <c r="R736" s="2930">
        <v>40</v>
      </c>
      <c r="S736" s="2930" t="s">
        <v>1766</v>
      </c>
      <c r="T736" s="2930">
        <v>20</v>
      </c>
      <c r="U736" s="2930"/>
      <c r="V736" s="2912" t="s">
        <v>2492</v>
      </c>
      <c r="W736" s="2912"/>
      <c r="X736" s="2913"/>
      <c r="Z736" s="2661" t="str">
        <f t="shared" si="96"/>
        <v/>
      </c>
      <c r="AB736" s="2236" t="s">
        <v>2623</v>
      </c>
      <c r="AC736" s="19"/>
      <c r="AD736" s="19"/>
      <c r="AE736" s="2631"/>
      <c r="AG736" s="2234" t="str">
        <f t="shared" si="92"/>
        <v/>
      </c>
      <c r="AH736" s="2013" t="str">
        <f t="shared" si="93"/>
        <v/>
      </c>
      <c r="AI736" s="2013" t="str">
        <f t="shared" si="94"/>
        <v>Kunai</v>
      </c>
      <c r="AJ736" s="2919">
        <f>IF($L736=AJ$627,COUNTIF($L$630:$L736,AJ$627)+3,0)</f>
        <v>0</v>
      </c>
      <c r="AK736" s="2916">
        <f>IF($L736=AK$627,COUNTIF($L$630:$L736,AK$627)+3,0)</f>
        <v>0</v>
      </c>
      <c r="AL736" s="2922">
        <f>IF($L736=AL$627,COUNTIF($L$630:$L736,AL$627)+3,0)</f>
        <v>107</v>
      </c>
    </row>
    <row r="737" spans="1:38" ht="12.75" customHeight="1" x14ac:dyDescent="0.2">
      <c r="A737" s="1928">
        <v>737</v>
      </c>
      <c r="B737" s="5108"/>
      <c r="C737" s="2932"/>
      <c r="D737" s="2933" t="s">
        <v>8606</v>
      </c>
      <c r="E737" s="2940">
        <v>25</v>
      </c>
      <c r="F737" s="2930">
        <v>10</v>
      </c>
      <c r="G737" s="2930">
        <v>4</v>
      </c>
      <c r="H737" s="2930">
        <v>4</v>
      </c>
      <c r="I737" s="2930" t="s">
        <v>1864</v>
      </c>
      <c r="J737" s="2930" t="s">
        <v>1766</v>
      </c>
      <c r="K737" s="2912" t="s">
        <v>8904</v>
      </c>
      <c r="L737" s="2930" t="str">
        <f t="shared" si="95"/>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6"/>
        <v/>
      </c>
      <c r="AB737" s="2234" t="s">
        <v>2632</v>
      </c>
      <c r="AC737" s="19"/>
      <c r="AD737" s="19"/>
      <c r="AE737" s="2631"/>
      <c r="AG737" s="2234" t="str">
        <f t="shared" si="92"/>
        <v/>
      </c>
      <c r="AH737" s="2013" t="str">
        <f t="shared" si="93"/>
        <v/>
      </c>
      <c r="AI737" s="2013" t="str">
        <f t="shared" si="94"/>
        <v>Kyoketsu-shogui</v>
      </c>
      <c r="AJ737" s="2919">
        <f>IF($L737=AJ$627,COUNTIF($L$630:$L737,AJ$627)+3,0)</f>
        <v>0</v>
      </c>
      <c r="AK737" s="2916">
        <f>IF($L737=AK$627,COUNTIF($L$630:$L737,AK$627)+3,0)</f>
        <v>0</v>
      </c>
      <c r="AL737" s="2922">
        <f>IF($L737=AL$627,COUNTIF($L$630:$L737,AL$627)+3,0)</f>
        <v>108</v>
      </c>
    </row>
    <row r="738" spans="1:38" ht="12.75" customHeight="1" x14ac:dyDescent="0.2">
      <c r="A738" s="1928">
        <v>738</v>
      </c>
      <c r="B738" s="5108"/>
      <c r="C738" s="2932"/>
      <c r="D738" s="2933" t="s">
        <v>8583</v>
      </c>
      <c r="E738" s="2940">
        <v>40</v>
      </c>
      <c r="F738" s="2930">
        <v>-5</v>
      </c>
      <c r="G738" s="2930">
        <v>6</v>
      </c>
      <c r="H738" s="2930">
        <v>6</v>
      </c>
      <c r="I738" s="2930" t="s">
        <v>1863</v>
      </c>
      <c r="J738" s="2930" t="s">
        <v>1766</v>
      </c>
      <c r="K738" s="2912" t="s">
        <v>8887</v>
      </c>
      <c r="L738" s="2930" t="str">
        <f t="shared" si="95"/>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6"/>
        <v/>
      </c>
      <c r="AB738" s="2236" t="s">
        <v>2628</v>
      </c>
      <c r="AC738" s="19"/>
      <c r="AD738" s="19"/>
      <c r="AE738" s="2631"/>
      <c r="AG738" s="2234" t="str">
        <f t="shared" si="92"/>
        <v/>
      </c>
      <c r="AH738" s="2013" t="str">
        <f t="shared" si="93"/>
        <v/>
      </c>
      <c r="AI738" s="2013" t="str">
        <f t="shared" si="94"/>
        <v>Lajatang</v>
      </c>
      <c r="AJ738" s="2919">
        <f>IF($L738=AJ$627,COUNTIF($L$630:$L738,AJ$627)+3,0)</f>
        <v>0</v>
      </c>
      <c r="AK738" s="2916">
        <f>IF($L738=AK$627,COUNTIF($L$630:$L738,AK$627)+3,0)</f>
        <v>0</v>
      </c>
      <c r="AL738" s="2922">
        <f>IF($L738=AL$627,COUNTIF($L$630:$L738,AL$627)+3,0)</f>
        <v>109</v>
      </c>
    </row>
    <row r="739" spans="1:38" ht="12.75" customHeight="1" x14ac:dyDescent="0.2">
      <c r="A739" s="1928">
        <v>739</v>
      </c>
      <c r="B739" s="5108"/>
      <c r="C739" s="2932"/>
      <c r="D739" s="2933" t="s">
        <v>8584</v>
      </c>
      <c r="E739" s="2940">
        <v>40</v>
      </c>
      <c r="F739" s="2930">
        <v>10</v>
      </c>
      <c r="G739" s="2930">
        <v>6</v>
      </c>
      <c r="H739" s="2930">
        <v>6</v>
      </c>
      <c r="I739" s="2930" t="s">
        <v>1863</v>
      </c>
      <c r="J739" s="2930" t="s">
        <v>1766</v>
      </c>
      <c r="K739" s="2912" t="s">
        <v>8887</v>
      </c>
      <c r="L739" s="2930" t="str">
        <f t="shared" si="95"/>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6"/>
        <v/>
      </c>
      <c r="AB739" s="2236" t="s">
        <v>2626</v>
      </c>
      <c r="AC739" s="19"/>
      <c r="AD739" s="19"/>
      <c r="AE739" s="2631"/>
      <c r="AG739" s="2234" t="str">
        <f t="shared" si="92"/>
        <v/>
      </c>
      <c r="AH739" s="2013" t="str">
        <f t="shared" si="93"/>
        <v/>
      </c>
      <c r="AI739" s="2013" t="str">
        <f t="shared" si="94"/>
        <v>Nagimaki</v>
      </c>
      <c r="AJ739" s="2919">
        <f>IF($L739=AJ$627,COUNTIF($L$630:$L739,AJ$627)+3,0)</f>
        <v>0</v>
      </c>
      <c r="AK739" s="2916">
        <f>IF($L739=AK$627,COUNTIF($L$630:$L739,AK$627)+3,0)</f>
        <v>0</v>
      </c>
      <c r="AL739" s="2922">
        <f>IF($L739=AL$627,COUNTIF($L$630:$L739,AL$627)+3,0)</f>
        <v>110</v>
      </c>
    </row>
    <row r="740" spans="1:38" ht="12.75" customHeight="1" x14ac:dyDescent="0.2">
      <c r="A740" s="1928">
        <v>740</v>
      </c>
      <c r="B740" s="5108"/>
      <c r="C740" s="2932"/>
      <c r="D740" s="2933" t="s">
        <v>8585</v>
      </c>
      <c r="E740" s="2940">
        <v>55</v>
      </c>
      <c r="F740" s="2930">
        <v>-10</v>
      </c>
      <c r="G740" s="2930">
        <v>6</v>
      </c>
      <c r="H740" s="2930">
        <v>8</v>
      </c>
      <c r="I740" s="2930" t="s">
        <v>1863</v>
      </c>
      <c r="J740" s="2930" t="s">
        <v>1864</v>
      </c>
      <c r="K740" s="2912" t="s">
        <v>8887</v>
      </c>
      <c r="L740" s="2930" t="str">
        <f t="shared" si="95"/>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6"/>
        <v/>
      </c>
      <c r="AB740" s="2236" t="s">
        <v>2614</v>
      </c>
      <c r="AC740" s="19"/>
      <c r="AD740" s="19"/>
      <c r="AE740" s="2631"/>
      <c r="AG740" s="2234" t="str">
        <f t="shared" si="92"/>
        <v/>
      </c>
      <c r="AH740" s="2013" t="str">
        <f t="shared" si="93"/>
        <v/>
      </c>
      <c r="AI740" s="2013" t="str">
        <f t="shared" si="94"/>
        <v>Naginata</v>
      </c>
      <c r="AJ740" s="2919">
        <f>IF($L740=AJ$627,COUNTIF($L$630:$L740,AJ$627)+3,0)</f>
        <v>0</v>
      </c>
      <c r="AK740" s="2916">
        <f>IF($L740=AK$627,COUNTIF($L$630:$L740,AK$627)+3,0)</f>
        <v>0</v>
      </c>
      <c r="AL740" s="2922">
        <f>IF($L740=AL$627,COUNTIF($L$630:$L740,AL$627)+3,0)</f>
        <v>111</v>
      </c>
    </row>
    <row r="741" spans="1:38" ht="12.75" customHeight="1" x14ac:dyDescent="0.2">
      <c r="A741" s="1928">
        <v>741</v>
      </c>
      <c r="B741" s="5108"/>
      <c r="C741" s="2932"/>
      <c r="D741" s="2933" t="s">
        <v>8607</v>
      </c>
      <c r="E741" s="2940">
        <v>45</v>
      </c>
      <c r="F741" s="2930">
        <v>10</v>
      </c>
      <c r="G741" s="2930">
        <v>4</v>
      </c>
      <c r="H741" s="2930">
        <v>4</v>
      </c>
      <c r="I741" s="2930" t="s">
        <v>1863</v>
      </c>
      <c r="J741" s="2930" t="s">
        <v>1864</v>
      </c>
      <c r="K741" s="2912" t="s">
        <v>8890</v>
      </c>
      <c r="L741" s="2930" t="str">
        <f t="shared" si="95"/>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6"/>
        <v/>
      </c>
      <c r="AB741" s="2236" t="s">
        <v>2622</v>
      </c>
      <c r="AC741" s="19"/>
      <c r="AD741" s="19"/>
      <c r="AE741" s="2631"/>
      <c r="AG741" s="2234" t="str">
        <f t="shared" si="92"/>
        <v/>
      </c>
      <c r="AH741" s="2013" t="str">
        <f t="shared" si="93"/>
        <v/>
      </c>
      <c r="AI741" s="2013" t="str">
        <f t="shared" si="94"/>
        <v>Ninja-to</v>
      </c>
      <c r="AJ741" s="2919">
        <f>IF($L741=AJ$627,COUNTIF($L$630:$L741,AJ$627)+3,0)</f>
        <v>0</v>
      </c>
      <c r="AK741" s="2916">
        <f>IF($L741=AK$627,COUNTIF($L$630:$L741,AK$627)+3,0)</f>
        <v>0</v>
      </c>
      <c r="AL741" s="2922">
        <f>IF($L741=AL$627,COUNTIF($L$630:$L741,AL$627)+3,0)</f>
        <v>112</v>
      </c>
    </row>
    <row r="742" spans="1:38" ht="12.75" customHeight="1" thickBot="1" x14ac:dyDescent="0.25">
      <c r="A742" s="1928">
        <v>742</v>
      </c>
      <c r="B742" s="5108"/>
      <c r="C742" s="2932"/>
      <c r="D742" s="2933" t="s">
        <v>8587</v>
      </c>
      <c r="E742" s="2940">
        <v>60</v>
      </c>
      <c r="F742" s="2930">
        <v>-20</v>
      </c>
      <c r="G742" s="2930">
        <v>7</v>
      </c>
      <c r="H742" s="2930">
        <v>9</v>
      </c>
      <c r="I742" s="2930" t="s">
        <v>1863</v>
      </c>
      <c r="J742" s="2930" t="s">
        <v>1766</v>
      </c>
      <c r="K742" s="2912" t="s">
        <v>8895</v>
      </c>
      <c r="L742" s="2930" t="str">
        <f t="shared" si="95"/>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6"/>
        <v/>
      </c>
      <c r="AB742" s="2238" t="s">
        <v>2608</v>
      </c>
      <c r="AC742" s="2239"/>
      <c r="AD742" s="2239"/>
      <c r="AE742" s="2632"/>
      <c r="AG742" s="2234" t="str">
        <f t="shared" si="92"/>
        <v/>
      </c>
      <c r="AH742" s="2013" t="str">
        <f t="shared" si="93"/>
        <v/>
      </c>
      <c r="AI742" s="2013" t="str">
        <f t="shared" si="94"/>
        <v>Ram Dao</v>
      </c>
      <c r="AJ742" s="2919">
        <f>IF($L742=AJ$627,COUNTIF($L$630:$L742,AJ$627)+3,0)</f>
        <v>0</v>
      </c>
      <c r="AK742" s="2916">
        <f>IF($L742=AK$627,COUNTIF($L$630:$L742,AK$627)+3,0)</f>
        <v>0</v>
      </c>
      <c r="AL742" s="2922">
        <f>IF($L742=AL$627,COUNTIF($L$630:$L742,AL$627)+3,0)</f>
        <v>113</v>
      </c>
    </row>
    <row r="743" spans="1:38" ht="12.75" customHeight="1" x14ac:dyDescent="0.2">
      <c r="A743" s="1928">
        <v>743</v>
      </c>
      <c r="B743" s="5108"/>
      <c r="C743" s="2932"/>
      <c r="D743" s="2933" t="s">
        <v>8608</v>
      </c>
      <c r="E743" s="2940">
        <v>50</v>
      </c>
      <c r="F743" s="2930">
        <v>-10</v>
      </c>
      <c r="G743" s="2930">
        <v>6</v>
      </c>
      <c r="H743" s="2930">
        <v>6</v>
      </c>
      <c r="I743" s="2930" t="s">
        <v>1863</v>
      </c>
      <c r="J743" s="2930" t="s">
        <v>1864</v>
      </c>
      <c r="K743" s="2912" t="s">
        <v>8887</v>
      </c>
      <c r="L743" s="2930" t="str">
        <f t="shared" si="95"/>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6"/>
        <v/>
      </c>
      <c r="AG743" s="2234" t="str">
        <f t="shared" si="92"/>
        <v/>
      </c>
      <c r="AH743" s="2013" t="str">
        <f t="shared" si="93"/>
        <v/>
      </c>
      <c r="AI743" s="2013" t="str">
        <f t="shared" si="94"/>
        <v>Sang Kauw</v>
      </c>
      <c r="AJ743" s="2919">
        <f>IF($L743=AJ$627,COUNTIF($L$630:$L743,AJ$627)+3,0)</f>
        <v>0</v>
      </c>
      <c r="AK743" s="2916">
        <f>IF($L743=AK$627,COUNTIF($L$630:$L743,AK$627)+3,0)</f>
        <v>0</v>
      </c>
      <c r="AL743" s="2922">
        <f>IF($L743=AL$627,COUNTIF($L$630:$L743,AL$627)+3,0)</f>
        <v>114</v>
      </c>
    </row>
    <row r="744" spans="1:38" ht="12.75" customHeight="1" x14ac:dyDescent="0.2">
      <c r="A744" s="1928">
        <v>744</v>
      </c>
      <c r="B744" s="5108"/>
      <c r="C744" s="2932"/>
      <c r="D744" s="2933" t="s">
        <v>8588</v>
      </c>
      <c r="E744" s="2940">
        <v>20</v>
      </c>
      <c r="F744" s="2930">
        <v>0</v>
      </c>
      <c r="G744" s="2930">
        <v>5</v>
      </c>
      <c r="H744" s="2930">
        <v>5</v>
      </c>
      <c r="I744" s="2930" t="s">
        <v>1809</v>
      </c>
      <c r="J744" s="2930" t="s">
        <v>1766</v>
      </c>
      <c r="K744" s="2912" t="s">
        <v>8887</v>
      </c>
      <c r="L744" s="2930" t="str">
        <f t="shared" si="95"/>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6"/>
        <v/>
      </c>
      <c r="AB744" s="363"/>
      <c r="AC744" s="2577"/>
      <c r="AG744" s="2234" t="str">
        <f t="shared" si="92"/>
        <v/>
      </c>
      <c r="AH744" s="2013" t="str">
        <f t="shared" si="93"/>
        <v/>
      </c>
      <c r="AI744" s="2013" t="str">
        <f t="shared" si="94"/>
        <v>Sode Garami</v>
      </c>
      <c r="AJ744" s="2919">
        <f>IF($L744=AJ$627,COUNTIF($L$630:$L744,AJ$627)+3,0)</f>
        <v>0</v>
      </c>
      <c r="AK744" s="2916">
        <f>IF($L744=AK$627,COUNTIF($L$630:$L744,AK$627)+3,0)</f>
        <v>0</v>
      </c>
      <c r="AL744" s="2922">
        <f>IF($L744=AL$627,COUNTIF($L$630:$L744,AL$627)+3,0)</f>
        <v>115</v>
      </c>
    </row>
    <row r="745" spans="1:38" ht="12.75" customHeight="1" x14ac:dyDescent="0.2">
      <c r="A745" s="1928">
        <v>745</v>
      </c>
      <c r="B745" s="5108"/>
      <c r="C745" s="2932"/>
      <c r="D745" s="2933" t="s">
        <v>8590</v>
      </c>
      <c r="E745" s="2940">
        <v>80</v>
      </c>
      <c r="F745" s="2930">
        <v>-50</v>
      </c>
      <c r="G745" s="2930">
        <v>8</v>
      </c>
      <c r="H745" s="2930">
        <v>10</v>
      </c>
      <c r="I745" s="2930" t="s">
        <v>1809</v>
      </c>
      <c r="J745" s="2930" t="s">
        <v>1766</v>
      </c>
      <c r="K745" s="2912" t="s">
        <v>8893</v>
      </c>
      <c r="L745" s="2930" t="str">
        <f t="shared" si="95"/>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6"/>
        <v/>
      </c>
      <c r="AB745" s="363"/>
      <c r="AC745" s="2577"/>
      <c r="AG745" s="2234" t="str">
        <f t="shared" si="92"/>
        <v/>
      </c>
      <c r="AH745" s="2013" t="str">
        <f t="shared" si="93"/>
        <v/>
      </c>
      <c r="AI745" s="2013" t="str">
        <f t="shared" si="94"/>
        <v>Tetsubo</v>
      </c>
      <c r="AJ745" s="2919">
        <f>IF($L745=AJ$627,COUNTIF($L$630:$L745,AJ$627)+3,0)</f>
        <v>0</v>
      </c>
      <c r="AK745" s="2916">
        <f>IF($L745=AK$627,COUNTIF($L$630:$L745,AK$627)+3,0)</f>
        <v>0</v>
      </c>
      <c r="AL745" s="2922">
        <f>IF($L745=AL$627,COUNTIF($L$630:$L745,AL$627)+3,0)</f>
        <v>116</v>
      </c>
    </row>
    <row r="746" spans="1:38" ht="12.75" customHeight="1" x14ac:dyDescent="0.2">
      <c r="A746" s="1928">
        <v>746</v>
      </c>
      <c r="B746" s="5108"/>
      <c r="C746" s="2932"/>
      <c r="D746" s="2933" t="s">
        <v>8609</v>
      </c>
      <c r="E746" s="2940">
        <v>25</v>
      </c>
      <c r="F746" s="2930">
        <v>10</v>
      </c>
      <c r="G746" s="2930">
        <v>4</v>
      </c>
      <c r="H746" s="2930">
        <v>4</v>
      </c>
      <c r="I746" s="2930" t="s">
        <v>1864</v>
      </c>
      <c r="J746" s="2930" t="s">
        <v>1766</v>
      </c>
      <c r="K746" s="2912" t="s">
        <v>8887</v>
      </c>
      <c r="L746" s="2930" t="str">
        <f t="shared" si="95"/>
        <v>Distinta</v>
      </c>
      <c r="M746" s="2941">
        <v>10</v>
      </c>
      <c r="N746" s="2941">
        <v>-2</v>
      </c>
      <c r="O746" s="2941">
        <v>20</v>
      </c>
      <c r="P746" s="2930"/>
      <c r="Q746" s="2930"/>
      <c r="R746" s="2930">
        <v>100</v>
      </c>
      <c r="S746" s="2930" t="s">
        <v>1766</v>
      </c>
      <c r="T746" s="2930">
        <v>30</v>
      </c>
      <c r="U746" s="2930"/>
      <c r="V746" s="2912" t="s">
        <v>2516</v>
      </c>
      <c r="W746" s="2912"/>
      <c r="X746" s="2913"/>
      <c r="Z746" s="2661" t="str">
        <f t="shared" si="96"/>
        <v/>
      </c>
      <c r="AB746" s="363"/>
      <c r="AC746" s="2577"/>
      <c r="AG746" s="2234" t="str">
        <f t="shared" si="92"/>
        <v/>
      </c>
      <c r="AH746" s="2013" t="str">
        <f t="shared" si="93"/>
        <v/>
      </c>
      <c r="AI746" s="2013" t="str">
        <f t="shared" si="94"/>
        <v>Uchi-ne</v>
      </c>
      <c r="AJ746" s="2919">
        <f>IF($L746=AJ$627,COUNTIF($L$630:$L746,AJ$627)+3,0)</f>
        <v>0</v>
      </c>
      <c r="AK746" s="2916">
        <f>IF($L746=AK$627,COUNTIF($L$630:$L746,AK$627)+3,0)</f>
        <v>0</v>
      </c>
      <c r="AL746" s="2922">
        <f>IF($L746=AL$627,COUNTIF($L$630:$L746,AL$627)+3,0)</f>
        <v>117</v>
      </c>
    </row>
    <row r="747" spans="1:38" ht="12.75" customHeight="1" x14ac:dyDescent="0.2">
      <c r="A747" s="1928">
        <v>747</v>
      </c>
      <c r="B747" s="5108"/>
      <c r="C747" s="2932"/>
      <c r="D747" s="2933" t="s">
        <v>8610</v>
      </c>
      <c r="E747" s="2940">
        <v>45</v>
      </c>
      <c r="F747" s="2930">
        <v>0</v>
      </c>
      <c r="G747" s="2930">
        <v>4</v>
      </c>
      <c r="H747" s="2930">
        <v>4</v>
      </c>
      <c r="I747" s="2930" t="s">
        <v>1863</v>
      </c>
      <c r="J747" s="2930" t="s">
        <v>1766</v>
      </c>
      <c r="K747" s="2912" t="s">
        <v>8890</v>
      </c>
      <c r="L747" s="2930" t="str">
        <f t="shared" si="95"/>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6"/>
        <v/>
      </c>
      <c r="AB747" s="363"/>
      <c r="AC747" s="2577"/>
      <c r="AG747" s="2234" t="str">
        <f t="shared" si="92"/>
        <v/>
      </c>
      <c r="AH747" s="2013" t="str">
        <f t="shared" si="93"/>
        <v/>
      </c>
      <c r="AI747" s="2013" t="str">
        <f t="shared" si="94"/>
        <v>Wakizasi</v>
      </c>
      <c r="AJ747" s="2919">
        <f>IF($L747=AJ$627,COUNTIF($L$630:$L747,AJ$627)+3,0)</f>
        <v>0</v>
      </c>
      <c r="AK747" s="2916">
        <f>IF($L747=AK$627,COUNTIF($L$630:$L747,AK$627)+3,0)</f>
        <v>0</v>
      </c>
      <c r="AL747" s="2922">
        <f>IF($L747=AL$627,COUNTIF($L$630:$L747,AL$627)+3,0)</f>
        <v>118</v>
      </c>
    </row>
    <row r="748" spans="1:38" ht="12.75" customHeight="1" x14ac:dyDescent="0.2">
      <c r="A748" s="1928">
        <v>748</v>
      </c>
      <c r="B748" s="5108"/>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6"/>
        <v/>
      </c>
      <c r="AB748" s="363"/>
      <c r="AC748" s="2577"/>
      <c r="AG748" s="2234" t="str">
        <f t="shared" si="92"/>
        <v/>
      </c>
      <c r="AH748" s="2013" t="str">
        <f t="shared" si="93"/>
        <v/>
      </c>
      <c r="AI748" s="2013" t="str">
        <f t="shared" si="94"/>
        <v>&gt; A. DE PROYECTILES</v>
      </c>
      <c r="AJ748" s="2919">
        <f>MAX(AJ$630:AJ747)+1</f>
        <v>4</v>
      </c>
      <c r="AK748" s="2916">
        <f>MAX(AK$630:AK747)+1</f>
        <v>4</v>
      </c>
      <c r="AL748" s="2922">
        <f>MAX(AL$630:AL747)+1</f>
        <v>119</v>
      </c>
    </row>
    <row r="749" spans="1:38" ht="12.75" customHeight="1" x14ac:dyDescent="0.2">
      <c r="A749" s="1928">
        <v>749</v>
      </c>
      <c r="B749" s="5108"/>
      <c r="C749" s="2932"/>
      <c r="D749" s="2933" t="s">
        <v>2573</v>
      </c>
      <c r="E749" s="2930">
        <v>0</v>
      </c>
      <c r="F749" s="2930">
        <v>-30</v>
      </c>
      <c r="G749" s="2930">
        <v>7</v>
      </c>
      <c r="H749" s="2930">
        <v>7</v>
      </c>
      <c r="I749" s="2930" t="s">
        <v>1864</v>
      </c>
      <c r="J749" s="2930" t="s">
        <v>1766</v>
      </c>
      <c r="K749" s="2912" t="s">
        <v>8905</v>
      </c>
      <c r="L749" s="2930" t="str">
        <f>IF(ISNUMBER(SEARCH($D749,Armas_Conocidas)),"Conocida",IF(OR(ISNUMBER(SEARCH(LEFT($K749,SEARCH("/",$K749)),Tipologías_Conocidas)),AND(NOT(ISNUMBER(SEARCH("/-",$K749))),ISNUMBER(SEARCH(MID($K749,SEARCH("/",$K749)+1,LEN($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6"/>
        <v/>
      </c>
      <c r="AB749" s="363"/>
      <c r="AC749" s="2577"/>
      <c r="AG749" s="2234" t="str">
        <f t="shared" si="92"/>
        <v/>
      </c>
      <c r="AH749" s="2013" t="str">
        <f t="shared" si="93"/>
        <v/>
      </c>
      <c r="AI749" s="2013" t="str">
        <f t="shared" si="94"/>
        <v>Arco compuesto</v>
      </c>
      <c r="AJ749" s="2919">
        <f>IF($L749=AJ$627,COUNTIF($L$630:$L749,AJ$627)+4,0)</f>
        <v>0</v>
      </c>
      <c r="AK749" s="2916">
        <f>IF($L749=AK$627,COUNTIF($L$630:$L749,AK$627)+4,0)</f>
        <v>0</v>
      </c>
      <c r="AL749" s="2922">
        <f>IF($L749=AL$627,COUNTIF($L$630:$L749,AL$627)+4,0)</f>
        <v>120</v>
      </c>
    </row>
    <row r="750" spans="1:38" ht="12.75" customHeight="1" x14ac:dyDescent="0.2">
      <c r="A750" s="1928">
        <v>750</v>
      </c>
      <c r="B750" s="5108"/>
      <c r="C750" s="2932"/>
      <c r="D750" s="2933" t="s">
        <v>2575</v>
      </c>
      <c r="E750" s="2930">
        <v>0</v>
      </c>
      <c r="F750" s="2930">
        <v>-10</v>
      </c>
      <c r="G750" s="2930">
        <v>4</v>
      </c>
      <c r="H750" s="2930">
        <v>4</v>
      </c>
      <c r="I750" s="2930" t="s">
        <v>1864</v>
      </c>
      <c r="J750" s="2930" t="s">
        <v>1766</v>
      </c>
      <c r="K750" s="2912" t="s">
        <v>8905</v>
      </c>
      <c r="L750" s="2930" t="str">
        <f>IF(ISNUMBER(SEARCH($D750,Armas_Conocidas)),"Conocida",IF(OR(ISNUMBER(SEARCH(LEFT($K750,SEARCH("/",$K750)),Tipologías_Conocidas)),AND(NOT(ISNUMBER(SEARCH("/-",$K750))),ISNUMBER(SEARCH(MID($K750,SEARCH("/",$K750)+1,LEN($K750)),Tipologías_Conocidas)))),IF(ISNUMBER(SEARCH($K750,Tipologías_Conocidas)),"Similar","Mixta"),"Distinta"))</f>
        <v>Distinta</v>
      </c>
      <c r="M750" s="2941">
        <v>7</v>
      </c>
      <c r="N750" s="2941">
        <v>-3</v>
      </c>
      <c r="O750" s="2941">
        <v>15</v>
      </c>
      <c r="P750" s="2930"/>
      <c r="Q750" s="2930"/>
      <c r="R750" s="2930" t="s">
        <v>1766</v>
      </c>
      <c r="S750" s="2930">
        <v>1</v>
      </c>
      <c r="T750" s="2930">
        <v>40</v>
      </c>
      <c r="U750" s="2930"/>
      <c r="V750" s="2912" t="s">
        <v>1897</v>
      </c>
      <c r="W750" s="2912"/>
      <c r="X750" s="2913"/>
      <c r="Z750" s="2661" t="str">
        <f t="shared" si="96"/>
        <v/>
      </c>
      <c r="AB750" s="363"/>
      <c r="AC750" s="2577"/>
      <c r="AG750" s="2234" t="str">
        <f t="shared" si="92"/>
        <v/>
      </c>
      <c r="AH750" s="2013" t="str">
        <f t="shared" si="93"/>
        <v/>
      </c>
      <c r="AI750" s="2013" t="str">
        <f t="shared" si="94"/>
        <v>Arco corto</v>
      </c>
      <c r="AJ750" s="2919">
        <f>IF($L750=AJ$627,COUNTIF($L$630:$L750,AJ$627)+4,0)</f>
        <v>0</v>
      </c>
      <c r="AK750" s="2916">
        <f>IF($L750=AK$627,COUNTIF($L$630:$L750,AK$627)+4,0)</f>
        <v>0</v>
      </c>
      <c r="AL750" s="2922">
        <f>IF($L750=AL$627,COUNTIF($L$630:$L750,AL$627)+4,0)</f>
        <v>121</v>
      </c>
    </row>
    <row r="751" spans="1:38" ht="12.75" customHeight="1" x14ac:dyDescent="0.2">
      <c r="A751" s="1928">
        <v>751</v>
      </c>
      <c r="B751" s="5108"/>
      <c r="C751" s="2932"/>
      <c r="D751" s="2933" t="s">
        <v>8561</v>
      </c>
      <c r="E751" s="2930">
        <v>0</v>
      </c>
      <c r="F751" s="2930">
        <v>-10</v>
      </c>
      <c r="G751" s="2930">
        <v>4</v>
      </c>
      <c r="H751" s="2930">
        <v>4</v>
      </c>
      <c r="I751" s="2930" t="s">
        <v>1864</v>
      </c>
      <c r="J751" s="2930" t="s">
        <v>1766</v>
      </c>
      <c r="K751" s="2912" t="s">
        <v>8905</v>
      </c>
      <c r="L751" s="2930" t="str">
        <f>IF(ISNUMBER(SEARCH($D751,Armas_Conocidas)),"Conocida",IF(OR(ISNUMBER(SEARCH(LEFT($K751,SEARCH("/",$K751)),Tipologías_Conocidas)),AND(NOT(ISNUMBER(SEARCH("/-",$K751))),ISNUMBER(SEARCH(MID($K751,SEARCH("/",$K751)+1,LEN($K751)),Tipologías_Conocidas)))),IF(ISNUMBER(SEARCH($K751,Tipologías_Conocidas)),"Similar","Mixta"),"Distinta"))</f>
        <v>Distinta</v>
      </c>
      <c r="M751" s="2941">
        <v>6</v>
      </c>
      <c r="N751" s="2941">
        <v>-3</v>
      </c>
      <c r="O751" s="2941">
        <v>15</v>
      </c>
      <c r="P751" s="2930"/>
      <c r="Q751" s="2930"/>
      <c r="R751" s="2930" t="s">
        <v>1766</v>
      </c>
      <c r="S751" s="2930">
        <v>1</v>
      </c>
      <c r="T751" s="2930">
        <v>40</v>
      </c>
      <c r="U751" s="2930"/>
      <c r="V751" s="2912" t="s">
        <v>8612</v>
      </c>
      <c r="W751" s="2912"/>
      <c r="X751" s="2913"/>
      <c r="Z751" s="2661" t="str">
        <f t="shared" si="96"/>
        <v/>
      </c>
      <c r="AB751" s="363"/>
      <c r="AC751" s="2577"/>
      <c r="AG751" s="2234" t="str">
        <f t="shared" si="92"/>
        <v/>
      </c>
      <c r="AH751" s="2013" t="str">
        <f t="shared" si="93"/>
        <v/>
      </c>
      <c r="AI751" s="2013" t="str">
        <f t="shared" si="94"/>
        <v>Arco de balas</v>
      </c>
      <c r="AJ751" s="2919">
        <f>IF($L751=AJ$627,COUNTIF($L$630:$L751,AJ$627)+4,0)</f>
        <v>0</v>
      </c>
      <c r="AK751" s="2916">
        <f>IF($L751=AK$627,COUNTIF($L$630:$L751,AK$627)+4,0)</f>
        <v>0</v>
      </c>
      <c r="AL751" s="2922">
        <f>IF($L751=AL$627,COUNTIF($L$630:$L751,AL$627)+4,0)</f>
        <v>122</v>
      </c>
    </row>
    <row r="752" spans="1:38" ht="12.75" customHeight="1" x14ac:dyDescent="0.2">
      <c r="A752" s="1928">
        <v>752</v>
      </c>
      <c r="B752" s="5108"/>
      <c r="C752" s="2932"/>
      <c r="D752" s="2933" t="s">
        <v>2576</v>
      </c>
      <c r="E752" s="2930">
        <v>0</v>
      </c>
      <c r="F752" s="2930">
        <v>-30</v>
      </c>
      <c r="G752" s="2930">
        <v>7</v>
      </c>
      <c r="H752" s="2930">
        <v>7</v>
      </c>
      <c r="I752" s="2930" t="s">
        <v>1864</v>
      </c>
      <c r="J752" s="2930" t="s">
        <v>1766</v>
      </c>
      <c r="K752" s="2912" t="s">
        <v>8905</v>
      </c>
      <c r="L752" s="2930" t="str">
        <f>IF(ISNUMBER(SEARCH($D752,Armas_Conocidas)),"Conocida",IF(OR(ISNUMBER(SEARCH(LEFT($K752,SEARCH("/",$K752)),Tipologías_Conocidas)),AND(NOT(ISNUMBER(SEARCH("/-",$K752))),ISNUMBER(SEARCH(MID($K752,SEARCH("/",$K752)+1,LEN($K752)),Tipologías_Conocidas)))),IF(ISNUMBER(SEARCH($K752,Tipologías_Conocidas)),"Similar","Mixta"),"Distinta"))</f>
        <v>Distinta</v>
      </c>
      <c r="M752" s="2941">
        <v>8</v>
      </c>
      <c r="N752" s="2941">
        <v>-2</v>
      </c>
      <c r="O752" s="2941">
        <v>20</v>
      </c>
      <c r="P752" s="2930"/>
      <c r="Q752" s="2930"/>
      <c r="R752" s="2930" t="s">
        <v>1766</v>
      </c>
      <c r="S752" s="2930">
        <v>1</v>
      </c>
      <c r="T752" s="2930">
        <v>60</v>
      </c>
      <c r="U752" s="2930"/>
      <c r="V752" s="2912" t="s">
        <v>1897</v>
      </c>
      <c r="W752" s="2912"/>
      <c r="X752" s="2913"/>
      <c r="Z752" s="2661" t="str">
        <f t="shared" si="96"/>
        <v/>
      </c>
      <c r="AB752" s="363"/>
      <c r="AC752" s="2577"/>
      <c r="AG752" s="2234" t="str">
        <f t="shared" si="92"/>
        <v/>
      </c>
      <c r="AH752" s="2013" t="str">
        <f t="shared" si="93"/>
        <v/>
      </c>
      <c r="AI752" s="2013" t="str">
        <f t="shared" si="94"/>
        <v>Arco largo</v>
      </c>
      <c r="AJ752" s="2919">
        <f>IF($L752=AJ$627,COUNTIF($L$630:$L752,AJ$627)+4,0)</f>
        <v>0</v>
      </c>
      <c r="AK752" s="2916">
        <f>IF($L752=AK$627,COUNTIF($L$630:$L752,AK$627)+4,0)</f>
        <v>0</v>
      </c>
      <c r="AL752" s="2922">
        <f>IF($L752=AL$627,COUNTIF($L$630:$L752,AL$627)+4,0)</f>
        <v>123</v>
      </c>
    </row>
    <row r="753" spans="1:38" ht="12.75" customHeight="1" x14ac:dyDescent="0.2">
      <c r="A753" s="1928">
        <v>753</v>
      </c>
      <c r="B753" s="5108"/>
      <c r="C753" s="2932"/>
      <c r="D753" s="2933" t="s">
        <v>8565</v>
      </c>
      <c r="E753" s="2930">
        <v>0</v>
      </c>
      <c r="F753" s="2930">
        <v>-5</v>
      </c>
      <c r="G753" s="2930">
        <v>5</v>
      </c>
      <c r="H753" s="2930">
        <v>5</v>
      </c>
      <c r="I753" s="2930" t="s">
        <v>1864</v>
      </c>
      <c r="J753" s="2930" t="s">
        <v>1766</v>
      </c>
      <c r="K753" s="2912" t="s">
        <v>8905</v>
      </c>
      <c r="L753" s="2930" t="str">
        <f>IF(ISNUMBER(SEARCH($D753,Armas_Conocidas)),"Conocida",IF(OR(ISNUMBER(SEARCH(LEFT($K753,SEARCH("/",$K753)),Tipologías_Conocidas)),AND(NOT(ISNUMBER(SEARCH("/-",$K753))),ISNUMBER(SEARCH(MID($K753,SEARCH("/",$K753)+1,LEN($K753)),Tipologías_Conocidas)))),IF(ISNUMBER(SEARCH($K753,Tipologías_Conocidas)),"Similar","Mixta"),"Distinta"))</f>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6"/>
        <v/>
      </c>
      <c r="AB753" s="363"/>
      <c r="AC753" s="2577"/>
      <c r="AG753" s="2234" t="str">
        <f t="shared" si="92"/>
        <v/>
      </c>
      <c r="AH753" s="2013" t="str">
        <f t="shared" si="93"/>
        <v/>
      </c>
      <c r="AI753" s="2013" t="str">
        <f t="shared" si="94"/>
        <v>Atlatl</v>
      </c>
      <c r="AJ753" s="2919">
        <f>IF($L753=AJ$627,COUNTIF($L$630:$L753,AJ$627)+4,0)</f>
        <v>0</v>
      </c>
      <c r="AK753" s="2916">
        <f>IF($L753=AK$627,COUNTIF($L$630:$L753,AK$627)+4,0)</f>
        <v>0</v>
      </c>
      <c r="AL753" s="2922">
        <f>IF($L753=AL$627,COUNTIF($L$630:$L753,AL$627)+4,0)</f>
        <v>124</v>
      </c>
    </row>
    <row r="754" spans="1:38" ht="12.75" customHeight="1" x14ac:dyDescent="0.2">
      <c r="A754" s="1928">
        <v>754</v>
      </c>
      <c r="B754" s="5108"/>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6"/>
        <v/>
      </c>
      <c r="AB754" s="363"/>
      <c r="AC754" s="2577"/>
      <c r="AG754" s="2234" t="str">
        <f t="shared" si="92"/>
        <v/>
      </c>
      <c r="AH754" s="2013" t="str">
        <f t="shared" si="93"/>
        <v/>
      </c>
      <c r="AI754" s="2013" t="str">
        <f t="shared" si="94"/>
        <v>Ballesta</v>
      </c>
      <c r="AJ754" s="2919">
        <f>IF($L754=AJ$627,COUNTIF($L$630:$L754,AJ$627)+4,0)</f>
        <v>0</v>
      </c>
      <c r="AK754" s="2916">
        <f>IF($L754=AK$627,COUNTIF($L$630:$L754,AK$627)+4,0)</f>
        <v>0</v>
      </c>
      <c r="AL754" s="2922">
        <f>IF($L754=AL$627,COUNTIF($L$630:$L754,AL$627)+4,0)</f>
        <v>125</v>
      </c>
    </row>
    <row r="755" spans="1:38" ht="12.75" customHeight="1" x14ac:dyDescent="0.2">
      <c r="A755" s="1928">
        <v>755</v>
      </c>
      <c r="B755" s="5108"/>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92"/>
        <v/>
      </c>
      <c r="AH755" s="2013" t="str">
        <f t="shared" si="93"/>
        <v/>
      </c>
      <c r="AI755" s="2013" t="str">
        <f t="shared" si="94"/>
        <v>Ballesta de mano</v>
      </c>
      <c r="AJ755" s="2919">
        <f>IF($L755=AJ$627,COUNTIF($L$630:$L755,AJ$627)+4,0)</f>
        <v>0</v>
      </c>
      <c r="AK755" s="2916">
        <f>IF($L755=AK$627,COUNTIF($L$630:$L755,AK$627)+4,0)</f>
        <v>0</v>
      </c>
      <c r="AL755" s="2922">
        <f>IF($L755=AL$627,COUNTIF($L$630:$L755,AL$627)+4,0)</f>
        <v>126</v>
      </c>
    </row>
    <row r="756" spans="1:38" ht="12.75" customHeight="1" x14ac:dyDescent="0.2">
      <c r="A756" s="1928">
        <v>756</v>
      </c>
      <c r="B756" s="5108"/>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92"/>
        <v/>
      </c>
      <c r="AH756" s="2013" t="str">
        <f t="shared" si="93"/>
        <v/>
      </c>
      <c r="AI756" s="2013" t="str">
        <f t="shared" si="94"/>
        <v>Ballesta de repetición</v>
      </c>
      <c r="AJ756" s="2919">
        <f>IF($L756=AJ$627,COUNTIF($L$630:$L756,AJ$627)+4,0)</f>
        <v>0</v>
      </c>
      <c r="AK756" s="2916">
        <f>IF($L756=AK$627,COUNTIF($L$630:$L756,AK$627)+4,0)</f>
        <v>0</v>
      </c>
      <c r="AL756" s="2922">
        <f>IF($L756=AL$627,COUNTIF($L$630:$L756,AL$627)+4,0)</f>
        <v>127</v>
      </c>
    </row>
    <row r="757" spans="1:38" ht="12.75" customHeight="1" x14ac:dyDescent="0.2">
      <c r="A757" s="1928">
        <v>757</v>
      </c>
      <c r="B757" s="5108"/>
      <c r="C757" s="2932"/>
      <c r="D757" s="2933" t="s">
        <v>2581</v>
      </c>
      <c r="E757" s="2930">
        <v>0</v>
      </c>
      <c r="F757" s="2930">
        <v>-20</v>
      </c>
      <c r="G757" s="2930">
        <v>10</v>
      </c>
      <c r="H757" s="2930">
        <v>7</v>
      </c>
      <c r="I757" s="2930" t="s">
        <v>1864</v>
      </c>
      <c r="J757" s="2930" t="s">
        <v>1766</v>
      </c>
      <c r="K757" s="2912" t="s">
        <v>8905</v>
      </c>
      <c r="L757" s="293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8">IF(AND(K757&lt;&gt;"Natural/-",ISNUMBER(SEARCH(D757,Armas_Conocidas))),", "&amp;K757,"")</f>
        <v/>
      </c>
      <c r="AA757" s="2420"/>
      <c r="AB757" s="363"/>
      <c r="AC757" s="2620"/>
      <c r="AG757" s="2234" t="str">
        <f t="shared" si="92"/>
        <v/>
      </c>
      <c r="AH757" s="2013" t="str">
        <f t="shared" si="93"/>
        <v/>
      </c>
      <c r="AI757" s="2013" t="str">
        <f t="shared" si="94"/>
        <v>Ballesta pesada</v>
      </c>
      <c r="AJ757" s="2919">
        <f>IF($L757=AJ$627,COUNTIF($L$630:$L757,AJ$627)+4,0)</f>
        <v>0</v>
      </c>
      <c r="AK757" s="2916">
        <f>IF($L757=AK$627,COUNTIF($L$630:$L757,AK$627)+4,0)</f>
        <v>0</v>
      </c>
      <c r="AL757" s="2922">
        <f>IF($L757=AL$627,COUNTIF($L$630:$L757,AL$627)+4,0)</f>
        <v>128</v>
      </c>
    </row>
    <row r="758" spans="1:38" ht="12.75" customHeight="1" x14ac:dyDescent="0.2">
      <c r="A758" s="1928">
        <v>758</v>
      </c>
      <c r="B758" s="5108"/>
      <c r="C758" s="2932"/>
      <c r="D758" s="2933" t="s">
        <v>2582</v>
      </c>
      <c r="E758" s="2930">
        <v>0</v>
      </c>
      <c r="F758" s="2930">
        <v>-10</v>
      </c>
      <c r="G758" s="2930">
        <v>4</v>
      </c>
      <c r="H758" s="2930">
        <v>4</v>
      </c>
      <c r="I758" s="2930" t="s">
        <v>1864</v>
      </c>
      <c r="J758" s="2930" t="s">
        <v>1766</v>
      </c>
      <c r="K758" s="2912" t="s">
        <v>8905</v>
      </c>
      <c r="L758" s="2930" t="str">
        <f t="shared" si="97"/>
        <v>Distinta</v>
      </c>
      <c r="M758" s="2941">
        <v>3</v>
      </c>
      <c r="N758" s="2941">
        <v>-3</v>
      </c>
      <c r="O758" s="2941">
        <v>15</v>
      </c>
      <c r="P758" s="2930"/>
      <c r="Q758" s="2930"/>
      <c r="R758" s="2930" t="s">
        <v>1766</v>
      </c>
      <c r="S758" s="2930">
        <v>1</v>
      </c>
      <c r="T758" s="2930">
        <v>50</v>
      </c>
      <c r="U758" s="2930"/>
      <c r="V758" s="2912" t="s">
        <v>1766</v>
      </c>
      <c r="W758" s="2912"/>
      <c r="X758" s="2913"/>
      <c r="Z758" s="2661" t="str">
        <f t="shared" si="98"/>
        <v/>
      </c>
      <c r="AA758" s="2420"/>
      <c r="AB758" s="363"/>
      <c r="AC758" s="2620"/>
      <c r="AG758" s="2234" t="str">
        <f t="shared" ref="AG758:AG766" si="99">IF(ISNA(INDEX(Lista_Armas,MATCH($A129,AJ$630:AJ$766,0))),"",INDEX(Lista_Armas,MATCH($A129,AJ$630:AJ$766,0)))</f>
        <v/>
      </c>
      <c r="AH758" s="2013" t="str">
        <f t="shared" ref="AH758:AH766" si="100">IF(ISNA(INDEX(Lista_Armas,MATCH($A129,AK$630:AK$766,0))),"",INDEX(Lista_Armas,MATCH($A129,AK$630:AK$766,0)))</f>
        <v/>
      </c>
      <c r="AI758" s="2013" t="str">
        <f t="shared" ref="AI758:AI766" si="101">IF(ISNA(INDEX(Lista_Armas,MATCH($A129,AL$630:AL$766,0))),"",INDEX(Lista_Armas,MATCH($A129,AL$630:AL$766,0)))</f>
        <v>Cerbatana</v>
      </c>
      <c r="AJ758" s="2919">
        <f>IF($L758=AJ$627,COUNTIF($L$630:$L758,AJ$627)+4,0)</f>
        <v>0</v>
      </c>
      <c r="AK758" s="2916">
        <f>IF($L758=AK$627,COUNTIF($L$630:$L758,AK$627)+4,0)</f>
        <v>0</v>
      </c>
      <c r="AL758" s="2922">
        <f>IF($L758=AL$627,COUNTIF($L$630:$L758,AL$627)+4,0)</f>
        <v>129</v>
      </c>
    </row>
    <row r="759" spans="1:38" ht="12.75" customHeight="1" x14ac:dyDescent="0.2">
      <c r="A759" s="1928">
        <v>759</v>
      </c>
      <c r="B759" s="5108"/>
      <c r="C759" s="2932"/>
      <c r="D759" s="2933" t="s">
        <v>8571</v>
      </c>
      <c r="E759" s="2930">
        <v>0</v>
      </c>
      <c r="F759" s="2930">
        <v>-30</v>
      </c>
      <c r="G759" s="2930">
        <v>7</v>
      </c>
      <c r="H759" s="2930">
        <v>7</v>
      </c>
      <c r="I759" s="2930" t="s">
        <v>1864</v>
      </c>
      <c r="J759" s="2930" t="s">
        <v>1766</v>
      </c>
      <c r="K759" s="2912" t="s">
        <v>8905</v>
      </c>
      <c r="L759" s="2930" t="str">
        <f t="shared" si="97"/>
        <v>Distinta</v>
      </c>
      <c r="M759" s="2941">
        <v>8</v>
      </c>
      <c r="N759" s="2941">
        <v>-2</v>
      </c>
      <c r="O759" s="2941">
        <v>20</v>
      </c>
      <c r="P759" s="2930"/>
      <c r="Q759" s="2930"/>
      <c r="R759" s="2930" t="s">
        <v>1766</v>
      </c>
      <c r="S759" s="2930">
        <v>1</v>
      </c>
      <c r="T759" s="2930">
        <v>90</v>
      </c>
      <c r="U759" s="2930"/>
      <c r="V759" s="2912" t="s">
        <v>1897</v>
      </c>
      <c r="W759" s="2912"/>
      <c r="X759" s="2913"/>
      <c r="Z759" s="2661" t="str">
        <f t="shared" si="98"/>
        <v/>
      </c>
      <c r="AA759" s="2420"/>
      <c r="AB759" s="363"/>
      <c r="AC759" s="2620"/>
      <c r="AG759" s="2234" t="str">
        <f t="shared" si="99"/>
        <v/>
      </c>
      <c r="AH759" s="2013" t="str">
        <f t="shared" si="100"/>
        <v/>
      </c>
      <c r="AI759" s="2013" t="str">
        <f t="shared" si="101"/>
        <v>Daikyu</v>
      </c>
      <c r="AJ759" s="2919">
        <f>IF($L759=AJ$627,COUNTIF($L$630:$L759,AJ$627)+4,0)</f>
        <v>0</v>
      </c>
      <c r="AK759" s="2916">
        <f>IF($L759=AK$627,COUNTIF($L$630:$L759,AK$627)+4,0)</f>
        <v>0</v>
      </c>
      <c r="AL759" s="2922">
        <f>IF($L759=AL$627,COUNTIF($L$630:$L759,AL$627)+4,0)</f>
        <v>130</v>
      </c>
    </row>
    <row r="760" spans="1:38" ht="12.75" customHeight="1" x14ac:dyDescent="0.2">
      <c r="A760" s="1928">
        <v>760</v>
      </c>
      <c r="B760" s="5108"/>
      <c r="C760" s="2932"/>
      <c r="D760" s="2933" t="s">
        <v>2583</v>
      </c>
      <c r="E760" s="2930">
        <v>0</v>
      </c>
      <c r="F760" s="2930">
        <v>-20</v>
      </c>
      <c r="G760" s="2930">
        <v>0</v>
      </c>
      <c r="H760" s="2930">
        <v>0</v>
      </c>
      <c r="I760" s="2930" t="s">
        <v>1864</v>
      </c>
      <c r="J760" s="2930" t="s">
        <v>1766</v>
      </c>
      <c r="K760" s="2912" t="s">
        <v>8905</v>
      </c>
      <c r="L760" s="2930" t="str">
        <f t="shared" si="97"/>
        <v>Distinta</v>
      </c>
      <c r="M760" s="2941">
        <v>9</v>
      </c>
      <c r="N760" s="2941">
        <v>-3</v>
      </c>
      <c r="O760" s="2941">
        <v>20</v>
      </c>
      <c r="P760" s="2930"/>
      <c r="Q760" s="2930"/>
      <c r="R760" s="2930" t="s">
        <v>1766</v>
      </c>
      <c r="S760" s="2930">
        <v>4</v>
      </c>
      <c r="T760" s="2930">
        <v>80</v>
      </c>
      <c r="U760" s="2930">
        <v>11</v>
      </c>
      <c r="V760" s="2912" t="s">
        <v>2558</v>
      </c>
      <c r="W760" s="2912"/>
      <c r="X760" s="2913"/>
      <c r="Z760" s="2661" t="str">
        <f t="shared" si="98"/>
        <v/>
      </c>
      <c r="AA760" s="2420"/>
      <c r="AB760" s="363"/>
      <c r="AC760" s="2620"/>
      <c r="AG760" s="2234" t="str">
        <f t="shared" si="99"/>
        <v/>
      </c>
      <c r="AH760" s="2013" t="str">
        <f t="shared" si="100"/>
        <v/>
      </c>
      <c r="AI760" s="2013" t="str">
        <f t="shared" si="101"/>
        <v>Fusil</v>
      </c>
      <c r="AJ760" s="2919">
        <f>IF($L760=AJ$627,COUNTIF($L$630:$L760,AJ$627)+4,0)</f>
        <v>0</v>
      </c>
      <c r="AK760" s="2916">
        <f>IF($L760=AK$627,COUNTIF($L$630:$L760,AK$627)+4,0)</f>
        <v>0</v>
      </c>
      <c r="AL760" s="2922">
        <f>IF($L760=AL$627,COUNTIF($L$630:$L760,AL$627)+4,0)</f>
        <v>131</v>
      </c>
    </row>
    <row r="761" spans="1:38" ht="12.75" customHeight="1" x14ac:dyDescent="0.2">
      <c r="A761" s="1928">
        <v>761</v>
      </c>
      <c r="B761" s="5108"/>
      <c r="C761" s="2932"/>
      <c r="D761" s="2933" t="s">
        <v>2584</v>
      </c>
      <c r="E761" s="2930">
        <v>0</v>
      </c>
      <c r="F761" s="2930">
        <v>-40</v>
      </c>
      <c r="G761" s="2930">
        <v>4</v>
      </c>
      <c r="H761" s="2930">
        <v>4</v>
      </c>
      <c r="I761" s="2930" t="s">
        <v>1809</v>
      </c>
      <c r="J761" s="2930" t="s">
        <v>1766</v>
      </c>
      <c r="K761" s="2912" t="s">
        <v>8905</v>
      </c>
      <c r="L761" s="2930" t="str">
        <f t="shared" si="97"/>
        <v>Distinta</v>
      </c>
      <c r="M761" s="2941">
        <v>3</v>
      </c>
      <c r="N761" s="2941">
        <v>-6</v>
      </c>
      <c r="O761" s="2941">
        <v>10</v>
      </c>
      <c r="P761" s="2930"/>
      <c r="Q761" s="2930"/>
      <c r="R761" s="2930" t="s">
        <v>1766</v>
      </c>
      <c r="S761" s="2930">
        <v>1</v>
      </c>
      <c r="T761" s="2930">
        <v>50</v>
      </c>
      <c r="U761" s="2930"/>
      <c r="V761" s="2912" t="s">
        <v>1766</v>
      </c>
      <c r="W761" s="2912"/>
      <c r="X761" s="2913"/>
      <c r="Z761" s="2661" t="str">
        <f t="shared" si="98"/>
        <v/>
      </c>
      <c r="AA761" s="2420"/>
      <c r="AB761" s="363"/>
      <c r="AC761" s="2620"/>
      <c r="AG761" s="2234" t="str">
        <f t="shared" si="99"/>
        <v/>
      </c>
      <c r="AH761" s="2013" t="str">
        <f t="shared" si="100"/>
        <v/>
      </c>
      <c r="AI761" s="2013" t="str">
        <f t="shared" si="101"/>
        <v>Honda</v>
      </c>
      <c r="AJ761" s="2919">
        <f>IF($L761=AJ$627,COUNTIF($L$630:$L761,AJ$627)+4,0)</f>
        <v>0</v>
      </c>
      <c r="AK761" s="2916">
        <f>IF($L761=AK$627,COUNTIF($L$630:$L761,AK$627)+4,0)</f>
        <v>0</v>
      </c>
      <c r="AL761" s="2922">
        <f>IF($L761=AL$627,COUNTIF($L$630:$L761,AL$627)+4,0)</f>
        <v>132</v>
      </c>
    </row>
    <row r="762" spans="1:38" ht="12.75" customHeight="1" x14ac:dyDescent="0.2">
      <c r="A762" s="1928">
        <v>762</v>
      </c>
      <c r="B762" s="5108"/>
      <c r="C762" s="2932"/>
      <c r="D762" s="2933" t="s">
        <v>2585</v>
      </c>
      <c r="E762" s="2930">
        <v>0</v>
      </c>
      <c r="F762" s="2930">
        <v>0</v>
      </c>
      <c r="G762" s="2930">
        <v>0</v>
      </c>
      <c r="H762" s="2930">
        <v>0</v>
      </c>
      <c r="I762" s="2930" t="s">
        <v>1864</v>
      </c>
      <c r="J762" s="2930" t="s">
        <v>1766</v>
      </c>
      <c r="K762" s="2912" t="s">
        <v>8905</v>
      </c>
      <c r="L762" s="2930" t="str">
        <f t="shared" si="97"/>
        <v>Distinta</v>
      </c>
      <c r="M762" s="2941">
        <v>8</v>
      </c>
      <c r="N762" s="2941">
        <v>-3</v>
      </c>
      <c r="O762" s="2941">
        <v>20</v>
      </c>
      <c r="P762" s="2930"/>
      <c r="Q762" s="2930"/>
      <c r="R762" s="2930" t="s">
        <v>1766</v>
      </c>
      <c r="S762" s="2930">
        <v>4</v>
      </c>
      <c r="T762" s="2930">
        <v>50</v>
      </c>
      <c r="U762" s="2930">
        <v>9</v>
      </c>
      <c r="V762" s="2912" t="s">
        <v>2558</v>
      </c>
      <c r="W762" s="2912"/>
      <c r="X762" s="2913"/>
      <c r="Z762" s="2661" t="str">
        <f t="shared" si="98"/>
        <v/>
      </c>
      <c r="AA762" s="2420"/>
      <c r="AB762" s="363"/>
      <c r="AC762" s="2620"/>
      <c r="AG762" s="2234" t="str">
        <f t="shared" si="99"/>
        <v/>
      </c>
      <c r="AH762" s="2013" t="str">
        <f t="shared" si="100"/>
        <v/>
      </c>
      <c r="AI762" s="2013" t="str">
        <f t="shared" si="101"/>
        <v>Pistola</v>
      </c>
      <c r="AJ762" s="2919">
        <f>IF($L762=AJ$627,COUNTIF($L$630:$L762,AJ$627)+4,0)</f>
        <v>0</v>
      </c>
      <c r="AK762" s="2916">
        <f>IF($L762=AK$627,COUNTIF($L$630:$L762,AK$627)+4,0)</f>
        <v>0</v>
      </c>
      <c r="AL762" s="2922">
        <f>IF($L762=AL$627,COUNTIF($L$630:$L762,AL$627)+4,0)</f>
        <v>133</v>
      </c>
    </row>
    <row r="763" spans="1:38" ht="12.75" customHeight="1" x14ac:dyDescent="0.2">
      <c r="A763" s="1928">
        <v>763</v>
      </c>
      <c r="B763" s="5108"/>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8"/>
        <v/>
      </c>
      <c r="AA763" s="2420"/>
      <c r="AB763" s="363"/>
      <c r="AC763" s="2620"/>
      <c r="AG763" s="2234" t="str">
        <f t="shared" si="99"/>
        <v/>
      </c>
      <c r="AH763" s="2013" t="str">
        <f t="shared" si="100"/>
        <v/>
      </c>
      <c r="AI763" s="2013" t="str">
        <f t="shared" si="101"/>
        <v>&gt; ARMAS DE ASEDIO</v>
      </c>
      <c r="AJ763" s="2919">
        <f>MAX(AJ$630:AJ762)+1</f>
        <v>5</v>
      </c>
      <c r="AK763" s="2916">
        <f>MAX(AK$630:AK762)+1</f>
        <v>5</v>
      </c>
      <c r="AL763" s="2922">
        <f>MAX(AL$630:AL762)+1</f>
        <v>134</v>
      </c>
    </row>
    <row r="764" spans="1:38" ht="12.75" customHeight="1" x14ac:dyDescent="0.2">
      <c r="A764" s="1928">
        <v>764</v>
      </c>
      <c r="B764" s="5108"/>
      <c r="C764" s="2932"/>
      <c r="D764" s="19" t="s">
        <v>10003</v>
      </c>
      <c r="E764" s="2930">
        <v>0</v>
      </c>
      <c r="F764" s="2930">
        <v>-80</v>
      </c>
      <c r="G764" s="2930">
        <v>0</v>
      </c>
      <c r="H764" s="2930">
        <v>0</v>
      </c>
      <c r="I764" s="2930" t="s">
        <v>1864</v>
      </c>
      <c r="J764" s="2930" t="s">
        <v>1766</v>
      </c>
      <c r="K764" s="2912" t="s">
        <v>8905</v>
      </c>
      <c r="L764" s="2930" t="str">
        <f>IF(ISNUMBER(SEARCH($D764,Armas_Conocidas)),"Conocida",IF(OR(ISNUMBER(SEARCH(LEFT($K764,SEARCH("/",$K764)),Tipologías_Conocidas)),AND(NOT(ISNUMBER(SEARCH("/-",$K764))),ISNUMBER(SEARCH(MID($K764,SEARCH("/",$K764)+1,LEN($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8"/>
        <v/>
      </c>
      <c r="AA764" s="2420"/>
      <c r="AB764" s="363"/>
      <c r="AC764" s="2620"/>
      <c r="AG764" s="2234" t="str">
        <f t="shared" si="99"/>
        <v/>
      </c>
      <c r="AH764" s="2013" t="str">
        <f t="shared" si="100"/>
        <v/>
      </c>
      <c r="AI764" s="2013" t="str">
        <f t="shared" si="101"/>
        <v>Balista ligera</v>
      </c>
      <c r="AJ764" s="2919">
        <f>IF($L764=AJ$627,COUNTIF($L$630:$L764,AJ$627)+5,0)</f>
        <v>0</v>
      </c>
      <c r="AK764" s="2916">
        <f>IF($L764=AK$627,COUNTIF($L$630:$L764,AK$627)+5,0)</f>
        <v>0</v>
      </c>
      <c r="AL764" s="2922">
        <f>IF($L764=AL$627,COUNTIF($L$630:$L764,AL$627)+5,0)</f>
        <v>135</v>
      </c>
    </row>
    <row r="765" spans="1:38" ht="12.75" customHeight="1" x14ac:dyDescent="0.2">
      <c r="A765" s="1928">
        <v>765</v>
      </c>
      <c r="B765" s="5108"/>
      <c r="C765" s="2932"/>
      <c r="D765" s="19" t="s">
        <v>10004</v>
      </c>
      <c r="E765" s="2930">
        <v>0</v>
      </c>
      <c r="F765" s="2930">
        <v>-100</v>
      </c>
      <c r="G765" s="2930">
        <v>0</v>
      </c>
      <c r="H765" s="2930">
        <v>0</v>
      </c>
      <c r="I765" s="2930" t="s">
        <v>1864</v>
      </c>
      <c r="J765" s="2930" t="s">
        <v>1766</v>
      </c>
      <c r="K765" s="2912" t="s">
        <v>8905</v>
      </c>
      <c r="L765" s="2930" t="str">
        <f>IF(ISNUMBER(SEARCH($D765,Armas_Conocidas)),"Conocida",IF(OR(ISNUMBER(SEARCH(LEFT($K765,SEARCH("/",$K765)),Tipologías_Conocidas)),AND(NOT(ISNUMBER(SEARCH("/-",$K765))),ISNUMBER(SEARCH(MID($K765,SEARCH("/",$K765)+1,LEN($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8"/>
        <v/>
      </c>
      <c r="AA765" s="2420"/>
      <c r="AB765" s="363"/>
      <c r="AC765" s="2620"/>
      <c r="AG765" s="2234" t="str">
        <f t="shared" si="99"/>
        <v/>
      </c>
      <c r="AH765" s="2013" t="str">
        <f t="shared" si="100"/>
        <v/>
      </c>
      <c r="AI765" s="2013" t="str">
        <f t="shared" si="101"/>
        <v>Balista pesada</v>
      </c>
      <c r="AJ765" s="2919">
        <f>IF($L765=AJ$627,COUNTIF($L$630:$L765,AJ$627)+5,0)</f>
        <v>0</v>
      </c>
      <c r="AK765" s="2916">
        <f>IF($L765=AK$627,COUNTIF($L$630:$L765,AK$627)+5,0)</f>
        <v>0</v>
      </c>
      <c r="AL765" s="2922">
        <f>IF($L765=AL$627,COUNTIF($L$630:$L765,AL$627)+5,0)</f>
        <v>136</v>
      </c>
    </row>
    <row r="766" spans="1:38" ht="12.75" customHeight="1" thickBot="1" x14ac:dyDescent="0.25">
      <c r="A766" s="1928">
        <v>766</v>
      </c>
      <c r="B766" s="5108"/>
      <c r="C766" s="2932"/>
      <c r="D766" s="19" t="s">
        <v>10005</v>
      </c>
      <c r="E766" s="2930">
        <v>0</v>
      </c>
      <c r="F766" s="2930">
        <v>-100</v>
      </c>
      <c r="G766" s="2930">
        <v>0</v>
      </c>
      <c r="H766" s="2930">
        <v>0</v>
      </c>
      <c r="I766" s="2930" t="s">
        <v>1809</v>
      </c>
      <c r="J766" s="2930" t="s">
        <v>1766</v>
      </c>
      <c r="K766" s="2912" t="s">
        <v>8905</v>
      </c>
      <c r="L766" s="2930" t="str">
        <f>IF(ISNUMBER(SEARCH($D766,Armas_Conocidas)),"Conocida",IF(OR(ISNUMBER(SEARCH(LEFT($K766,SEARCH("/",$K766)),Tipologías_Conocidas)),AND(NOT(ISNUMBER(SEARCH("/-",$K766))),ISNUMBER(SEARCH(MID($K766,SEARCH("/",$K766)+1,LEN($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8"/>
        <v/>
      </c>
      <c r="AA766" s="2420"/>
      <c r="AB766" s="363"/>
      <c r="AC766" s="2620"/>
      <c r="AG766" s="2923" t="str">
        <f t="shared" si="99"/>
        <v/>
      </c>
      <c r="AH766" s="2424" t="str">
        <f t="shared" si="100"/>
        <v/>
      </c>
      <c r="AI766" s="2424" t="str">
        <f t="shared" si="101"/>
        <v>Cañón</v>
      </c>
      <c r="AJ766" s="2924">
        <f>IF($L766=AJ$627,COUNTIF($L$630:$L766,AJ$627)+5,0)</f>
        <v>0</v>
      </c>
      <c r="AK766" s="2925">
        <f>IF($L766=AK$627,COUNTIF($L$630:$L766,AK$627)+5,0)</f>
        <v>0</v>
      </c>
      <c r="AL766" s="2926">
        <f>IF($L766=AL$627,COUNTIF($L$630:$L766,AL$627)+5,0)</f>
        <v>137</v>
      </c>
    </row>
    <row r="767" spans="1:38" ht="12.75" customHeight="1" x14ac:dyDescent="0.2">
      <c r="A767" s="1928">
        <v>767</v>
      </c>
      <c r="B767" s="5108"/>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8"/>
        <v/>
      </c>
      <c r="AA767" s="2420"/>
      <c r="AB767" s="363"/>
      <c r="AC767" s="2620"/>
    </row>
    <row r="768" spans="1:38" ht="12.75" customHeight="1" x14ac:dyDescent="0.2">
      <c r="A768" s="1928">
        <v>768</v>
      </c>
      <c r="B768" s="5108"/>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40" t="s">
        <v>2588</v>
      </c>
      <c r="W768" s="5140"/>
      <c r="X768" s="5141"/>
      <c r="Z768" s="2661" t="str">
        <f t="shared" si="98"/>
        <v/>
      </c>
      <c r="AA768" s="2420"/>
      <c r="AB768" s="363"/>
      <c r="AC768" s="2620"/>
    </row>
    <row r="769" spans="1:29" ht="12.75" customHeight="1" x14ac:dyDescent="0.2">
      <c r="A769" s="1928">
        <v>769</v>
      </c>
      <c r="B769" s="5108"/>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40" t="s">
        <v>2590</v>
      </c>
      <c r="W769" s="5140"/>
      <c r="X769" s="5141"/>
      <c r="Z769" s="2661" t="str">
        <f t="shared" si="98"/>
        <v/>
      </c>
      <c r="AA769" s="2420"/>
      <c r="AB769" s="363"/>
      <c r="AC769" s="2620"/>
    </row>
    <row r="770" spans="1:29" ht="12.75" customHeight="1" x14ac:dyDescent="0.2">
      <c r="A770" s="1928">
        <v>770</v>
      </c>
      <c r="B770" s="5108"/>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40" t="s">
        <v>2592</v>
      </c>
      <c r="W770" s="5140"/>
      <c r="X770" s="5141"/>
      <c r="Z770" s="2661" t="str">
        <f t="shared" si="98"/>
        <v/>
      </c>
      <c r="AA770" s="2420"/>
      <c r="AB770" s="363"/>
      <c r="AC770" s="2620"/>
    </row>
    <row r="771" spans="1:29" ht="12.75" customHeight="1" x14ac:dyDescent="0.2">
      <c r="A771" s="1928">
        <v>771</v>
      </c>
      <c r="B771" s="5108"/>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40" t="s">
        <v>2594</v>
      </c>
      <c r="W771" s="5140"/>
      <c r="X771" s="5141"/>
      <c r="Z771" s="2661" t="str">
        <f t="shared" si="98"/>
        <v/>
      </c>
      <c r="AA771" s="2420"/>
      <c r="AB771" s="363"/>
      <c r="AC771" s="2620"/>
    </row>
    <row r="772" spans="1:29" ht="12.75" customHeight="1" x14ac:dyDescent="0.2">
      <c r="A772" s="1928">
        <v>772</v>
      </c>
      <c r="B772" s="5108"/>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40" t="s">
        <v>2596</v>
      </c>
      <c r="W772" s="5140"/>
      <c r="X772" s="5141"/>
      <c r="Z772" s="2661" t="str">
        <f t="shared" si="98"/>
        <v/>
      </c>
      <c r="AA772" s="2420"/>
      <c r="AB772" s="363"/>
      <c r="AC772" s="2620"/>
    </row>
    <row r="773" spans="1:29" ht="12.75" customHeight="1" x14ac:dyDescent="0.2">
      <c r="A773" s="1928">
        <v>773</v>
      </c>
      <c r="B773" s="5108"/>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40" t="s">
        <v>2598</v>
      </c>
      <c r="W773" s="5140"/>
      <c r="X773" s="5141"/>
      <c r="Z773" s="2661" t="str">
        <f t="shared" si="98"/>
        <v/>
      </c>
      <c r="AA773" s="2420"/>
      <c r="AB773" s="363"/>
      <c r="AC773" s="2620"/>
    </row>
    <row r="774" spans="1:29" ht="12.75" customHeight="1" x14ac:dyDescent="0.2">
      <c r="A774" s="1928">
        <v>774</v>
      </c>
      <c r="B774" s="5108"/>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40" t="s">
        <v>2600</v>
      </c>
      <c r="W774" s="5140"/>
      <c r="X774" s="5141"/>
      <c r="Z774" s="2661" t="str">
        <f t="shared" si="98"/>
        <v/>
      </c>
      <c r="AA774" s="2420"/>
      <c r="AB774" s="363"/>
      <c r="AC774" s="2620"/>
    </row>
    <row r="775" spans="1:29" ht="12.75" customHeight="1" x14ac:dyDescent="0.2">
      <c r="A775" s="1928">
        <v>775</v>
      </c>
      <c r="B775" s="5108"/>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40" t="s">
        <v>2602</v>
      </c>
      <c r="W775" s="5140"/>
      <c r="X775" s="5141"/>
      <c r="Z775" s="2661" t="str">
        <f t="shared" si="98"/>
        <v/>
      </c>
      <c r="AA775" s="2420"/>
      <c r="AB775" s="363"/>
      <c r="AC775" s="2620"/>
    </row>
    <row r="776" spans="1:29" ht="12.75" customHeight="1" x14ac:dyDescent="0.2">
      <c r="A776" s="1928">
        <v>776</v>
      </c>
      <c r="B776" s="5108"/>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40" t="s">
        <v>2604</v>
      </c>
      <c r="W776" s="5140"/>
      <c r="X776" s="5141"/>
      <c r="Z776" s="2661" t="str">
        <f t="shared" si="98"/>
        <v/>
      </c>
      <c r="AA776" s="2420"/>
      <c r="AB776" s="363"/>
      <c r="AC776" s="2620"/>
    </row>
    <row r="777" spans="1:29" ht="12.75" customHeight="1" x14ac:dyDescent="0.2">
      <c r="A777" s="1928">
        <v>777</v>
      </c>
      <c r="B777" s="5108"/>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40" t="s">
        <v>2606</v>
      </c>
      <c r="W777" s="5140"/>
      <c r="X777" s="5141"/>
      <c r="Z777" s="2661" t="str">
        <f t="shared" si="98"/>
        <v/>
      </c>
      <c r="AA777" s="2420"/>
      <c r="AB777" s="363"/>
      <c r="AC777" s="2620"/>
    </row>
    <row r="778" spans="1:29" ht="12.75" customHeight="1" x14ac:dyDescent="0.2">
      <c r="A778" s="1928">
        <v>778</v>
      </c>
      <c r="B778" s="5108"/>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8"/>
        <v/>
      </c>
      <c r="AA778" s="2420"/>
      <c r="AB778" s="363"/>
      <c r="AC778" s="2620"/>
    </row>
    <row r="779" spans="1:29" ht="12.75" customHeight="1" x14ac:dyDescent="0.2">
      <c r="A779" s="1928">
        <v>779</v>
      </c>
      <c r="B779" s="5108"/>
      <c r="C779" s="2932"/>
      <c r="D779" s="2933" t="s">
        <v>2608</v>
      </c>
      <c r="E779" s="2930">
        <f>Presencia_final+Bono_Pod-Bono_Fue</f>
        <v>20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108"/>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108"/>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108"/>
      <c r="C782" s="2945"/>
      <c r="D782" s="2933" t="s">
        <v>2614</v>
      </c>
      <c r="E782" s="2940">
        <v>120</v>
      </c>
      <c r="F782" s="2930">
        <v>-80</v>
      </c>
      <c r="G782" s="2930">
        <v>12</v>
      </c>
      <c r="H782" s="2930">
        <v>10</v>
      </c>
      <c r="I782" s="2930" t="s">
        <v>1863</v>
      </c>
      <c r="J782" s="2930" t="s">
        <v>1809</v>
      </c>
      <c r="K782" s="2912" t="s">
        <v>8885</v>
      </c>
      <c r="L782" s="2944" t="str">
        <f>IF(AND(H971&gt;0,OR(L656="Conocida",L673="Conocida",L693="Conocida")),"Conocida","Distinta")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108"/>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108"/>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108"/>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108"/>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108"/>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40m</v>
      </c>
      <c r="W787" s="2938"/>
      <c r="X787" s="2946"/>
      <c r="Z787" s="2662"/>
      <c r="AA787" s="2420"/>
      <c r="AB787" s="363"/>
      <c r="AC787" s="2620"/>
    </row>
    <row r="788" spans="1:31" ht="12.75" customHeight="1" x14ac:dyDescent="0.2">
      <c r="A788" s="1928">
        <v>788</v>
      </c>
      <c r="B788" s="5108"/>
      <c r="C788" s="2945"/>
      <c r="D788" s="2933" t="s">
        <v>2623</v>
      </c>
      <c r="E788" s="2930">
        <f>60-10</f>
        <v>50</v>
      </c>
      <c r="F788" s="2930">
        <v>0</v>
      </c>
      <c r="G788" s="2930">
        <v>5</v>
      </c>
      <c r="H788" s="2930">
        <v>5</v>
      </c>
      <c r="I788" s="2930" t="s">
        <v>2624</v>
      </c>
      <c r="J788" s="2930" t="s">
        <v>1766</v>
      </c>
      <c r="K788" s="2912" t="s">
        <v>8885</v>
      </c>
      <c r="L788" s="2944" t="str">
        <f>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108"/>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108"/>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108"/>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108"/>
      <c r="C792" s="2945"/>
      <c r="D792" s="2933" t="s">
        <v>2629</v>
      </c>
      <c r="E792" s="2930">
        <f>100-Bono_Fue+Bono_Des</f>
        <v>100</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108"/>
      <c r="C793" s="2945"/>
      <c r="D793" s="2933" t="s">
        <v>2631</v>
      </c>
      <c r="E793" s="2930">
        <f>70-Bono_Fue-10</f>
        <v>60</v>
      </c>
      <c r="F793" s="2930">
        <v>10</v>
      </c>
      <c r="G793" s="2930">
        <v>3</v>
      </c>
      <c r="H793" s="2930">
        <v>3</v>
      </c>
      <c r="I793" s="2930" t="s">
        <v>1863</v>
      </c>
      <c r="J793" s="2930" t="s">
        <v>1809</v>
      </c>
      <c r="K793" s="2912" t="s">
        <v>8885</v>
      </c>
      <c r="L793" s="2944" t="str">
        <f t="shared" ref="L793:L795" si="102">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108"/>
      <c r="C794" s="2945"/>
      <c r="D794" s="2933" t="s">
        <v>2632</v>
      </c>
      <c r="E794" s="2930">
        <f>30-Bono_Fue+Bono_Des</f>
        <v>30</v>
      </c>
      <c r="F794" s="2930">
        <v>20</v>
      </c>
      <c r="G794" s="2930">
        <v>0</v>
      </c>
      <c r="H794" s="2930">
        <v>0</v>
      </c>
      <c r="I794" s="2930" t="s">
        <v>1809</v>
      </c>
      <c r="J794" s="2930" t="s">
        <v>1766</v>
      </c>
      <c r="K794" s="2912" t="s">
        <v>8885</v>
      </c>
      <c r="L794" s="2944" t="str">
        <f t="shared" si="102"/>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108"/>
      <c r="C795" s="2947"/>
      <c r="D795" s="2948" t="s">
        <v>2634</v>
      </c>
      <c r="E795" s="2949">
        <f>60-2*Bono_Fue+IF(Extensióndelauraalarma,-10,0)</f>
        <v>60</v>
      </c>
      <c r="F795" s="2949">
        <v>0</v>
      </c>
      <c r="G795" s="2949">
        <v>0</v>
      </c>
      <c r="H795" s="2949">
        <v>0</v>
      </c>
      <c r="I795" s="2949" t="s">
        <v>1863</v>
      </c>
      <c r="J795" s="2949" t="s">
        <v>1864</v>
      </c>
      <c r="K795" s="2713" t="s">
        <v>8885</v>
      </c>
      <c r="L795" s="2950" t="str">
        <f t="shared" si="102"/>
        <v>Distinta</v>
      </c>
      <c r="M795" s="2951">
        <v>10</v>
      </c>
      <c r="N795" s="2951">
        <v>11</v>
      </c>
      <c r="O795" s="2951">
        <f>Presencia_final*2</f>
        <v>40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108"/>
      <c r="H796" s="363"/>
      <c r="I796" s="1665"/>
      <c r="N796" s="363"/>
      <c r="O796" s="2011"/>
      <c r="AB796" s="363"/>
      <c r="AC796" s="2577"/>
    </row>
    <row r="797" spans="1:31" ht="12.75" customHeight="1" x14ac:dyDescent="0.2">
      <c r="A797" s="1928">
        <v>797</v>
      </c>
      <c r="B797" s="5108"/>
      <c r="H797" s="363"/>
      <c r="I797" s="1665"/>
      <c r="N797" s="363"/>
      <c r="O797" s="2011"/>
      <c r="AB797" s="363"/>
      <c r="AC797" s="2577"/>
    </row>
    <row r="798" spans="1:31" ht="12.75" customHeight="1" x14ac:dyDescent="0.2">
      <c r="A798" s="1928">
        <v>798</v>
      </c>
      <c r="B798" s="5108"/>
      <c r="C798" s="5107" t="s">
        <v>8939</v>
      </c>
      <c r="D798" s="5107"/>
      <c r="E798" s="5107"/>
      <c r="F798" s="5107"/>
      <c r="G798" s="5107"/>
      <c r="H798" s="5107"/>
      <c r="I798" s="5107"/>
      <c r="J798" s="5107"/>
      <c r="K798" s="5107"/>
      <c r="L798" s="5107"/>
      <c r="M798" s="5107"/>
      <c r="N798" s="5107"/>
      <c r="O798" s="5107"/>
      <c r="P798" s="5107"/>
      <c r="Q798" s="5107"/>
      <c r="R798" s="5107"/>
      <c r="S798" s="5107"/>
      <c r="T798" s="5107"/>
      <c r="U798" s="5107"/>
      <c r="V798" s="5107"/>
      <c r="W798" s="5107"/>
      <c r="X798" s="5107"/>
      <c r="Y798" s="5107"/>
      <c r="Z798" s="5107"/>
      <c r="AA798" s="5107"/>
      <c r="AB798" s="5107"/>
      <c r="AC798" s="5107"/>
      <c r="AD798" s="5107"/>
      <c r="AE798" s="5107"/>
    </row>
    <row r="799" spans="1:31" ht="12.75" customHeight="1" x14ac:dyDescent="0.2">
      <c r="A799" s="1928">
        <v>799</v>
      </c>
      <c r="B799" s="5108"/>
      <c r="C799" s="5107"/>
      <c r="D799" s="5107"/>
      <c r="E799" s="5107"/>
      <c r="F799" s="5107"/>
      <c r="G799" s="5107"/>
      <c r="H799" s="5107"/>
      <c r="I799" s="5107"/>
      <c r="J799" s="5107"/>
      <c r="K799" s="5107"/>
      <c r="L799" s="5107"/>
      <c r="M799" s="5107"/>
      <c r="N799" s="5107"/>
      <c r="O799" s="5107"/>
      <c r="P799" s="5107"/>
      <c r="Q799" s="5107"/>
      <c r="R799" s="5107"/>
      <c r="S799" s="5107"/>
      <c r="T799" s="5107"/>
      <c r="U799" s="5107"/>
      <c r="V799" s="5107"/>
      <c r="W799" s="5107"/>
      <c r="X799" s="5107"/>
      <c r="Y799" s="5107"/>
      <c r="Z799" s="5107"/>
      <c r="AA799" s="5107"/>
      <c r="AB799" s="5107"/>
      <c r="AC799" s="5107"/>
      <c r="AD799" s="5107"/>
      <c r="AE799" s="5107"/>
    </row>
    <row r="800" spans="1:31" ht="12.75" customHeight="1" x14ac:dyDescent="0.2">
      <c r="A800" s="1928">
        <v>800</v>
      </c>
      <c r="B800" s="5108"/>
      <c r="C800" s="5107"/>
      <c r="D800" s="5107"/>
      <c r="E800" s="5107"/>
      <c r="F800" s="5107"/>
      <c r="G800" s="5107"/>
      <c r="H800" s="5107"/>
      <c r="I800" s="5107"/>
      <c r="J800" s="5107"/>
      <c r="K800" s="5107"/>
      <c r="L800" s="5107"/>
      <c r="M800" s="5107"/>
      <c r="N800" s="5107"/>
      <c r="O800" s="5107"/>
      <c r="P800" s="5107"/>
      <c r="Q800" s="5107"/>
      <c r="R800" s="5107"/>
      <c r="S800" s="5107"/>
      <c r="T800" s="5107"/>
      <c r="U800" s="5107"/>
      <c r="V800" s="5107"/>
      <c r="W800" s="5107"/>
      <c r="X800" s="5107"/>
      <c r="Y800" s="5107"/>
      <c r="Z800" s="5107"/>
      <c r="AA800" s="5107"/>
      <c r="AB800" s="5107"/>
      <c r="AC800" s="5107"/>
      <c r="AD800" s="5107"/>
      <c r="AE800" s="5107"/>
    </row>
    <row r="801" spans="1:30" ht="12.75" customHeight="1" thickBot="1" x14ac:dyDescent="0.25">
      <c r="A801" s="1928">
        <v>801</v>
      </c>
      <c r="B801" s="5108"/>
      <c r="C801" s="1927"/>
      <c r="H801" s="363"/>
      <c r="N801" s="363"/>
      <c r="AB801" s="363"/>
      <c r="AC801" s="2577"/>
    </row>
    <row r="802" spans="1:30" ht="12.75" customHeight="1" thickBot="1" x14ac:dyDescent="0.25">
      <c r="A802" s="1928">
        <v>802</v>
      </c>
      <c r="B802" s="5108"/>
      <c r="C802" s="5277" t="s">
        <v>1124</v>
      </c>
      <c r="D802" s="5278"/>
      <c r="E802" s="5278"/>
      <c r="F802" s="5278"/>
      <c r="G802" s="5278"/>
      <c r="H802" s="5278"/>
      <c r="I802" s="5278"/>
      <c r="J802" s="5278"/>
      <c r="K802" s="5278"/>
      <c r="L802" s="5278"/>
      <c r="M802" s="5278"/>
      <c r="N802" s="5278"/>
      <c r="O802" s="5278"/>
      <c r="P802" s="5278"/>
      <c r="Q802" s="5278"/>
      <c r="R802" s="5278"/>
      <c r="S802" s="5278"/>
      <c r="T802" s="5278"/>
      <c r="U802" s="5278"/>
      <c r="V802" s="5278"/>
      <c r="W802" s="5278"/>
      <c r="X802" s="5278"/>
      <c r="Y802" s="2697"/>
      <c r="Z802" s="2697"/>
      <c r="AA802" s="2554"/>
      <c r="AB802" s="363"/>
    </row>
    <row r="803" spans="1:30" ht="12.75" customHeight="1" thickBot="1" x14ac:dyDescent="0.25">
      <c r="A803" s="1928">
        <v>803</v>
      </c>
      <c r="B803" s="5108"/>
      <c r="C803" s="5279"/>
      <c r="D803" s="5280"/>
      <c r="E803" s="5280"/>
      <c r="F803" s="5280"/>
      <c r="G803" s="5280"/>
      <c r="H803" s="5280"/>
      <c r="I803" s="5280"/>
      <c r="J803" s="5280"/>
      <c r="K803" s="5280"/>
      <c r="L803" s="5280"/>
      <c r="M803" s="5280"/>
      <c r="N803" s="5280"/>
      <c r="O803" s="5280"/>
      <c r="P803" s="5280"/>
      <c r="Q803" s="5280"/>
      <c r="R803" s="5280"/>
      <c r="S803" s="5280"/>
      <c r="T803" s="5280"/>
      <c r="U803" s="5280"/>
      <c r="V803" s="5280"/>
      <c r="W803" s="5280"/>
      <c r="X803" s="5280"/>
      <c r="Y803" s="5321" t="s">
        <v>10000</v>
      </c>
      <c r="Z803" s="5321"/>
      <c r="AA803" s="5322"/>
      <c r="AB803" s="363"/>
      <c r="AC803" s="2529" t="s">
        <v>10001</v>
      </c>
      <c r="AD803" s="2704" t="s">
        <v>8760</v>
      </c>
    </row>
    <row r="804" spans="1:30" ht="12.75" customHeight="1" x14ac:dyDescent="0.2">
      <c r="A804" s="1928">
        <v>804</v>
      </c>
      <c r="B804" s="5108"/>
      <c r="C804" s="5171">
        <v>1</v>
      </c>
      <c r="D804" s="5172"/>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321"/>
      <c r="Z804" s="5321"/>
      <c r="AA804" s="5322"/>
      <c r="AB804" s="363"/>
      <c r="AC804" s="203" t="s">
        <v>1135</v>
      </c>
      <c r="AD804" s="1710" t="s">
        <v>1674</v>
      </c>
    </row>
    <row r="805" spans="1:30" ht="12.75" customHeight="1" x14ac:dyDescent="0.2">
      <c r="A805" s="1928">
        <v>805</v>
      </c>
      <c r="B805" s="5108"/>
      <c r="C805" s="5211" t="s">
        <v>1125</v>
      </c>
      <c r="D805" s="5212"/>
      <c r="E805" s="2542" t="s">
        <v>1126</v>
      </c>
      <c r="F805" s="2542" t="s">
        <v>1127</v>
      </c>
      <c r="G805" s="2542" t="s">
        <v>1811</v>
      </c>
      <c r="H805" s="2542" t="s">
        <v>1128</v>
      </c>
      <c r="I805" s="2542" t="s">
        <v>8809</v>
      </c>
      <c r="J805" s="2542" t="s">
        <v>8810</v>
      </c>
      <c r="K805" s="2542" t="s">
        <v>1129</v>
      </c>
      <c r="L805" s="4118" t="s">
        <v>1788</v>
      </c>
      <c r="M805" s="4118"/>
      <c r="N805" s="4118"/>
      <c r="O805" s="4118"/>
      <c r="P805" s="4118"/>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108"/>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103">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108"/>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103"/>
        <v>0</v>
      </c>
      <c r="V807" s="2553">
        <f>20*IF(AND(Arma_Desarrollada="Desarmado",D807=PDs!$AD$56),0.5,1)</f>
        <v>20</v>
      </c>
      <c r="W807" s="2553">
        <f>IF(COUNTIF(PDs!$AD$56:$AD$74,Tablas!D807)&gt;0,1,0)</f>
        <v>0</v>
      </c>
      <c r="X807" s="2553" t="str">
        <f>IF(T.Manos_final&lt;20,"NO","-")</f>
        <v>NO</v>
      </c>
      <c r="Y807" s="2695">
        <f>HA_final-PDs!$X$22+MIN(PDs!$X$22+H$896-H807,50)</f>
        <v>0</v>
      </c>
      <c r="Z807" s="2617">
        <f>HE_final-PDs!$X$24+MIN(PDs!$X$24+I$896-I807,50)</f>
        <v>0</v>
      </c>
      <c r="AA807" s="1896">
        <f>HP_final-PDs!$X$23+MIN(PDs!$X$23+J$896-J807,50)</f>
        <v>0</v>
      </c>
      <c r="AB807" s="363"/>
      <c r="AC807" s="2249" t="s">
        <v>8726</v>
      </c>
      <c r="AD807" s="2252" t="s">
        <v>8761</v>
      </c>
    </row>
    <row r="808" spans="1:30" ht="12.75" customHeight="1" x14ac:dyDescent="0.2">
      <c r="A808" s="1928">
        <v>808</v>
      </c>
      <c r="B808" s="5108"/>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103"/>
        <v>0</v>
      </c>
      <c r="V808" s="2553">
        <f>30*IF(Arma_Desarrollada="Desarmado",IF(D807=PDs!$AD$56,0.5,1),1)</f>
        <v>30</v>
      </c>
      <c r="W808" s="2553">
        <f>IF(COUNTIF(PDs!$AD$56:$AD$74,Tablas!D808)&gt;0,1,0)</f>
        <v>0</v>
      </c>
      <c r="X808" s="2553" t="str">
        <f>IF(OR(T.Manos_final&lt;40,Y808&lt;100,MAX(Z808,AA808)&lt;120,W807=0),"NO","-")</f>
        <v>NO</v>
      </c>
      <c r="Y808" s="2695">
        <f>HA_final-PDs!$X$22+MIN(PDs!$X$22+H$896-H808,50)</f>
        <v>0</v>
      </c>
      <c r="Z808" s="2617">
        <f>HE_final-PDs!$X$24+MIN(PDs!$X$24+I$896-I808,50)</f>
        <v>-10</v>
      </c>
      <c r="AA808" s="1896">
        <f>HP_final-PDs!$X$23+MIN(PDs!$X$23+J$896-J808,50)</f>
        <v>-10</v>
      </c>
      <c r="AB808" s="363"/>
      <c r="AC808" s="2249" t="s">
        <v>8727</v>
      </c>
      <c r="AD808" s="2248" t="s">
        <v>1674</v>
      </c>
    </row>
    <row r="809" spans="1:30" ht="12.75" customHeight="1" thickBot="1" x14ac:dyDescent="0.25">
      <c r="A809" s="1928">
        <v>809</v>
      </c>
      <c r="B809" s="5108"/>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103"/>
        <v>0</v>
      </c>
      <c r="V809" s="2553">
        <f>50*IF(Arma_Desarrollada="Desarmado",IF(D807=PDs!$AD$56,0.5,1),1)</f>
        <v>50</v>
      </c>
      <c r="W809" s="2553">
        <f>IF(COUNTIF(PDs!$AD$56:$AD$74,Tablas!D809)&gt;0,1,0)</f>
        <v>0</v>
      </c>
      <c r="X809" s="2553" t="str">
        <f>IF(OR(T.Manos_final&lt;80,MAX(Z809,AA809)&lt;200,W808=0),"NO","-")</f>
        <v>NO</v>
      </c>
      <c r="Y809" s="2695">
        <f>HA_final-PDs!$X$22+MIN(PDs!$X$22+H$896-H809,50)</f>
        <v>0</v>
      </c>
      <c r="Z809" s="2617">
        <f>HE_final-PDs!$X$24+MIN(PDs!$X$24+I$896-I809,50)</f>
        <v>-10</v>
      </c>
      <c r="AA809" s="1896">
        <f>HP_final-PDs!$X$23+MIN(PDs!$X$23+J$896-J809,50)</f>
        <v>-10</v>
      </c>
      <c r="AB809" s="363"/>
      <c r="AC809" s="2249" t="s">
        <v>8728</v>
      </c>
      <c r="AD809" s="2250" t="s">
        <v>4574</v>
      </c>
    </row>
    <row r="810" spans="1:30" ht="12.75" customHeight="1" x14ac:dyDescent="0.2">
      <c r="A810" s="1928">
        <v>810</v>
      </c>
      <c r="B810" s="5108"/>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103"/>
        <v>0</v>
      </c>
      <c r="V810" s="2553">
        <f>20*IF(AND(Arma_Desarrollada="Desarmado",D810=PDs!$AD$56),0.5,1)</f>
        <v>20</v>
      </c>
      <c r="W810" s="2553">
        <f>IF(COUNTIF(PDs!$AD$56:$AD$74,Tablas!D810)&gt;0,1,0)</f>
        <v>0</v>
      </c>
      <c r="X810" s="2553" t="str">
        <f>IF(OR(P.Fuerza_final&lt;30),"NO","-")</f>
        <v>NO</v>
      </c>
      <c r="Y810" s="2695">
        <f>HA_final-PDs!$X$22+MIN(PDs!$X$22+H$896-H810,50)</f>
        <v>0</v>
      </c>
      <c r="Z810" s="2617">
        <f>HE_final-PDs!$X$24+MIN(PDs!$X$24+I$896-I810,50)</f>
        <v>0</v>
      </c>
      <c r="AA810" s="1896">
        <f>HP_final-PDs!$X$23+MIN(PDs!$X$23+J$896-J810,50)</f>
        <v>0</v>
      </c>
      <c r="AB810" s="363"/>
      <c r="AC810" s="2249" t="s">
        <v>8729</v>
      </c>
    </row>
    <row r="811" spans="1:30" ht="12.75" customHeight="1" x14ac:dyDescent="0.2">
      <c r="A811" s="1928">
        <v>811</v>
      </c>
      <c r="B811" s="5108"/>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103"/>
        <v>0</v>
      </c>
      <c r="V811" s="2553">
        <f>30*IF(Arma_Desarrollada="Desarmado",IF(D810=PDs!$AD$56,0.5,1),1)</f>
        <v>30</v>
      </c>
      <c r="W811" s="2553">
        <f>IF(COUNTIF(PDs!$AD$56:$AD$74,Tablas!D811)&gt;0,1,0)</f>
        <v>0</v>
      </c>
      <c r="X811" s="2553" t="str">
        <f>IF(OR(P.Fuerza_final&lt;60,Y811&lt;120,MAX(Z811,AA811)&lt;120,W810=0),"NO","-")</f>
        <v>NO</v>
      </c>
      <c r="Y811" s="2695">
        <f>HA_final-PDs!$X$22+MIN(PDs!$X$22+H$896-H811,50)</f>
        <v>0</v>
      </c>
      <c r="Z811" s="2617">
        <f>HE_final-PDs!$X$24+MIN(PDs!$X$24+I$896-I811,50)</f>
        <v>0</v>
      </c>
      <c r="AA811" s="1896">
        <f>HP_final-PDs!$X$23+MIN(PDs!$X$23+J$896-J811,50)</f>
        <v>0</v>
      </c>
      <c r="AB811" s="363"/>
      <c r="AC811" s="2249" t="s">
        <v>8730</v>
      </c>
    </row>
    <row r="812" spans="1:30" ht="12.75" customHeight="1" x14ac:dyDescent="0.2">
      <c r="A812" s="1928">
        <v>812</v>
      </c>
      <c r="B812" s="5108"/>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103"/>
        <v>0</v>
      </c>
      <c r="V812" s="2553">
        <f>50*IF(Arma_Desarrollada="Desarmado",IF(D810=PDs!$AD$56,0.5,1),1)</f>
        <v>50</v>
      </c>
      <c r="W812" s="2553">
        <f>IF(COUNTIF(PDs!$AD$56:$AD$74,Tablas!D812)&gt;0,1,0)</f>
        <v>0</v>
      </c>
      <c r="X812" s="2553" t="str">
        <f>IF(OR(P.Fuerza_final&lt;120,Y812&lt;200,MAX(Z812,AA812)&lt;200,W811=0),"NO","-")</f>
        <v>NO</v>
      </c>
      <c r="Y812" s="2695">
        <f>HA_final-PDs!$X$22+MIN(PDs!$X$22+H$896-H812,50)</f>
        <v>-10</v>
      </c>
      <c r="Z812" s="2617">
        <f>HE_final-PDs!$X$24+MIN(PDs!$X$24+I$896-I812,50)</f>
        <v>0</v>
      </c>
      <c r="AA812" s="1896">
        <f>HP_final-PDs!$X$23+MIN(PDs!$X$23+J$896-J812,50)</f>
        <v>0</v>
      </c>
      <c r="AB812" s="363"/>
      <c r="AC812" s="2249" t="s">
        <v>8731</v>
      </c>
    </row>
    <row r="813" spans="1:30" ht="12.75" customHeight="1" x14ac:dyDescent="0.2">
      <c r="A813" s="1928">
        <v>813</v>
      </c>
      <c r="B813" s="5108"/>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103"/>
        <v>0</v>
      </c>
      <c r="V813" s="2553">
        <f>20*IF(AND(Arma_Desarrollada="Desarmado",D813=PDs!$AD$56),0.5,1)</f>
        <v>20</v>
      </c>
      <c r="W813" s="2553">
        <f>IF(COUNTIF(PDs!$AD$56:$AD$74,Tablas!D813)&gt;0,1,0)</f>
        <v>0</v>
      </c>
      <c r="X813" s="2553" t="str">
        <f>IF(OR(Baile_final&lt;20,Baile_final="-"),"NO","-")</f>
        <v>NO</v>
      </c>
      <c r="Y813" s="2695">
        <f>HA_final-PDs!$X$22+MIN(PDs!$X$22+H$896-H813,50)</f>
        <v>0</v>
      </c>
      <c r="Z813" s="2617">
        <f>HE_final-PDs!$X$24+MIN(PDs!$X$24+I$896-I813,50)</f>
        <v>0</v>
      </c>
      <c r="AA813" s="1896">
        <f>HP_final-PDs!$X$23+MIN(PDs!$X$23+J$896-J813,50)</f>
        <v>0</v>
      </c>
      <c r="AB813" s="363"/>
      <c r="AC813" s="2249" t="s">
        <v>8732</v>
      </c>
    </row>
    <row r="814" spans="1:30" ht="12.75" customHeight="1" x14ac:dyDescent="0.2">
      <c r="A814" s="1928">
        <v>814</v>
      </c>
      <c r="B814" s="5108"/>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103"/>
        <v>0</v>
      </c>
      <c r="V814" s="2553">
        <f>30*IF(Arma_Desarrollada="Desarmado",IF(D813=PDs!$AD$56,0.5,1),1)</f>
        <v>30</v>
      </c>
      <c r="W814" s="2553">
        <f>IF(COUNTIF(PDs!$AD$56:$AD$74,Tablas!D814)&gt;0,1,0)</f>
        <v>0</v>
      </c>
      <c r="X814" s="2553" t="str">
        <f>IF(OR(Baile_final&lt;40,Baile_final="-",$W$813=0,Z814&lt;120),"NO","-")</f>
        <v>NO</v>
      </c>
      <c r="Y814" s="2695">
        <f>HA_final-PDs!$X$22+MIN(PDs!$X$22+H$896-H814,50)</f>
        <v>0</v>
      </c>
      <c r="Z814" s="2617">
        <f>HE_final-PDs!$X$24+MIN(PDs!$X$24+I$896-I814,50)</f>
        <v>-10</v>
      </c>
      <c r="AA814" s="1896">
        <f>HP_final-PDs!$X$23+MIN(PDs!$X$23+J$896-J814,50)</f>
        <v>0</v>
      </c>
      <c r="AB814" s="363"/>
      <c r="AC814" s="2249" t="s">
        <v>8733</v>
      </c>
    </row>
    <row r="815" spans="1:30" ht="12.75" customHeight="1" x14ac:dyDescent="0.2">
      <c r="A815" s="1928">
        <v>815</v>
      </c>
      <c r="B815" s="5108"/>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103"/>
        <v>0</v>
      </c>
      <c r="V815" s="2553">
        <f>50*IF(Arma_Desarrollada="Desarmado",IF(D813=PDs!$AD$56,0.5,1),1)</f>
        <v>50</v>
      </c>
      <c r="W815" s="2553">
        <f>IF(COUNTIF(PDs!$AD$56:$AD$74,Tablas!D815)&gt;0,1,0)</f>
        <v>0</v>
      </c>
      <c r="X815" s="2553" t="str">
        <f>IF(OR(Baile_final&lt;120,Baile_final="-",$W$814=0,Z815&lt;200),"NO","-")</f>
        <v>NO</v>
      </c>
      <c r="Y815" s="2695">
        <f>HA_final-PDs!$X$22+MIN(PDs!$X$22+H$896-H815,50)</f>
        <v>0</v>
      </c>
      <c r="Z815" s="2617">
        <f>HE_final-PDs!$X$24+MIN(PDs!$X$24+I$896-I815,50)</f>
        <v>-10</v>
      </c>
      <c r="AA815" s="1896">
        <f>HP_final-PDs!$X$23+MIN(PDs!$X$23+J$896-J815,50)</f>
        <v>0</v>
      </c>
      <c r="AB815" s="363"/>
      <c r="AC815" s="2249" t="s">
        <v>8734</v>
      </c>
    </row>
    <row r="816" spans="1:30" ht="12.75" customHeight="1" x14ac:dyDescent="0.2">
      <c r="A816" s="1928">
        <v>816</v>
      </c>
      <c r="B816" s="5108"/>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103"/>
        <v>0</v>
      </c>
      <c r="V816" s="2553">
        <f>20*IF(AND(Arma_Desarrollada="Desarmado",D816=PDs!$AD$56),0.5,1)</f>
        <v>20</v>
      </c>
      <c r="W816" s="2553">
        <f>IF(COUNTIF(PDs!$AD$56:$AD$74,Tablas!D816)&gt;0,1,0)</f>
        <v>0</v>
      </c>
      <c r="X816" s="2553" t="str">
        <f>IF(P.Fuerza_final&lt;20,"NO","-")</f>
        <v>NO</v>
      </c>
      <c r="Y816" s="2695">
        <f>HA_final-PDs!$X$22+MIN(PDs!$X$22+H$896-H816,50)</f>
        <v>0</v>
      </c>
      <c r="Z816" s="2617">
        <f>HE_final-PDs!$X$24+MIN(PDs!$X$24+I$896-I816,50)</f>
        <v>0</v>
      </c>
      <c r="AA816" s="1896">
        <f>HP_final-PDs!$X$23+MIN(PDs!$X$23+J$896-J816,50)</f>
        <v>0</v>
      </c>
      <c r="AB816" s="363"/>
      <c r="AC816" s="2249" t="s">
        <v>8735</v>
      </c>
    </row>
    <row r="817" spans="1:29" ht="12.75" customHeight="1" x14ac:dyDescent="0.2">
      <c r="A817" s="1928">
        <v>817</v>
      </c>
      <c r="B817" s="5108"/>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103"/>
        <v>0</v>
      </c>
      <c r="V817" s="2553">
        <f>30*IF(Arma_Desarrollada="Desarmado",IF(D816=PDs!$AD$56,0.5,1),1)</f>
        <v>30</v>
      </c>
      <c r="W817" s="2553">
        <f>IF(COUNTIF(PDs!$AD$56:$AD$74,Tablas!D817)&gt;0,1,0)</f>
        <v>0</v>
      </c>
      <c r="X817" s="2553" t="str">
        <f>IF(OR(P.Fuerza_final&lt;40,Y817&lt;130,$W$816=0),"NO","-")</f>
        <v>NO</v>
      </c>
      <c r="Y817" s="2695">
        <f>HA_final-PDs!$X$22+MIN(PDs!$X$22+H$896-H817,50)</f>
        <v>0</v>
      </c>
      <c r="Z817" s="2617">
        <f>HE_final-PDs!$X$24+MIN(PDs!$X$24+I$896-I817,50)</f>
        <v>0</v>
      </c>
      <c r="AA817" s="1896">
        <f>HP_final-PDs!$X$23+MIN(PDs!$X$23+J$896-J817,50)</f>
        <v>0</v>
      </c>
      <c r="AB817" s="363"/>
      <c r="AC817" s="2249" t="s">
        <v>8736</v>
      </c>
    </row>
    <row r="818" spans="1:29" ht="12.75" customHeight="1" x14ac:dyDescent="0.2">
      <c r="A818" s="1928">
        <v>818</v>
      </c>
      <c r="B818" s="5108"/>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103"/>
        <v>0</v>
      </c>
      <c r="V818" s="2553">
        <f>50*IF(Arma_Desarrollada="Desarmado",IF(D816=PDs!$AD$56,0.5,1),1)</f>
        <v>50</v>
      </c>
      <c r="W818" s="2553">
        <f>IF(COUNTIF(PDs!$AD$56:$AD$74,Tablas!D818)&gt;0,1,0)</f>
        <v>0</v>
      </c>
      <c r="X818" s="2553" t="str">
        <f>IF(OR(P.Fuerza_final&lt;120,Y818&lt;200,$W$817=0),"NO","-")</f>
        <v>NO</v>
      </c>
      <c r="Y818" s="2695">
        <f>HA_final-PDs!$X$22+MIN(PDs!$X$22+H$896-H818,50)</f>
        <v>0</v>
      </c>
      <c r="Z818" s="2617">
        <f>HE_final-PDs!$X$24+MIN(PDs!$X$24+I$896-I818,50)</f>
        <v>0</v>
      </c>
      <c r="AA818" s="1896">
        <f>HP_final-PDs!$X$23+MIN(PDs!$X$23+J$896-J818,50)</f>
        <v>0</v>
      </c>
      <c r="AB818" s="363"/>
      <c r="AC818" s="2249" t="s">
        <v>8737</v>
      </c>
    </row>
    <row r="819" spans="1:29" ht="12.75" customHeight="1" x14ac:dyDescent="0.2">
      <c r="A819" s="1928">
        <v>819</v>
      </c>
      <c r="B819" s="5108"/>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103"/>
        <v>0</v>
      </c>
      <c r="V819" s="2553">
        <f>20*IF(AND(Arma_Desarrollada="Desarmado",D819=PDs!$AD$56),0.5,1)</f>
        <v>20</v>
      </c>
      <c r="W819" s="2553">
        <f>IF(COUNTIF(PDs!$AD$56:$AD$74,Tablas!D819)&gt;0,1,0)</f>
        <v>0</v>
      </c>
      <c r="X819" s="2553" t="str">
        <f>IF(OR(T.Manos_final&lt;20,Atletismo_final&lt;40),"NO","-")</f>
        <v>NO</v>
      </c>
      <c r="Y819" s="2695">
        <f>HA_final-PDs!$X$22+MIN(PDs!$X$22+H$896-H819,50)</f>
        <v>0</v>
      </c>
      <c r="Z819" s="2617">
        <f>HE_final-PDs!$X$24+MIN(PDs!$X$24+I$896-I819,50)</f>
        <v>0</v>
      </c>
      <c r="AA819" s="1896">
        <f>HP_final-PDs!$X$23+MIN(PDs!$X$23+J$896-J819,50)</f>
        <v>0</v>
      </c>
      <c r="AB819" s="363"/>
      <c r="AC819" s="2249" t="s">
        <v>8738</v>
      </c>
    </row>
    <row r="820" spans="1:29" ht="12.75" customHeight="1" x14ac:dyDescent="0.2">
      <c r="A820" s="1928">
        <v>820</v>
      </c>
      <c r="B820" s="5108"/>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103"/>
        <v>0</v>
      </c>
      <c r="V820" s="2553">
        <f>30*IF(Arma_Desarrollada="Desarmado",IF(D819=PDs!$AD$56,0.5,1),1)</f>
        <v>30</v>
      </c>
      <c r="W820" s="2553">
        <f>IF(COUNTIF(PDs!$AD$56:$AD$74,Tablas!D820)&gt;0,1,0)</f>
        <v>0</v>
      </c>
      <c r="X820" s="2553" t="str">
        <f>IF(OR(T.Manos_final&lt;40,Atletismo_final&lt;60,MAX(Z820,AA820)&lt;120,$W$819=0),"NO","-")</f>
        <v>NO</v>
      </c>
      <c r="Y820" s="2695">
        <f>HA_final-PDs!$X$22+MIN(PDs!$X$22+H$896-H820,50)</f>
        <v>0</v>
      </c>
      <c r="Z820" s="2617">
        <f>HE_final-PDs!$X$24+MIN(PDs!$X$24+I$896-I820,50)</f>
        <v>-10</v>
      </c>
      <c r="AA820" s="1896">
        <f>HP_final-PDs!$X$23+MIN(PDs!$X$23+J$896-J820,50)</f>
        <v>-10</v>
      </c>
      <c r="AB820" s="363"/>
      <c r="AC820" s="2249" t="s">
        <v>8739</v>
      </c>
    </row>
    <row r="821" spans="1:29" ht="12.75" customHeight="1" x14ac:dyDescent="0.2">
      <c r="A821" s="1928">
        <v>821</v>
      </c>
      <c r="B821" s="5108"/>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103"/>
        <v>0</v>
      </c>
      <c r="V821" s="2553">
        <f>50*IF(Arma_Desarrollada="Desarmado",IF(D819=PDs!$AD$56,0.5,1),1)</f>
        <v>50</v>
      </c>
      <c r="W821" s="2553">
        <f>IF(COUNTIF(PDs!$AD$56:$AD$74,Tablas!D821)&gt;0,1,0)</f>
        <v>0</v>
      </c>
      <c r="X821" s="2553" t="str">
        <f>IF(OR(T.Manos_final&lt;100,Atletismo_final&lt;120,$W$820=0),"NO","-")</f>
        <v>NO</v>
      </c>
      <c r="Y821" s="2695">
        <f>HA_final-PDs!$X$22+MIN(PDs!$X$22+H$896-H821,50)</f>
        <v>0</v>
      </c>
      <c r="Z821" s="2617">
        <f>HE_final-PDs!$X$24+MIN(PDs!$X$24+I$896-I821,50)</f>
        <v>-10</v>
      </c>
      <c r="AA821" s="1896">
        <f>HP_final-PDs!$X$23+MIN(PDs!$X$23+J$896-J821,50)</f>
        <v>-10</v>
      </c>
      <c r="AB821" s="363"/>
      <c r="AC821" s="2249" t="s">
        <v>8740</v>
      </c>
    </row>
    <row r="822" spans="1:29" ht="12.75" customHeight="1" x14ac:dyDescent="0.2">
      <c r="A822" s="1928">
        <v>822</v>
      </c>
      <c r="B822" s="5108"/>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103"/>
        <v>0</v>
      </c>
      <c r="V822" s="2553">
        <f>20*IF(AND(Arma_Desarrollada="Desarmado",D822=PDs!$AD$56),0.5,1)</f>
        <v>20</v>
      </c>
      <c r="W822" s="2553">
        <f>IF(COUNTIF(PDs!$AD$56:$AD$74,Tablas!D822)&gt;0,1,0)</f>
        <v>0</v>
      </c>
      <c r="X822" s="2553" t="s">
        <v>1766</v>
      </c>
      <c r="Y822" s="2695">
        <f>HA_final-PDs!$X$22+MIN(PDs!$X$22+H$896-H822,50)</f>
        <v>0</v>
      </c>
      <c r="Z822" s="2617">
        <f>HE_final-PDs!$X$24+MIN(PDs!$X$24+I$896-I822,50)</f>
        <v>0</v>
      </c>
      <c r="AA822" s="1896">
        <f>HP_final-PDs!$X$23+MIN(PDs!$X$23+J$896-J822,50)</f>
        <v>0</v>
      </c>
      <c r="AB822" s="363"/>
      <c r="AC822" s="2249" t="s">
        <v>8741</v>
      </c>
    </row>
    <row r="823" spans="1:29" ht="12.75" customHeight="1" x14ac:dyDescent="0.2">
      <c r="A823" s="1928">
        <v>823</v>
      </c>
      <c r="B823" s="5108"/>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103"/>
        <v>0</v>
      </c>
      <c r="V823" s="2553">
        <f>30*IF(Arma_Desarrollada="Desarmado",IF(D822=PDs!$AD$56,0.5,1),1)</f>
        <v>30</v>
      </c>
      <c r="W823" s="2553">
        <f>IF(COUNTIF(PDs!$AD$56:$AD$74,Tablas!D823)&gt;0,1,0)</f>
        <v>0</v>
      </c>
      <c r="X823" s="57" t="str">
        <f>IF(OR(Y823&lt;120,$W$822=0),"NO","-")</f>
        <v>NO</v>
      </c>
      <c r="Y823" s="2695">
        <f>HA_final-PDs!$X$22+MIN(PDs!$X$22+H$896-H823,50)</f>
        <v>0</v>
      </c>
      <c r="Z823" s="2617">
        <f>HE_final-PDs!$X$24+MIN(PDs!$X$24+I$896-I823,50)</f>
        <v>0</v>
      </c>
      <c r="AA823" s="1896">
        <f>HP_final-PDs!$X$23+MIN(PDs!$X$23+J$896-J823,50)</f>
        <v>0</v>
      </c>
      <c r="AB823" s="363"/>
      <c r="AC823" s="2251" t="s">
        <v>1232</v>
      </c>
    </row>
    <row r="824" spans="1:29" ht="12.75" customHeight="1" x14ac:dyDescent="0.2">
      <c r="A824" s="1928">
        <v>824</v>
      </c>
      <c r="B824" s="5108"/>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103"/>
        <v>0</v>
      </c>
      <c r="V824" s="2553">
        <f>50*IF(Arma_Desarrollada="Desarmado",IF(D822=PDs!$AD$56,0.5,1),1)</f>
        <v>50</v>
      </c>
      <c r="W824" s="2553">
        <f>IF(COUNTIF(PDs!$AD$56:$AD$74,Tablas!D824)&gt;0,1,0)</f>
        <v>0</v>
      </c>
      <c r="X824" s="57" t="str">
        <f>IF(OR(Y824&lt;200,$W$823=0),"NO","-")</f>
        <v>NO</v>
      </c>
      <c r="Y824" s="2695">
        <f>HA_final-PDs!$X$22+MIN(PDs!$X$22+H$896-H824,50)</f>
        <v>-10</v>
      </c>
      <c r="Z824" s="2617">
        <f>HE_final-PDs!$X$24+MIN(PDs!$X$24+I$896-I824,50)</f>
        <v>0</v>
      </c>
      <c r="AA824" s="1896">
        <f>HP_final-PDs!$X$23+MIN(PDs!$X$23+J$896-J824,50)</f>
        <v>0</v>
      </c>
      <c r="AB824" s="363"/>
      <c r="AC824" s="2249" t="s">
        <v>8742</v>
      </c>
    </row>
    <row r="825" spans="1:29" ht="12.75" customHeight="1" x14ac:dyDescent="0.2">
      <c r="A825" s="1928">
        <v>825</v>
      </c>
      <c r="B825" s="5108"/>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103"/>
        <v>0</v>
      </c>
      <c r="V825" s="2553">
        <f>20*IF(AND(Arma_Desarrollada="Desarmado",D825=PDs!$AD$56),0.5,1)</f>
        <v>20</v>
      </c>
      <c r="W825" s="2553">
        <f>IF(COUNTIF(PDs!$AD$56:$AD$74,Tablas!D825)&gt;0,1,0)</f>
        <v>0</v>
      </c>
      <c r="X825" s="57" t="str">
        <f>IF(T.Manos_final&lt;40,"NO","-")</f>
        <v>NO</v>
      </c>
      <c r="Y825" s="2695">
        <f>HA_final-PDs!$X$22+MIN(PDs!$X$22+H$896-H825,50)</f>
        <v>0</v>
      </c>
      <c r="Z825" s="2617">
        <f>HE_final-PDs!$X$24+MIN(PDs!$X$24+I$896-I825,50)</f>
        <v>0</v>
      </c>
      <c r="AA825" s="1896">
        <f>HP_final-PDs!$X$23+MIN(PDs!$X$23+J$896-J825,50)</f>
        <v>0</v>
      </c>
      <c r="AB825" s="363"/>
      <c r="AC825" s="2249" t="s">
        <v>8743</v>
      </c>
    </row>
    <row r="826" spans="1:29" ht="12.75" customHeight="1" x14ac:dyDescent="0.2">
      <c r="A826" s="1928">
        <v>826</v>
      </c>
      <c r="B826" s="5108"/>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103"/>
        <v>0</v>
      </c>
      <c r="V826" s="2553">
        <f>30*IF(Arma_Desarrollada="Desarmado",IF(D825=PDs!$AD$56,0.5,1),1)</f>
        <v>30</v>
      </c>
      <c r="W826" s="2553">
        <f>IF(COUNTIF(PDs!$AD$56:$AD$74,Tablas!D826)&gt;0,1,0)</f>
        <v>0</v>
      </c>
      <c r="X826" s="57" t="str">
        <f>IF(OR(T.Manos_final&lt;60,MAX(Z826,AA826)&lt;120,$W$825=0),"NO","-")</f>
        <v>NO</v>
      </c>
      <c r="Y826" s="2695">
        <f>HA_final-PDs!$X$22+MIN(PDs!$X$22+H$896-H826,50)</f>
        <v>0</v>
      </c>
      <c r="Z826" s="2617">
        <f>HE_final-PDs!$X$24+MIN(PDs!$X$24+I$896-I826,50)</f>
        <v>0</v>
      </c>
      <c r="AA826" s="1896">
        <f>HP_final-PDs!$X$23+MIN(PDs!$X$23+J$896-J826,50)</f>
        <v>-10</v>
      </c>
      <c r="AB826" s="363"/>
      <c r="AC826" s="2249" t="s">
        <v>8744</v>
      </c>
    </row>
    <row r="827" spans="1:29" ht="12.75" customHeight="1" x14ac:dyDescent="0.2">
      <c r="A827" s="1928">
        <v>827</v>
      </c>
      <c r="B827" s="5108"/>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103"/>
        <v>0</v>
      </c>
      <c r="V827" s="2553">
        <f>50*IF(Arma_Desarrollada="Desarmado",IF(D825=PDs!$AD$56,0.5,1),1)</f>
        <v>50</v>
      </c>
      <c r="W827" s="2553">
        <f>IF(COUNTIF(PDs!$AD$56:$AD$74,Tablas!D827)&gt;0,1,0)</f>
        <v>0</v>
      </c>
      <c r="X827" s="57" t="str">
        <f>IF(OR(T.Manos_final&lt;140,MAX(Z827,AA827)&lt;200,$W$826=0),"NO","-")</f>
        <v>NO</v>
      </c>
      <c r="Y827" s="2695">
        <f>HA_final-PDs!$X$22+MIN(PDs!$X$22+H$896-H827,50)</f>
        <v>0</v>
      </c>
      <c r="Z827" s="2617">
        <f>HE_final-PDs!$X$24+MIN(PDs!$X$24+I$896-I827,50)</f>
        <v>0</v>
      </c>
      <c r="AA827" s="1896">
        <f>HP_final-PDs!$X$23+MIN(PDs!$X$23+J$896-J827,50)</f>
        <v>-10</v>
      </c>
      <c r="AB827" s="363"/>
      <c r="AC827" s="2249" t="s">
        <v>8745</v>
      </c>
    </row>
    <row r="828" spans="1:29" ht="12.75" customHeight="1" x14ac:dyDescent="0.2">
      <c r="A828" s="1928">
        <v>828</v>
      </c>
      <c r="B828" s="5108"/>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103"/>
        <v>0</v>
      </c>
      <c r="V828" s="2553">
        <f>20*IF(AND(Arma_Desarrollada="Desarmado",D828=PDs!$AD$56),0.5,1)</f>
        <v>20</v>
      </c>
      <c r="W828" s="2553">
        <f>IF(COUNTIF(PDs!$AD$56:$AD$74,Tablas!D828)&gt;0,1,0)</f>
        <v>0</v>
      </c>
      <c r="X828" s="57" t="str">
        <f>IF(OR(Acrobacias_final&lt;20,Estilo_final&lt;10,T.Manos_final&lt;20),"NO","-")</f>
        <v>NO</v>
      </c>
      <c r="Y828" s="2695">
        <f>HA_final-PDs!$X$22+MIN(PDs!$X$22+H$896-H828,50)</f>
        <v>0</v>
      </c>
      <c r="Z828" s="2617">
        <f>HE_final-PDs!$X$24+MIN(PDs!$X$24+I$896-I828,50)</f>
        <v>0</v>
      </c>
      <c r="AA828" s="1896">
        <f>HP_final-PDs!$X$23+MIN(PDs!$X$23+J$896-J828,50)</f>
        <v>0</v>
      </c>
      <c r="AB828" s="363"/>
      <c r="AC828" s="2249" t="s">
        <v>8746</v>
      </c>
    </row>
    <row r="829" spans="1:29" ht="12.75" customHeight="1" x14ac:dyDescent="0.2">
      <c r="A829" s="1928">
        <v>829</v>
      </c>
      <c r="B829" s="5108"/>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103"/>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0</v>
      </c>
      <c r="Z829" s="2617">
        <f>HE_final-PDs!$X$24+MIN(PDs!$X$24+I$896-I829,50)</f>
        <v>0</v>
      </c>
      <c r="AA829" s="1896">
        <f>HP_final-PDs!$X$23+MIN(PDs!$X$23+J$896-J829,50)</f>
        <v>0</v>
      </c>
      <c r="AB829" s="363"/>
      <c r="AC829" s="2249" t="s">
        <v>8747</v>
      </c>
    </row>
    <row r="830" spans="1:29" ht="12.75" customHeight="1" x14ac:dyDescent="0.2">
      <c r="A830" s="1928">
        <v>830</v>
      </c>
      <c r="B830" s="5108"/>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103"/>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0</v>
      </c>
      <c r="Z830" s="2617">
        <f>HE_final-PDs!$X$24+MIN(PDs!$X$24+I$896-I830,50)</f>
        <v>0</v>
      </c>
      <c r="AA830" s="1896">
        <f>HP_final-PDs!$X$23+MIN(PDs!$X$23+J$896-J830,50)</f>
        <v>0</v>
      </c>
      <c r="AB830" s="363"/>
      <c r="AC830" s="2249" t="s">
        <v>8748</v>
      </c>
    </row>
    <row r="831" spans="1:29" ht="12.75" customHeight="1" x14ac:dyDescent="0.2">
      <c r="A831" s="1928">
        <v>831</v>
      </c>
      <c r="B831" s="5108"/>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103"/>
        <v>0</v>
      </c>
      <c r="V831" s="2553">
        <f>20*IF(AND(Arma_Desarrollada="Desarmado",D831=PDs!$AD$56),0.5,1)</f>
        <v>20</v>
      </c>
      <c r="W831" s="2553">
        <f>IF(COUNTIF(PDs!$AD$56:$AD$74,Tablas!D831)&gt;0,1,0)</f>
        <v>0</v>
      </c>
      <c r="X831" s="57" t="str">
        <f>IF(Estilo_final&lt;20,"NO","-")</f>
        <v>NO</v>
      </c>
      <c r="Y831" s="2695">
        <f>HA_final-PDs!$X$22+MIN(PDs!$X$22+H$896-H831,50)</f>
        <v>0</v>
      </c>
      <c r="Z831" s="2617">
        <f>HE_final-PDs!$X$24+MIN(PDs!$X$24+I$896-I831,50)</f>
        <v>-10</v>
      </c>
      <c r="AA831" s="1896">
        <f>HP_final-PDs!$X$23+MIN(PDs!$X$23+J$896-J831,50)</f>
        <v>-10</v>
      </c>
      <c r="AB831" s="363"/>
      <c r="AC831" s="2249" t="s">
        <v>8749</v>
      </c>
    </row>
    <row r="832" spans="1:29" ht="12.75" customHeight="1" x14ac:dyDescent="0.2">
      <c r="A832" s="1928">
        <v>832</v>
      </c>
      <c r="B832" s="5108"/>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103"/>
        <v>0</v>
      </c>
      <c r="V832" s="2553">
        <f>30*IF(Arma_Desarrollada="Desarmado",IF(D831=PDs!$AD$56,0.5,1),1)</f>
        <v>30</v>
      </c>
      <c r="W832" s="2553">
        <f>IF(COUNTIF(PDs!$AD$56:$AD$74,Tablas!D832)&gt;0,1,0)</f>
        <v>0</v>
      </c>
      <c r="X832" s="57" t="str">
        <f>IF(OR(Estilo_final&lt;40,MAX(Z832,AA832)&lt;130,$W$831=0),"NO","-")</f>
        <v>NO</v>
      </c>
      <c r="Y832" s="2695">
        <f>HA_final-PDs!$X$22+MIN(PDs!$X$22+H$896-H832,50)</f>
        <v>0</v>
      </c>
      <c r="Z832" s="2617">
        <f>HE_final-PDs!$X$24+MIN(PDs!$X$24+I$896-I832,50)</f>
        <v>0</v>
      </c>
      <c r="AA832" s="1896">
        <f>HP_final-PDs!$X$23+MIN(PDs!$X$23+J$896-J832,50)</f>
        <v>0</v>
      </c>
      <c r="AB832" s="363"/>
      <c r="AC832" s="2249" t="s">
        <v>8750</v>
      </c>
    </row>
    <row r="833" spans="1:29" ht="12.75" customHeight="1" x14ac:dyDescent="0.2">
      <c r="A833" s="1928">
        <v>833</v>
      </c>
      <c r="B833" s="5108"/>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103"/>
        <v>0</v>
      </c>
      <c r="V833" s="2553">
        <f>50*IF(Arma_Desarrollada="Desarmado",IF(D831=PDs!$AD$56,0.5,1),1)</f>
        <v>50</v>
      </c>
      <c r="W833" s="2553">
        <f>IF(COUNTIF(PDs!$AD$56:$AD$74,Tablas!D833)&gt;0,1,0)</f>
        <v>0</v>
      </c>
      <c r="X833" s="57" t="str">
        <f>IF(OR(Estilo_final&lt;80,MAX(Z833,AA833)&lt;200,$W$832=0),"NO","-")</f>
        <v>NO</v>
      </c>
      <c r="Y833" s="2695">
        <f>HA_final-PDs!$X$22+MIN(PDs!$X$22+H$896-H833,50)</f>
        <v>0</v>
      </c>
      <c r="Z833" s="2617">
        <f>HE_final-PDs!$X$24+MIN(PDs!$X$24+I$896-I833,50)</f>
        <v>-10</v>
      </c>
      <c r="AA833" s="1896">
        <f>HP_final-PDs!$X$23+MIN(PDs!$X$23+J$896-J833,50)</f>
        <v>-10</v>
      </c>
      <c r="AB833" s="363"/>
      <c r="AC833" s="2249" t="s">
        <v>8751</v>
      </c>
    </row>
    <row r="834" spans="1:29" ht="12.75" customHeight="1" x14ac:dyDescent="0.2">
      <c r="A834" s="1928">
        <v>834</v>
      </c>
      <c r="B834" s="5108"/>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103"/>
        <v>0</v>
      </c>
      <c r="V834" s="2553">
        <f>20*IF(AND(Arma_Desarrollada="Desarmado",D834=PDs!$AD$56),0.5,1)</f>
        <v>20</v>
      </c>
      <c r="W834" s="2553">
        <f>IF(COUNTIF(PDs!$AD$56:$AD$74,Tablas!D834)&gt;0,1,0)</f>
        <v>0</v>
      </c>
      <c r="X834" s="57" t="str">
        <f>IF(T.Manos_final&lt;20,"NO","-")</f>
        <v>NO</v>
      </c>
      <c r="Y834" s="2695">
        <f>HA_final-PDs!$X$22+MIN(PDs!$X$22+H$896-H834,50)</f>
        <v>0</v>
      </c>
      <c r="Z834" s="2617">
        <f>HE_final-PDs!$X$24+MIN(PDs!$X$24+I$896-I834,50)</f>
        <v>0</v>
      </c>
      <c r="AA834" s="1896">
        <f>HP_final-PDs!$X$23+MIN(PDs!$X$23+J$896-J834,50)</f>
        <v>0</v>
      </c>
      <c r="AB834" s="363"/>
      <c r="AC834" s="2249" t="s">
        <v>8752</v>
      </c>
    </row>
    <row r="835" spans="1:29" ht="12.75" customHeight="1" x14ac:dyDescent="0.2">
      <c r="A835" s="1928">
        <v>835</v>
      </c>
      <c r="B835" s="5108"/>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103"/>
        <v>0</v>
      </c>
      <c r="V835" s="2553">
        <f>30*IF(Arma_Desarrollada="Desarmado",IF(D834=PDs!$AD$56,0.5,1),1)</f>
        <v>30</v>
      </c>
      <c r="W835" s="2553">
        <f>IF(COUNTIF(PDs!$AD$56:$AD$74,Tablas!D835)&gt;0,1,0)</f>
        <v>0</v>
      </c>
      <c r="X835" s="57" t="str">
        <f>IF(OR(T.Manos_final&lt;40,MAX(Z835,AA835)&lt;120,$W$834=0),"NO","-")</f>
        <v>NO</v>
      </c>
      <c r="Y835" s="2695">
        <f>HA_final-PDs!$X$22+MIN(PDs!$X$22+H$896-H835,50)</f>
        <v>0</v>
      </c>
      <c r="Z835" s="2617">
        <f>HE_final-PDs!$X$24+MIN(PDs!$X$24+I$896-I835,50)</f>
        <v>0</v>
      </c>
      <c r="AA835" s="1896">
        <f>HP_final-PDs!$X$23+MIN(PDs!$X$23+J$896-J835,50)</f>
        <v>-10</v>
      </c>
      <c r="AB835" s="363"/>
      <c r="AC835" s="2249" t="s">
        <v>8753</v>
      </c>
    </row>
    <row r="836" spans="1:29" ht="12.75" customHeight="1" x14ac:dyDescent="0.2">
      <c r="A836" s="1928">
        <v>836</v>
      </c>
      <c r="B836" s="5108"/>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103"/>
        <v>0</v>
      </c>
      <c r="V836" s="2553">
        <f>50*IF(Arma_Desarrollada="Desarmado",IF(D834=PDs!$AD$56,0.5,1),1)</f>
        <v>50</v>
      </c>
      <c r="W836" s="2553">
        <f>IF(COUNTIF(PDs!$AD$56:$AD$74,Tablas!D836)&gt;0,1,0)</f>
        <v>0</v>
      </c>
      <c r="X836" s="57" t="str">
        <f>IF(OR(T.Manos_final&lt;100,AA836&lt;200,$W$835=0),"NO","-")</f>
        <v>NO</v>
      </c>
      <c r="Y836" s="2695">
        <f>HA_final-PDs!$X$22+MIN(PDs!$X$22+H$896-H836,50)</f>
        <v>0</v>
      </c>
      <c r="Z836" s="2617">
        <f>HE_final-PDs!$X$24+MIN(PDs!$X$24+I$896-I836,50)</f>
        <v>0</v>
      </c>
      <c r="AA836" s="1896">
        <f>HP_final-PDs!$X$23+MIN(PDs!$X$23+J$896-J836,50)</f>
        <v>-20</v>
      </c>
      <c r="AB836" s="363"/>
      <c r="AC836" s="2249" t="s">
        <v>8754</v>
      </c>
    </row>
    <row r="837" spans="1:29" ht="12.75" customHeight="1" x14ac:dyDescent="0.2">
      <c r="A837" s="1928">
        <v>837</v>
      </c>
      <c r="B837" s="5108"/>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103"/>
        <v>0</v>
      </c>
      <c r="V837" s="2553">
        <f>20*IF(AND(Arma_Desarrollada="Desarmado",D837=PDs!$AD$56),0.5,1)</f>
        <v>20</v>
      </c>
      <c r="W837" s="2553">
        <f>IF(COUNTIF(PDs!$AD$56:$AD$74,Tablas!D837)&gt;0,1,0)</f>
        <v>0</v>
      </c>
      <c r="X837" s="57" t="str">
        <f>IF(P.Fuerza_final&lt;30,"NO","-")</f>
        <v>NO</v>
      </c>
      <c r="Y837" s="2695">
        <f>HA_final-PDs!$X$22+MIN(PDs!$X$22+H$896-H837,50)</f>
        <v>0</v>
      </c>
      <c r="Z837" s="2617">
        <f>HE_final-PDs!$X$24+MIN(PDs!$X$24+I$896-I837,50)</f>
        <v>0</v>
      </c>
      <c r="AA837" s="1896">
        <f>HP_final-PDs!$X$23+MIN(PDs!$X$23+J$896-J837,50)</f>
        <v>0</v>
      </c>
      <c r="AB837" s="363"/>
      <c r="AC837" s="2249" t="s">
        <v>8755</v>
      </c>
    </row>
    <row r="838" spans="1:29" ht="12.75" customHeight="1" x14ac:dyDescent="0.2">
      <c r="A838" s="1928">
        <v>838</v>
      </c>
      <c r="B838" s="5108"/>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104">W838*E838</f>
        <v>0</v>
      </c>
      <c r="V838" s="2553">
        <f>30*IF(Arma_Desarrollada="Desarmado",IF(D837=PDs!$AD$56,0.5,1),1)</f>
        <v>30</v>
      </c>
      <c r="W838" s="2553">
        <f>IF(COUNTIF(PDs!$AD$56:$AD$74,Tablas!D838)&gt;0,1,0)</f>
        <v>0</v>
      </c>
      <c r="X838" s="57" t="str">
        <f>IF(OR(P.Fuerza_final&lt;40,Y838&lt;130,$W$837=0),"NO","-")</f>
        <v>NO</v>
      </c>
      <c r="Y838" s="2695">
        <f>HA_final-PDs!$X$22+MIN(PDs!$X$22+H$896-H838,50)</f>
        <v>0</v>
      </c>
      <c r="Z838" s="2617">
        <f>HE_final-PDs!$X$24+MIN(PDs!$X$24+I$896-I838,50)</f>
        <v>0</v>
      </c>
      <c r="AA838" s="1896">
        <f>HP_final-PDs!$X$23+MIN(PDs!$X$23+J$896-J838,50)</f>
        <v>0</v>
      </c>
      <c r="AB838" s="363"/>
      <c r="AC838" s="2249" t="s">
        <v>8756</v>
      </c>
    </row>
    <row r="839" spans="1:29" ht="12.75" customHeight="1" x14ac:dyDescent="0.2">
      <c r="A839" s="1928">
        <v>839</v>
      </c>
      <c r="B839" s="5108"/>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104"/>
        <v>0</v>
      </c>
      <c r="V839" s="2553">
        <f>50*IF(Arma_Desarrollada="Desarmado",IF(D837=PDs!$AD$56,0.5,1),1)</f>
        <v>50</v>
      </c>
      <c r="W839" s="2553">
        <f>IF(COUNTIF(PDs!$AD$56:$AD$74,Tablas!D839)&gt;0,1,0)</f>
        <v>0</v>
      </c>
      <c r="X839" s="57" t="str">
        <f>IF(OR(P.Fuerza_final&lt;160,Y839&lt;200,$W$838=0),"NO","-")</f>
        <v>NO</v>
      </c>
      <c r="Y839" s="2695">
        <f>HA_final-PDs!$X$22+MIN(PDs!$X$22+H$896-H839,50)</f>
        <v>0</v>
      </c>
      <c r="Z839" s="2617">
        <f>HE_final-PDs!$X$24+MIN(PDs!$X$24+I$896-I839,50)</f>
        <v>0</v>
      </c>
      <c r="AA839" s="1896">
        <f>HP_final-PDs!$X$23+MIN(PDs!$X$23+J$896-J839,50)</f>
        <v>0</v>
      </c>
      <c r="AB839" s="363"/>
      <c r="AC839" s="2249" t="s">
        <v>8757</v>
      </c>
    </row>
    <row r="840" spans="1:29" ht="12.75" customHeight="1" thickBot="1" x14ac:dyDescent="0.25">
      <c r="A840" s="1928">
        <v>840</v>
      </c>
      <c r="B840" s="5108"/>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104"/>
        <v>0</v>
      </c>
      <c r="V840" s="2553">
        <f>20*IF(AND(Arma_Desarrollada="Desarmado",D840=PDs!$AD$56),0.5,1)</f>
        <v>20</v>
      </c>
      <c r="W840" s="2553">
        <f>IF(COUNTIF(PDs!$AD$56:$AD$74,Tablas!D840)&gt;0,1,0)</f>
        <v>0</v>
      </c>
      <c r="X840" s="57" t="str">
        <f>IF(OR(Atletismo_final&lt;30,P.Fuerza_final&lt;30),"NO","-")</f>
        <v>NO</v>
      </c>
      <c r="Y840" s="2695">
        <f>HA_final-PDs!$X$22+MIN(PDs!$X$22+H$896-H840,50)</f>
        <v>0</v>
      </c>
      <c r="Z840" s="2617">
        <f>HE_final-PDs!$X$24+MIN(PDs!$X$24+I$896-I840,50)</f>
        <v>0</v>
      </c>
      <c r="AA840" s="1896">
        <f>HP_final-PDs!$X$23+MIN(PDs!$X$23+J$896-J840,50)</f>
        <v>0</v>
      </c>
      <c r="AB840" s="363"/>
      <c r="AC840" s="2250" t="s">
        <v>8758</v>
      </c>
    </row>
    <row r="841" spans="1:29" ht="12.75" customHeight="1" x14ac:dyDescent="0.2">
      <c r="A841" s="1928">
        <v>841</v>
      </c>
      <c r="B841" s="5108"/>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104"/>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0</v>
      </c>
      <c r="Z841" s="2617">
        <f>HE_final-PDs!$X$24+MIN(PDs!$X$24+I$896-I841,50)</f>
        <v>0</v>
      </c>
      <c r="AA841" s="1896">
        <f>HP_final-PDs!$X$23+MIN(PDs!$X$23+J$896-J841,50)</f>
        <v>0</v>
      </c>
      <c r="AB841" s="363"/>
    </row>
    <row r="842" spans="1:29" ht="12.75" customHeight="1" x14ac:dyDescent="0.2">
      <c r="A842" s="1928">
        <v>842</v>
      </c>
      <c r="B842" s="5108"/>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104"/>
        <v>0</v>
      </c>
      <c r="V842" s="2553">
        <f>50*IF(Arma_Desarrollada="Desarmado",IF(D840=PDs!$AD$56,0.5,1),1)</f>
        <v>50</v>
      </c>
      <c r="W842" s="2553">
        <f>IF(COUNTIF(PDs!$AD$56:$AD$74,Tablas!D842)&gt;0,1,0)</f>
        <v>0</v>
      </c>
      <c r="X842" s="57" t="str">
        <f>IF(OR(P.Fuerza_final&lt;120,$W$841=0,MAX(Z842,AA842)&lt;200),"NO","-")</f>
        <v>NO</v>
      </c>
      <c r="Y842" s="2695">
        <f>HA_final-PDs!$X$22+MIN(PDs!$X$22+H$896-H842,50)</f>
        <v>0</v>
      </c>
      <c r="Z842" s="2617">
        <f>HE_final-PDs!$X$24+MIN(PDs!$X$24+I$896-I842,50)</f>
        <v>-10</v>
      </c>
      <c r="AA842" s="1896">
        <f>HP_final-PDs!$X$23+MIN(PDs!$X$23+J$896-J842,50)</f>
        <v>-10</v>
      </c>
    </row>
    <row r="843" spans="1:29" ht="12.75" customHeight="1" x14ac:dyDescent="0.2">
      <c r="A843" s="1928">
        <v>843</v>
      </c>
      <c r="B843" s="5108"/>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104"/>
        <v>0</v>
      </c>
      <c r="V843" s="2553">
        <f>20*IF(AND(Arma_Desarrollada="Desarmado",D843=PDs!$AD$56),0.5,1)</f>
        <v>20</v>
      </c>
      <c r="W843" s="2553">
        <f>IF(COUNTIF(PDs!$AD$56:$AD$74,Tablas!D843)&gt;0,1,0)</f>
        <v>0</v>
      </c>
      <c r="X843" s="57" t="s">
        <v>1766</v>
      </c>
      <c r="Y843" s="2695">
        <f>HA_final-PDs!$X$22+MIN(PDs!$X$22+H$896-H843,50)</f>
        <v>0</v>
      </c>
      <c r="Z843" s="2617">
        <f>HE_final-PDs!$X$24+MIN(PDs!$X$24+I$896-I843,50)</f>
        <v>0</v>
      </c>
      <c r="AA843" s="1896">
        <f>HP_final-PDs!$X$23+MIN(PDs!$X$23+J$896-J843,50)</f>
        <v>0</v>
      </c>
    </row>
    <row r="844" spans="1:29" ht="12.75" customHeight="1" x14ac:dyDescent="0.2">
      <c r="A844" s="1928">
        <v>844</v>
      </c>
      <c r="B844" s="5108"/>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104"/>
        <v>0</v>
      </c>
      <c r="V844" s="2553">
        <f>30*IF(Arma_Desarrollada="Desarmado",IF(D843=PDs!$AD$56,0.5,1),1)</f>
        <v>30</v>
      </c>
      <c r="W844" s="2553">
        <f>IF(COUNTIF(PDs!$AD$56:$AD$74,Tablas!D844)&gt;0,1,0)</f>
        <v>0</v>
      </c>
      <c r="X844" s="57" t="str">
        <f>IF(OR(Y844&lt;130,$W$843=0),"NO","-")</f>
        <v>NO</v>
      </c>
      <c r="Y844" s="2695">
        <f>HA_final-PDs!$X$22+MIN(PDs!$X$22+H$896-H844,50)</f>
        <v>0</v>
      </c>
      <c r="Z844" s="2617">
        <f>HE_final-PDs!$X$24+MIN(PDs!$X$24+I$896-I844,50)</f>
        <v>0</v>
      </c>
      <c r="AA844" s="1896">
        <f>HP_final-PDs!$X$23+MIN(PDs!$X$23+J$896-J844,50)</f>
        <v>-10</v>
      </c>
    </row>
    <row r="845" spans="1:29" ht="12.75" customHeight="1" x14ac:dyDescent="0.2">
      <c r="A845" s="1928">
        <v>845</v>
      </c>
      <c r="B845" s="5108"/>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104"/>
        <v>0</v>
      </c>
      <c r="V845" s="2553">
        <f>50*IF(Arma_Desarrollada="Desarmado",IF(D843=PDs!$AD$56,0.5,1),1)</f>
        <v>50</v>
      </c>
      <c r="W845" s="2553">
        <f>IF(COUNTIF(PDs!$AD$56:$AD$74,Tablas!D845)&gt;0,1,0)</f>
        <v>0</v>
      </c>
      <c r="X845" s="57" t="str">
        <f>IF(OR(Y845&lt;200,MAX(Z845,AA845)&lt;200,$W$844=0),"NO","-")</f>
        <v>NO</v>
      </c>
      <c r="Y845" s="2695">
        <f>HA_final-PDs!$X$22+MIN(PDs!$X$22+H$896-H845,50)</f>
        <v>0</v>
      </c>
      <c r="Z845" s="2617">
        <f>HE_final-PDs!$X$24+MIN(PDs!$X$24+I$896-I845,50)</f>
        <v>0</v>
      </c>
      <c r="AA845" s="1896">
        <f>HP_final-PDs!$X$23+MIN(PDs!$X$23+J$896-J845,50)</f>
        <v>-10</v>
      </c>
    </row>
    <row r="846" spans="1:29" ht="12.75" customHeight="1" x14ac:dyDescent="0.2">
      <c r="A846" s="1928">
        <v>846</v>
      </c>
      <c r="B846" s="5108"/>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104"/>
        <v>0</v>
      </c>
      <c r="V846" s="2553">
        <f>20*IF(AND(Arma_Desarrollada="Desarmado",D846=PDs!$AD$56),0.5,1)</f>
        <v>20</v>
      </c>
      <c r="W846" s="2553">
        <f>IF(COUNTIF(PDs!$AD$56:$AD$74,Tablas!D846)&gt;0,1,0)</f>
        <v>0</v>
      </c>
      <c r="X846" s="57" t="s">
        <v>1766</v>
      </c>
      <c r="Y846" s="2695">
        <f>HA_final-PDs!$X$22+MIN(PDs!$X$22+H$896-H846,50)</f>
        <v>-5</v>
      </c>
      <c r="Z846" s="2617">
        <f>HE_final-PDs!$X$24+MIN(PDs!$X$24+I$896-I846,50)</f>
        <v>0</v>
      </c>
      <c r="AA846" s="1896">
        <f>HP_final-PDs!$X$23+MIN(PDs!$X$23+J$896-J846,50)</f>
        <v>0</v>
      </c>
    </row>
    <row r="847" spans="1:29" ht="12.75" customHeight="1" x14ac:dyDescent="0.2">
      <c r="A847" s="1928">
        <v>847</v>
      </c>
      <c r="B847" s="5108"/>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104"/>
        <v>0</v>
      </c>
      <c r="V847" s="2553">
        <f>30*IF(Arma_Desarrollada="Desarmado",IF(D846=PDs!$AD$56,0.5,1),1)</f>
        <v>30</v>
      </c>
      <c r="W847" s="2553">
        <f>IF(COUNTIF(PDs!$AD$56:$AD$74,Tablas!D847)&gt;0,1,0)</f>
        <v>0</v>
      </c>
      <c r="X847" s="57" t="str">
        <f>IF(OR(Y847&lt;120,MAX(Z847,AA847)&lt;120,$W$846=0),"NO","-")</f>
        <v>NO</v>
      </c>
      <c r="Y847" s="2695">
        <f>HA_final-PDs!$X$22+MIN(PDs!$X$22+H$896-H847,50)</f>
        <v>-5</v>
      </c>
      <c r="Z847" s="2617">
        <f>HE_final-PDs!$X$24+MIN(PDs!$X$24+I$896-I847,50)</f>
        <v>0</v>
      </c>
      <c r="AA847" s="1896">
        <f>HP_final-PDs!$X$23+MIN(PDs!$X$23+J$896-J847,50)</f>
        <v>0</v>
      </c>
    </row>
    <row r="848" spans="1:29" ht="12.75" customHeight="1" x14ac:dyDescent="0.2">
      <c r="A848" s="1928">
        <v>848</v>
      </c>
      <c r="B848" s="5108"/>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104"/>
        <v>0</v>
      </c>
      <c r="V848" s="2553">
        <f>50*IF(Arma_Desarrollada="Desarmado",IF(D846=PDs!$AD$56,0.5,1),1)</f>
        <v>50</v>
      </c>
      <c r="W848" s="2553">
        <f>IF(COUNTIF(PDs!$AD$56:$AD$74,Tablas!D848)&gt;0,1,0)</f>
        <v>0</v>
      </c>
      <c r="X848" s="57" t="str">
        <f>IF(OR(Y848&lt;200,$W847=0),"NO","-")</f>
        <v>NO</v>
      </c>
      <c r="Y848" s="2695">
        <f>HA_final-PDs!$X$22+MIN(PDs!$X$22+H$896-H848,50)</f>
        <v>-10</v>
      </c>
      <c r="Z848" s="2617">
        <f>HE_final-PDs!$X$24+MIN(PDs!$X$24+I$896-I848,50)</f>
        <v>0</v>
      </c>
      <c r="AA848" s="1896">
        <f>HP_final-PDs!$X$23+MIN(PDs!$X$23+J$896-J848,50)</f>
        <v>0</v>
      </c>
    </row>
    <row r="849" spans="1:27" ht="12.75" customHeight="1" x14ac:dyDescent="0.2">
      <c r="A849" s="1928">
        <v>849</v>
      </c>
      <c r="B849" s="5108"/>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104"/>
        <v>0</v>
      </c>
      <c r="V849" s="2553">
        <f>20*IF(AND(Arma_Desarrollada="Desarmado",D849=PDs!$AD$56),0.5,1)</f>
        <v>20</v>
      </c>
      <c r="W849" s="2553">
        <f>IF(COUNTIF(PDs!$AD$56:$AD$74,Tablas!D849)&gt;0,1,0)</f>
        <v>0</v>
      </c>
      <c r="X849" s="2553" t="str">
        <f>IF(Advertir_final&lt;50,"NO","-")</f>
        <v>NO</v>
      </c>
      <c r="Y849" s="2695">
        <f>HA_final-PDs!$X$22+MIN(PDs!$X$22+H$896-H849,50)</f>
        <v>0</v>
      </c>
      <c r="Z849" s="2617">
        <f>HE_final-PDs!$X$24+MIN(PDs!$X$24+I$896-I849,50)</f>
        <v>0</v>
      </c>
      <c r="AA849" s="1896">
        <f>HP_final-PDs!$X$23+MIN(PDs!$X$23+J$896-J849,50)</f>
        <v>0</v>
      </c>
    </row>
    <row r="850" spans="1:27" ht="12.75" customHeight="1" x14ac:dyDescent="0.2">
      <c r="A850" s="1928">
        <v>850</v>
      </c>
      <c r="B850" s="5108"/>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104"/>
        <v>0</v>
      </c>
      <c r="V850" s="2553">
        <f>30*IF(Arma_Desarrollada="Desarmado",IF(D849=PDs!$AD$56,0.5,1),1)</f>
        <v>30</v>
      </c>
      <c r="W850" s="2553">
        <f>IF(COUNTIF(PDs!$AD$56:$AD$74,Tablas!D850)&gt;0,1,0)</f>
        <v>0</v>
      </c>
      <c r="X850" s="2553" t="str">
        <f>IF(OR(Advertir_final&lt;90,MAX(Z850,AA850)&lt;120,$W$849=0),"NO","-")</f>
        <v>NO</v>
      </c>
      <c r="Y850" s="2695">
        <f>HA_final-PDs!$X$22+MIN(PDs!$X$22+H$896-H850,50)</f>
        <v>0</v>
      </c>
      <c r="Z850" s="2617">
        <f>HE_final-PDs!$X$24+MIN(PDs!$X$24+I$896-I850,50)</f>
        <v>-10</v>
      </c>
      <c r="AA850" s="1896">
        <f>HP_final-PDs!$X$23+MIN(PDs!$X$23+J$896-J850,50)</f>
        <v>-10</v>
      </c>
    </row>
    <row r="851" spans="1:27" ht="12.75" customHeight="1" x14ac:dyDescent="0.2">
      <c r="A851" s="1928">
        <v>851</v>
      </c>
      <c r="B851" s="5108"/>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104"/>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0</v>
      </c>
      <c r="Z851" s="2617">
        <f>HE_final-PDs!$X$24+MIN(PDs!$X$24+I$896-I851,50)</f>
        <v>-10</v>
      </c>
      <c r="AA851" s="1896">
        <f>HP_final-PDs!$X$23+MIN(PDs!$X$23+J$896-J851,50)</f>
        <v>-10</v>
      </c>
    </row>
    <row r="852" spans="1:27" ht="12.75" customHeight="1" x14ac:dyDescent="0.2">
      <c r="A852" s="1928">
        <v>852</v>
      </c>
      <c r="B852" s="5108"/>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104"/>
        <v>0</v>
      </c>
      <c r="V852" s="2553">
        <f>20*IF(AND(Arma_Desarrollada="Desarmado",D852=PDs!$AD$56),0.5,1)</f>
        <v>20</v>
      </c>
      <c r="W852" s="2553">
        <f>IF(COUNTIF(PDs!$AD$56:$AD$74,Tablas!D852)&gt;0,1,0)</f>
        <v>0</v>
      </c>
      <c r="X852" s="2553" t="s">
        <v>1766</v>
      </c>
      <c r="Y852" s="2695">
        <f>HA_final-PDs!$X$22+MIN(PDs!$X$22+H$896-H852,50)</f>
        <v>0</v>
      </c>
      <c r="Z852" s="2617">
        <f>HE_final-PDs!$X$24+MIN(PDs!$X$24+I$896-I852,50)</f>
        <v>0</v>
      </c>
      <c r="AA852" s="1896">
        <f>HP_final-PDs!$X$23+MIN(PDs!$X$23+J$896-J852,50)</f>
        <v>0</v>
      </c>
    </row>
    <row r="853" spans="1:27" ht="12.75" customHeight="1" x14ac:dyDescent="0.2">
      <c r="A853" s="1928">
        <v>853</v>
      </c>
      <c r="B853" s="5108"/>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104"/>
        <v>0</v>
      </c>
      <c r="V853" s="2553">
        <f>30*IF(Arma_Desarrollada="Desarmado",IF(D852=PDs!$AD$56,0.5,1),1)</f>
        <v>30</v>
      </c>
      <c r="W853" s="2553">
        <f>IF(COUNTIF(PDs!$AD$56:$AD$74,Tablas!D853)&gt;0,1,0)</f>
        <v>0</v>
      </c>
      <c r="X853" s="2553" t="str">
        <f>IF(OR(Y853&lt;130,MAX(Z853,AA853)&lt;100,$W$852=0),"NO","-")</f>
        <v>NO</v>
      </c>
      <c r="Y853" s="2695">
        <f>HA_final-PDs!$X$22+MIN(PDs!$X$22+H$896-H853,50)</f>
        <v>0</v>
      </c>
      <c r="Z853" s="2617">
        <f>HE_final-PDs!$X$24+MIN(PDs!$X$24+I$896-I853,50)</f>
        <v>0</v>
      </c>
      <c r="AA853" s="1896">
        <f>HP_final-PDs!$X$23+MIN(PDs!$X$23+J$896-J853,50)</f>
        <v>0</v>
      </c>
    </row>
    <row r="854" spans="1:27" ht="12.75" customHeight="1" x14ac:dyDescent="0.2">
      <c r="A854" s="1928">
        <v>854</v>
      </c>
      <c r="B854" s="5108"/>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104"/>
        <v>0</v>
      </c>
      <c r="V854" s="2553">
        <f>50*IF(Arma_Desarrollada="Desarmado",IF(D852=PDs!$AD$56,0.5,1),1)</f>
        <v>50</v>
      </c>
      <c r="W854" s="2553">
        <f>IF(COUNTIF(PDs!$AD$56:$AD$74,Tablas!D854)&gt;0,1,0)</f>
        <v>0</v>
      </c>
      <c r="X854" s="2553" t="str">
        <f>IF(OR(Y854&lt;200,$W$853=0),"NO","-")</f>
        <v>NO</v>
      </c>
      <c r="Y854" s="2695">
        <f>HA_final-PDs!$X$22+MIN(PDs!$X$22+H$896-H854,50)</f>
        <v>0</v>
      </c>
      <c r="Z854" s="2617">
        <f>HE_final-PDs!$X$24+MIN(PDs!$X$24+I$896-I854,50)</f>
        <v>0</v>
      </c>
      <c r="AA854" s="1896">
        <f>HP_final-PDs!$X$23+MIN(PDs!$X$23+J$896-J854,50)</f>
        <v>0</v>
      </c>
    </row>
    <row r="855" spans="1:27" ht="12.75" customHeight="1" x14ac:dyDescent="0.2">
      <c r="A855" s="1928">
        <v>855</v>
      </c>
      <c r="B855" s="5108"/>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104"/>
        <v>0</v>
      </c>
      <c r="V855" s="2553">
        <f>20*IF(AND(Arma_Desarrollada="Desarmado",D855=PDs!$AD$56),0.5,1)</f>
        <v>20</v>
      </c>
      <c r="W855" s="2553">
        <f>IF(COUNTIF(PDs!$AD$56:$AD$74,Tablas!D855)&gt;0,1,0)</f>
        <v>0</v>
      </c>
      <c r="X855" s="2553" t="s">
        <v>1766</v>
      </c>
      <c r="Y855" s="2695">
        <f>HA_final-PDs!$X$22+MIN(PDs!$X$22+H$896-H855,50)</f>
        <v>0</v>
      </c>
      <c r="Z855" s="2617">
        <f>HE_final-PDs!$X$24+MIN(PDs!$X$24+I$896-I855,50)</f>
        <v>0</v>
      </c>
      <c r="AA855" s="1896">
        <f>HP_final-PDs!$X$23+MIN(PDs!$X$23+J$896-J855,50)</f>
        <v>0</v>
      </c>
    </row>
    <row r="856" spans="1:27" ht="12.75" customHeight="1" x14ac:dyDescent="0.2">
      <c r="A856" s="1928">
        <v>856</v>
      </c>
      <c r="B856" s="5108"/>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104"/>
        <v>0</v>
      </c>
      <c r="V856" s="2553">
        <f>30*IF(Arma_Desarrollada="Desarmado",IF(D855=PDs!$AD$56,0.5,1),1)</f>
        <v>30</v>
      </c>
      <c r="W856" s="2553">
        <f>IF(COUNTIF(PDs!$AD$56:$AD$74,Tablas!D856)&gt;0,1,0)</f>
        <v>0</v>
      </c>
      <c r="X856" s="2553" t="str">
        <f>IF(OR(NOT(UsodelKi),$W$855=0),"NO","-")</f>
        <v>NO</v>
      </c>
      <c r="Y856" s="2695">
        <f>HA_final-PDs!$X$22+MIN(PDs!$X$22+H$896-H856,50)</f>
        <v>0</v>
      </c>
      <c r="Z856" s="2617">
        <f>HE_final-PDs!$X$24+MIN(PDs!$X$24+I$896-I856,50)</f>
        <v>0</v>
      </c>
      <c r="AA856" s="1896">
        <f>HP_final-PDs!$X$23+MIN(PDs!$X$23+J$896-J856,50)</f>
        <v>0</v>
      </c>
    </row>
    <row r="857" spans="1:27" ht="12.75" customHeight="1" x14ac:dyDescent="0.2">
      <c r="A857" s="1928">
        <v>857</v>
      </c>
      <c r="B857" s="5108"/>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104"/>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0</v>
      </c>
      <c r="Z857" s="2617">
        <f>HE_final-PDs!$X$24+MIN(PDs!$X$24+I$896-I857,50)</f>
        <v>0</v>
      </c>
      <c r="AA857" s="1896">
        <f>HP_final-PDs!$X$23+MIN(PDs!$X$23+J$896-J857,50)</f>
        <v>0</v>
      </c>
    </row>
    <row r="858" spans="1:27" ht="12.75" customHeight="1" x14ac:dyDescent="0.2">
      <c r="A858" s="1928">
        <v>858</v>
      </c>
      <c r="B858" s="5108"/>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104"/>
        <v>0</v>
      </c>
      <c r="V858" s="2553">
        <f>20*IF(AND(Arma_Desarrollada="Desarmado",D858=PDs!$AD$56),0.5,1)</f>
        <v>20</v>
      </c>
      <c r="W858" s="2553">
        <f>IF(COUNTIF(PDs!$AD$56:$AD$74,Tablas!D858)&gt;0,1,0)</f>
        <v>0</v>
      </c>
      <c r="X858" s="2553" t="str">
        <f>IF(T.Manos_final&lt;20,"NO","-")</f>
        <v>NO</v>
      </c>
      <c r="Y858" s="2695">
        <f>HA_final-PDs!$X$22+MIN(PDs!$X$22+H$896-H858,50)</f>
        <v>0</v>
      </c>
      <c r="Z858" s="2617">
        <f>HE_final-PDs!$X$24+MIN(PDs!$X$24+I$896-I858,50)</f>
        <v>0</v>
      </c>
      <c r="AA858" s="1896">
        <f>HP_final-PDs!$X$23+MIN(PDs!$X$23+J$896-J858,50)</f>
        <v>0</v>
      </c>
    </row>
    <row r="859" spans="1:27" ht="12.75" customHeight="1" x14ac:dyDescent="0.2">
      <c r="A859" s="1928">
        <v>859</v>
      </c>
      <c r="B859" s="5108"/>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104"/>
        <v>0</v>
      </c>
      <c r="V859" s="2553">
        <f>30*IF(Arma_Desarrollada="Desarmado",IF(D858=PDs!$AD$56,0.5,1),1)</f>
        <v>30</v>
      </c>
      <c r="W859" s="2553">
        <f>IF(COUNTIF(PDs!$AD$56:$AD$74,Tablas!D859)&gt;0,1,0)</f>
        <v>0</v>
      </c>
      <c r="X859" s="2553" t="str">
        <f>IF(OR(T.Manos_final&lt;50,Turno_SinArmas_final&lt;100,Y859&lt;120,$W$858=0),"NO","-")</f>
        <v>NO</v>
      </c>
      <c r="Y859" s="2695">
        <f>HA_final-PDs!$X$22+MIN(PDs!$X$22+H$896-H859,50)</f>
        <v>0</v>
      </c>
      <c r="Z859" s="2617">
        <f>HE_final-PDs!$X$24+MIN(PDs!$X$24+I$896-I859,50)</f>
        <v>0</v>
      </c>
      <c r="AA859" s="1896">
        <f>HP_final-PDs!$X$23+MIN(PDs!$X$23+J$896-J859,50)</f>
        <v>0</v>
      </c>
    </row>
    <row r="860" spans="1:27" ht="12.75" customHeight="1" x14ac:dyDescent="0.2">
      <c r="A860" s="1928">
        <v>860</v>
      </c>
      <c r="B860" s="5108"/>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104"/>
        <v>0</v>
      </c>
      <c r="V860" s="2553">
        <f>50*IF(Arma_Desarrollada="Desarmado",IF(D858=PDs!$AD$56,0.5,1),1)</f>
        <v>50</v>
      </c>
      <c r="W860" s="2553">
        <f>IF(COUNTIF(PDs!$AD$56:$AD$74,Tablas!D860)&gt;0,1,0)</f>
        <v>0</v>
      </c>
      <c r="X860" s="2553" t="str">
        <f>IF(OR(T.Manos_final&lt;100,Turno_SinArmas_final&lt;120,Y860&lt;200,$W$859=0),"NO","-")</f>
        <v>NO</v>
      </c>
      <c r="Y860" s="2695">
        <f>HA_final-PDs!$X$22+MIN(PDs!$X$22+H$896-H860,50)</f>
        <v>0</v>
      </c>
      <c r="Z860" s="2617">
        <f>HE_final-PDs!$X$24+MIN(PDs!$X$24+I$896-I860,50)</f>
        <v>0</v>
      </c>
      <c r="AA860" s="1896">
        <f>HP_final-PDs!$X$23+MIN(PDs!$X$23+J$896-J860,50)</f>
        <v>0</v>
      </c>
    </row>
    <row r="861" spans="1:27" ht="12.75" customHeight="1" x14ac:dyDescent="0.2">
      <c r="A861" s="1928">
        <v>861</v>
      </c>
      <c r="B861" s="5108"/>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104"/>
        <v>0</v>
      </c>
      <c r="V861" s="2553">
        <v>0</v>
      </c>
      <c r="W861" s="2553">
        <f>IF(COUNTIF(PDs!$AD$56:$AD$74,Tablas!D861)&gt;0,1,0)</f>
        <v>0</v>
      </c>
      <c r="X861" s="2553" t="s">
        <v>1766</v>
      </c>
      <c r="Y861" s="2695"/>
      <c r="Z861" s="2617"/>
      <c r="AA861" s="1896"/>
    </row>
    <row r="862" spans="1:27" ht="12.75" customHeight="1" x14ac:dyDescent="0.2">
      <c r="A862" s="1928">
        <v>862</v>
      </c>
      <c r="B862" s="5108"/>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104"/>
        <v>0</v>
      </c>
      <c r="V862" s="2553">
        <v>50</v>
      </c>
      <c r="W862" s="2553">
        <f>IF(COUNTIF(PDs!$AD$56:$AD$74,Tablas!D862)&gt;0,1,0)</f>
        <v>0</v>
      </c>
      <c r="X862" s="2553" t="str">
        <f>IF(OR(Y862&lt;160,MAX(Z862,AA862)&lt;160,$W$829=0),"NO","-")</f>
        <v>NO</v>
      </c>
      <c r="Y862" s="2695">
        <f t="array" ref="Y862">HA_final-PDs!$X$22+MIN(PDs!$X$22+H$896-H862,50)+MAX(S$806:S861*$W$806:$W861,S863:S$895*$W863:$W$895)</f>
        <v>-10</v>
      </c>
      <c r="Z862" s="2617">
        <f t="array" ref="Z862">HE_final-PDs!$X$24+MIN(PDs!$X$24+I$896-I862,50)+MAX(T$806:T861*$W$806:$W861,T863:T$895*$W863:$W$895)</f>
        <v>-10</v>
      </c>
      <c r="AA862" s="1896">
        <f t="array" ref="AA862">HP_final-PDs!$X$23+MIN(PDs!$X$23+J$896-J862,50)+MAX(T$806:T861*$W$806:$W861,T863:T$895*$W863:$W$895)</f>
        <v>-10</v>
      </c>
    </row>
    <row r="863" spans="1:27" ht="12.75" customHeight="1" x14ac:dyDescent="0.2">
      <c r="A863" s="1928">
        <v>863</v>
      </c>
      <c r="B863" s="5108"/>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104"/>
        <v>0</v>
      </c>
      <c r="V863" s="2553">
        <v>50</v>
      </c>
      <c r="W863" s="2553">
        <f>IF(COUNTIF(PDs!$AD$56:$AD$74,Tablas!D863)&gt;0,1,0)</f>
        <v>0</v>
      </c>
      <c r="X863" s="2553" t="str">
        <f>IF(OR(Y863&lt;280,MAX(Z863,AA863)&lt;280,AND($W$862=0,$W$830=0),NOT(Inhumanidad)),"NO","-")</f>
        <v>NO</v>
      </c>
      <c r="Y863" s="2695">
        <f t="array" ref="Y863">HA_final-PDs!$X$22+MIN(PDs!$X$22+H$896-H863,50)+MAX(S$806:S862*$W$806:$W862,S864:S$895*$W864:$W$895)</f>
        <v>0</v>
      </c>
      <c r="Z863" s="2617">
        <f t="array" ref="Z863">HE_final-PDs!$X$24+MIN(PDs!$X$24+I$896-I863,50)+MAX(T$806:T862*$W$806:$W862,T864:T$895*$W864:$W$895)</f>
        <v>0</v>
      </c>
      <c r="AA863" s="1896">
        <f t="array" ref="AA863">HP_final-PDs!$X$23+MIN(PDs!$X$23+J$896-J863,50)+MAX(T$806:T862*$W$806:$W862,T864:T$895*$W864:$W$895)</f>
        <v>0</v>
      </c>
    </row>
    <row r="864" spans="1:27" ht="12.75" customHeight="1" x14ac:dyDescent="0.2">
      <c r="A864" s="1928">
        <v>864</v>
      </c>
      <c r="B864" s="5108"/>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104"/>
        <v>0</v>
      </c>
      <c r="V864" s="2553">
        <v>50</v>
      </c>
      <c r="W864" s="2553">
        <f>IF(COUNTIF(PDs!$AD$56:$AD$74,Tablas!D864)&gt;0,1,0)</f>
        <v>0</v>
      </c>
      <c r="X864" s="2553" t="str">
        <f>IF(OR(NOT(OR($W$823=1,$W$814=1)),NOT(Extrusióndepresencia)),"NO","-")</f>
        <v>NO</v>
      </c>
      <c r="Y864" s="2695">
        <f t="array" ref="Y864">HA_final-PDs!$X$22+MIN(PDs!$X$22+H$896-H864,50)+MAX(S$806:S863*$W$806:$W863,S865:S$895*$W865:$W$895)</f>
        <v>-20</v>
      </c>
      <c r="Z864" s="2617">
        <f t="array" ref="Z864">HE_final-PDs!$X$24+MIN(PDs!$X$24+I$896-I864,50)+MAX(T$806:T863*$W$806:$W863,T865:T$895*$W865:$W$895)</f>
        <v>0</v>
      </c>
      <c r="AA864" s="1896">
        <f t="array" ref="AA864">HP_final-PDs!$X$23+MIN(PDs!$X$23+J$896-J864,50)+MAX(T$806:T863*$W$806:$W863,T865:T$895*$W865:$W$895)</f>
        <v>0</v>
      </c>
    </row>
    <row r="865" spans="1:27" ht="12.75" customHeight="1" x14ac:dyDescent="0.2">
      <c r="A865" s="1928">
        <v>865</v>
      </c>
      <c r="B865" s="5108"/>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104"/>
        <v>0</v>
      </c>
      <c r="V865" s="2553">
        <v>50</v>
      </c>
      <c r="W865" s="2553">
        <f>IF(COUNTIF(PDs!$AD$56:$AD$74,Tablas!D865)&gt;0,1,0)</f>
        <v>0</v>
      </c>
      <c r="X865" s="2553" t="str">
        <f>IF(OR(NOT(OR($W$824=1,$W$815=1)),$W$864=0,NOT(Inhumanidad),Y865&lt;280),"NO","-")</f>
        <v>NO</v>
      </c>
      <c r="Y865" s="2695">
        <f t="array" ref="Y865">HA_final-PDs!$X$22+MIN(PDs!$X$22+H$896-H865,50)+MAX(S$806:S864*$W$806:$W864,S866:S$895*$W866:$W$895)</f>
        <v>0</v>
      </c>
      <c r="Z865" s="2617">
        <f t="array" ref="Z865">HE_final-PDs!$X$24+MIN(PDs!$X$24+I$896-I865,50)+MAX(T$806:T864*$W$806:$W864,T866:T$895*$W866:$W$895)</f>
        <v>0</v>
      </c>
      <c r="AA865" s="1896">
        <f t="array" ref="AA865">HP_final-PDs!$X$23+MIN(PDs!$X$23+J$896-J865,50)+MAX(T$806:T864*$W$806:$W864,T866:T$895*$W866:$W$895)</f>
        <v>0</v>
      </c>
    </row>
    <row r="866" spans="1:27" ht="12.75" customHeight="1" x14ac:dyDescent="0.2">
      <c r="A866" s="1928">
        <v>866</v>
      </c>
      <c r="B866" s="5108"/>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104"/>
        <v>0</v>
      </c>
      <c r="V866" s="2553">
        <v>50</v>
      </c>
      <c r="W866" s="2553">
        <f>IF(COUNTIF(PDs!$AD$56:$AD$74,Tablas!D866)&gt;0,1,0)</f>
        <v>0</v>
      </c>
      <c r="X866" s="2553" t="str">
        <f>IF(OR(NOT(OR($W$823=1,$W$825=1,$W$835=1)),Y866&lt;200),"NO","-")</f>
        <v>NO</v>
      </c>
      <c r="Y866" s="2695">
        <f t="array" ref="Y866">HA_final-PDs!$X$22+MIN(PDs!$X$22+H$896-H866,50)+MAX(S$806:S865*$W$806:$W865,S867:S$895*$W867:$W$895)</f>
        <v>-20</v>
      </c>
      <c r="Z866" s="2617">
        <f t="array" ref="Z866">HE_final-PDs!$X$24+MIN(PDs!$X$24+I$896-I866,50)+MAX(T$806:T865*$W$806:$W865,T867:T$895*$W867:$W$895)</f>
        <v>0</v>
      </c>
      <c r="AA866" s="1896">
        <f t="array" ref="AA866">HP_final-PDs!$X$23+MIN(PDs!$X$23+J$896-J866,50)+MAX(T$806:T865*$W$806:$W865,T867:T$895*$W867:$W$895)</f>
        <v>0</v>
      </c>
    </row>
    <row r="867" spans="1:27" ht="12.75" customHeight="1" x14ac:dyDescent="0.2">
      <c r="A867" s="1928">
        <v>867</v>
      </c>
      <c r="B867" s="5108"/>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104"/>
        <v>0</v>
      </c>
      <c r="V867" s="2553">
        <v>50</v>
      </c>
      <c r="W867" s="2553">
        <f>IF(COUNTIF(PDs!$AD$56:$AD$74,Tablas!D867)&gt;0,1,0)</f>
        <v>0</v>
      </c>
      <c r="X867" s="2553" t="str">
        <f>IF(OR(NOT(OR($W$824=1,$W$827=1,$W$836=1)),Y867&lt;280,MAX(Z867,AA867)&lt;260,$W$866=0),"NO","-")</f>
        <v>NO</v>
      </c>
      <c r="Y867" s="2695">
        <f t="array" ref="Y867">HA_final-PDs!$X$22+MIN(PDs!$X$22+H$896-H867,50)+MAX(S$806:S866*$W$806:$W866,S868:S$895*$W868:$W$895)</f>
        <v>0</v>
      </c>
      <c r="Z867" s="2617">
        <f t="array" ref="Z867">HE_final-PDs!$X$24+MIN(PDs!$X$24+I$896-I867,50)+MAX(T$806:T866*$W$806:$W866,T868:T$895*$W868:$W$895)</f>
        <v>0</v>
      </c>
      <c r="AA867" s="1896">
        <f t="array" ref="AA867">HP_final-PDs!$X$23+MIN(PDs!$X$23+J$896-J867,50)+MAX(T$806:T866*$W$806:$W866,T868:T$895*$W868:$W$895)</f>
        <v>0</v>
      </c>
    </row>
    <row r="868" spans="1:27" ht="12.75" customHeight="1" x14ac:dyDescent="0.2">
      <c r="A868" s="1928">
        <v>868</v>
      </c>
      <c r="B868" s="5108"/>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104"/>
        <v>0</v>
      </c>
      <c r="V868" s="2553">
        <v>50</v>
      </c>
      <c r="W868" s="2553">
        <f>IF(COUNTIF(PDs!$AD$56:$AD$74,Tablas!D868)&gt;0,1,0)</f>
        <v>0</v>
      </c>
      <c r="X868" s="2553" t="str">
        <f>IF(OR(NOT(OR($W$844=1,$W$847=1)),Y868&lt;160,MAX(Z868,AA868)&lt;160),"NO","-")</f>
        <v>NO</v>
      </c>
      <c r="Y868" s="2695">
        <f t="array" ref="Y868">HA_final-PDs!$X$22+MIN(PDs!$X$22+H$896-H868,50)+MAX(S$806:S867*$W$806:$W867,S869:S$895*$W869:$W$895)</f>
        <v>0</v>
      </c>
      <c r="Z868" s="2617">
        <f t="array" ref="Z868">HE_final-PDs!$X$24+MIN(PDs!$X$24+I$896-I868,50)+MAX(T$806:T867*$W$806:$W867,T869:T$895*$W869:$W$895)</f>
        <v>-20</v>
      </c>
      <c r="AA868" s="1896">
        <f t="array" ref="AA868">HP_final-PDs!$X$23+MIN(PDs!$X$23+J$896-J868,50)+MAX(T$806:T867*$W$806:$W867,T869:T$895*$W869:$W$895)</f>
        <v>-20</v>
      </c>
    </row>
    <row r="869" spans="1:27" ht="12.75" customHeight="1" x14ac:dyDescent="0.2">
      <c r="A869" s="1928">
        <v>869</v>
      </c>
      <c r="B869" s="5108"/>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104"/>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0</v>
      </c>
      <c r="Z869" s="2617">
        <f t="array" ref="Z869">HE_final-PDs!$X$24+MIN(PDs!$X$24+I$896-I869,50)+MAX(T$806:T868*$W$806:$W868,T870:T$895*$W870:$W$895)</f>
        <v>0</v>
      </c>
      <c r="AA869" s="1896">
        <f t="array" ref="AA869">HP_final-PDs!$X$23+MIN(PDs!$X$23+J$896-J869,50)+MAX(T$806:T868*$W$806:$W868,T870:T$895*$W870:$W$895)</f>
        <v>0</v>
      </c>
    </row>
    <row r="870" spans="1:27" ht="12.75" customHeight="1" x14ac:dyDescent="0.2">
      <c r="A870" s="1928">
        <v>870</v>
      </c>
      <c r="B870" s="5108"/>
      <c r="C870" s="1703"/>
      <c r="D870" s="435" t="s">
        <v>1247</v>
      </c>
      <c r="E870" s="2553">
        <f>2*Presencia_final+Bono_Pod-Combate!$L$23</f>
        <v>40</v>
      </c>
      <c r="F870" s="2553"/>
      <c r="G870" s="2553">
        <v>15</v>
      </c>
      <c r="H870" s="2553">
        <v>10</v>
      </c>
      <c r="I870" s="2553"/>
      <c r="J870" s="2553"/>
      <c r="K870" s="2553"/>
      <c r="L870" s="2421" t="s">
        <v>1248</v>
      </c>
      <c r="M870" s="456"/>
      <c r="N870" s="456"/>
      <c r="O870" s="456"/>
      <c r="P870" s="456"/>
      <c r="Q870" s="2553"/>
      <c r="R870" s="2553"/>
      <c r="S870" s="2553"/>
      <c r="T870" s="2553"/>
      <c r="U870" s="2553">
        <f t="shared" ref="U870:U895" si="105">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-10</v>
      </c>
      <c r="Z870" s="2617">
        <f t="array" ref="Z870">HE_final-PDs!$X$24+MIN(PDs!$X$24+I$896-I870,50)+MAX(T$806:T869*$W$806:$W869,T871:T$895*$W871:$W$895)</f>
        <v>0</v>
      </c>
      <c r="AA870" s="1896">
        <f t="array" ref="AA870">HP_final-PDs!$X$23+MIN(PDs!$X$23+J$896-J870,50)+MAX(T$806:T869*$W$806:$W869,T871:T$895*$W871:$W$895)</f>
        <v>0</v>
      </c>
    </row>
    <row r="871" spans="1:27" ht="12.75" customHeight="1" x14ac:dyDescent="0.2">
      <c r="A871" s="1928">
        <v>871</v>
      </c>
      <c r="B871" s="5108"/>
      <c r="C871" s="1703"/>
      <c r="D871" s="435" t="s">
        <v>1249</v>
      </c>
      <c r="E871" s="2553">
        <f>2*Presencia_final+Bono_Pod-Combate!$L$23</f>
        <v>40</v>
      </c>
      <c r="F871" s="2553"/>
      <c r="G871" s="2553">
        <v>20</v>
      </c>
      <c r="H871" s="2553"/>
      <c r="I871" s="2553"/>
      <c r="J871" s="2553"/>
      <c r="K871" s="2553"/>
      <c r="L871" s="2421" t="s">
        <v>1766</v>
      </c>
      <c r="M871" s="456"/>
      <c r="N871" s="456"/>
      <c r="O871" s="456"/>
      <c r="P871" s="456"/>
      <c r="Q871" s="2553"/>
      <c r="R871" s="2553"/>
      <c r="S871" s="2553">
        <v>25</v>
      </c>
      <c r="T871" s="2553"/>
      <c r="U871" s="2553">
        <f t="shared" si="105"/>
        <v>0</v>
      </c>
      <c r="V871" s="2553">
        <v>50</v>
      </c>
      <c r="W871" s="2553">
        <f>IF(COUNTIF(PDs!$AD$56:$AD$74,Tablas!D871)&gt;0,1,0)</f>
        <v>0</v>
      </c>
      <c r="X871" s="2553" t="str">
        <f>IF(OR(NOT(OR($W$821=1,$W$857=1)),$W$870=0,Y871&lt;300,NOT(Inhumanidad)),"NO","-")</f>
        <v>NO</v>
      </c>
      <c r="Y871" s="2695">
        <f t="array" ref="Y871">HA_final-PDs!$X$22+MIN(PDs!$X$22+H$896-H871,50)+MAX(S$806:S870*$W$806:$W870,S872:S$895*$W872:$W$895)</f>
        <v>0</v>
      </c>
      <c r="Z871" s="2617">
        <f t="array" ref="Z871">HE_final-PDs!$X$24+MIN(PDs!$X$24+I$896-I871,50)+MAX(T$806:T870*$W$806:$W870,T872:T$895*$W872:$W$895)</f>
        <v>0</v>
      </c>
      <c r="AA871" s="1896">
        <f t="array" ref="AA871">HP_final-PDs!$X$23+MIN(PDs!$X$23+J$896-J871,50)+MAX(T$806:T870*$W$806:$W870,T872:T$895*$W872:$W$895)</f>
        <v>0</v>
      </c>
    </row>
    <row r="872" spans="1:27" ht="12.75" customHeight="1" x14ac:dyDescent="0.2">
      <c r="A872" s="1928">
        <v>872</v>
      </c>
      <c r="B872" s="5108"/>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105"/>
        <v>0</v>
      </c>
      <c r="V872" s="2553">
        <v>50</v>
      </c>
      <c r="W872" s="2553">
        <f>IF(COUNTIF(PDs!$AD$56:$AD$74,Tablas!D872)&gt;0,1,0)</f>
        <v>0</v>
      </c>
      <c r="X872" s="2553" t="str">
        <f>IF(OR(NOT(OR($W$811=1,$W$847=1)),Y872&lt;200),"NO","-")</f>
        <v>NO</v>
      </c>
      <c r="Y872" s="2695">
        <f t="array" ref="Y872">HA_final-PDs!$X$22+MIN(PDs!$X$22+H$896-H872,50)+MAX(S$806:S871*$W$806:$W871,S873:S$895*$W873:$W$895)</f>
        <v>-10</v>
      </c>
      <c r="Z872" s="2617">
        <f t="array" ref="Z872">HE_final-PDs!$X$24+MIN(PDs!$X$24+I$896-I872,50)+MAX(T$806:T871*$W$806:$W871,T873:T$895*$W873:$W$895)</f>
        <v>0</v>
      </c>
      <c r="AA872" s="1896">
        <f t="array" ref="AA872">HP_final-PDs!$X$23+MIN(PDs!$X$23+J$896-J872,50)+MAX(T$806:T871*$W$806:$W871,T873:T$895*$W873:$W$895)</f>
        <v>0</v>
      </c>
    </row>
    <row r="873" spans="1:27" ht="12.75" customHeight="1" x14ac:dyDescent="0.2">
      <c r="A873" s="1928">
        <v>873</v>
      </c>
      <c r="B873" s="5108"/>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105"/>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0</v>
      </c>
      <c r="Z873" s="2617">
        <f t="array" ref="Z873">HE_final-PDs!$X$24+MIN(PDs!$X$24+I$896-I873,50)+MAX(T$806:T872*$W$806:$W872,T874:T$895*$W874:$W$895)</f>
        <v>0</v>
      </c>
      <c r="AA873" s="1896">
        <f t="array" ref="AA873">HP_final-PDs!$X$23+MIN(PDs!$X$23+J$896-J873,50)+MAX(T$806:T872*$W$806:$W872,T874:T$895*$W874:$W$895)</f>
        <v>0</v>
      </c>
    </row>
    <row r="874" spans="1:27" ht="12.75" customHeight="1" x14ac:dyDescent="0.2">
      <c r="A874" s="1928">
        <v>874</v>
      </c>
      <c r="B874" s="5108"/>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105"/>
        <v>0</v>
      </c>
      <c r="V874" s="2553">
        <v>50</v>
      </c>
      <c r="W874" s="2553">
        <f>IF(COUNTIF(PDs!$AD$56:$AD$74,Tablas!D874)&gt;0,1,0)</f>
        <v>0</v>
      </c>
      <c r="X874" s="2553" t="str">
        <f>IF(OR(NOT(OR($W$838=1,$W$847=1)),Y874&lt;200,NOT(Usodelaenergíanecesaria)),"NO","-")</f>
        <v>NO</v>
      </c>
      <c r="Y874" s="2695">
        <f t="array" ref="Y874">HA_final-PDs!$X$22+MIN(PDs!$X$22+H$896-H874,50)+MAX(S$806:S873*$W$806:$W873,S875:S$895*$W875:$W$895)</f>
        <v>-10</v>
      </c>
      <c r="Z874" s="2617">
        <f t="array" ref="Z874">HE_final-PDs!$X$24+MIN(PDs!$X$24+I$896-I874,50)+MAX(T$806:T873*$W$806:$W873,T875:T$895*$W875:$W$895)</f>
        <v>0</v>
      </c>
      <c r="AA874" s="1896">
        <f t="array" ref="AA874">HP_final-PDs!$X$23+MIN(PDs!$X$23+J$896-J874,50)+MAX(T$806:T873*$W$806:$W873,T875:T$895*$W875:$W$895)</f>
        <v>0</v>
      </c>
    </row>
    <row r="875" spans="1:27" ht="12.75" customHeight="1" x14ac:dyDescent="0.2">
      <c r="A875" s="1928">
        <v>875</v>
      </c>
      <c r="B875" s="5108"/>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105"/>
        <v>0</v>
      </c>
      <c r="V875" s="2553">
        <v>50</v>
      </c>
      <c r="W875" s="2553">
        <f>IF(COUNTIF(PDs!$AD$56:$AD$74,Tablas!D875)&gt;0,1,0)</f>
        <v>0</v>
      </c>
      <c r="X875" s="2553" t="str">
        <f>IF(OR(NOT(OR($W$839=1,$W$848=1)),$W$874=0,Y875&lt;300,NOT(Inhumanidad)),"NO","-")</f>
        <v>NO</v>
      </c>
      <c r="Y875" s="2695">
        <f t="array" ref="Y875">HA_final-PDs!$X$22+MIN(PDs!$X$22+H$896-H875,50)+MAX(S$806:S874*$W$806:$W874,S876:S$895*$W876:$W$895)</f>
        <v>0</v>
      </c>
      <c r="Z875" s="2617">
        <f t="array" ref="Z875">HE_final-PDs!$X$24+MIN(PDs!$X$24+I$896-I875,50)+MAX(T$806:T874*$W$806:$W874,T876:T$895*$W876:$W$895)</f>
        <v>0</v>
      </c>
      <c r="AA875" s="1896">
        <f t="array" ref="AA875">HP_final-PDs!$X$23+MIN(PDs!$X$23+J$896-J875,50)+MAX(T$806:T874*$W$806:$W874,T876:T$895*$W876:$W$895)</f>
        <v>0</v>
      </c>
    </row>
    <row r="876" spans="1:27" ht="12.75" customHeight="1" x14ac:dyDescent="0.2">
      <c r="A876" s="1928">
        <v>876</v>
      </c>
      <c r="B876" s="5108"/>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105"/>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0</v>
      </c>
      <c r="Z876" s="2617">
        <f t="array" ref="Z876">HE_final-PDs!$X$24+MIN(PDs!$X$24+I$896-I876,50)+MAX(T$806:T875*$W$806:$W875,T877:T$895*$W877:$W$895)</f>
        <v>-10</v>
      </c>
      <c r="AA876" s="1896">
        <f t="array" ref="AA876">HP_final-PDs!$X$23+MIN(PDs!$X$23+J$896-J876,50)+MAX(T$806:T875*$W$806:$W875,T877:T$895*$W877:$W$895)</f>
        <v>-10</v>
      </c>
    </row>
    <row r="877" spans="1:27" ht="12.75" customHeight="1" x14ac:dyDescent="0.2">
      <c r="A877" s="1928">
        <v>877</v>
      </c>
      <c r="B877" s="5108"/>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105"/>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0</v>
      </c>
      <c r="Z877" s="2617">
        <f t="array" ref="Z877">HE_final-PDs!$X$24+MIN(PDs!$X$24+I$896-I877,50)+MAX(T$806:T876*$W$806:$W876,T878:T$895*$W878:$W$895)</f>
        <v>0</v>
      </c>
      <c r="AA877" s="1896">
        <f t="array" ref="AA877">HP_final-PDs!$X$23+MIN(PDs!$X$23+J$896-J877,50)+MAX(T$806:T876*$W$806:$W876,T878:T$895*$W878:$W$895)</f>
        <v>0</v>
      </c>
    </row>
    <row r="878" spans="1:27" ht="12.75" customHeight="1" x14ac:dyDescent="0.2">
      <c r="A878" s="1928">
        <v>878</v>
      </c>
      <c r="B878" s="5108"/>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105"/>
        <v>0</v>
      </c>
      <c r="V878" s="2553">
        <v>50</v>
      </c>
      <c r="W878" s="2553">
        <f>IF(COUNTIF(PDs!$AD$56:$AD$74,Tablas!D878)&gt;0,1,0)</f>
        <v>0</v>
      </c>
      <c r="X878" s="2553" t="str">
        <f>IF(OR(MAX(Z878,AA878)&lt;220,$W$832=0,Estilo_final&lt;120,NOT(DeteccióndelKi)),"NO","-")</f>
        <v>NO</v>
      </c>
      <c r="Y878" s="2695">
        <f t="array" ref="Y878">HA_final-PDs!$X$22+MIN(PDs!$X$22+H$896-H878,50)+MAX(S$806:S877*$W$806:$W877,S879:S$895*$W879:$W$895)</f>
        <v>0</v>
      </c>
      <c r="Z878" s="2617">
        <f t="array" ref="Z878">HE_final-PDs!$X$24+MIN(PDs!$X$24+I$896-I878,50)+MAX(T$806:T877*$W$806:$W877,T879:T$895*$W879:$W$895)</f>
        <v>-20</v>
      </c>
      <c r="AA878" s="1896">
        <f t="array" ref="AA878">HP_final-PDs!$X$23+MIN(PDs!$X$23+J$896-J878,50)+MAX(T$806:T877*$W$806:$W877,T879:T$895*$W879:$W$895)</f>
        <v>-20</v>
      </c>
    </row>
    <row r="879" spans="1:27" ht="12.75" customHeight="1" x14ac:dyDescent="0.2">
      <c r="A879" s="1928">
        <v>879</v>
      </c>
      <c r="B879" s="5108"/>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105"/>
        <v>0</v>
      </c>
      <c r="V879" s="2553">
        <v>50</v>
      </c>
      <c r="W879" s="2553">
        <f>IF(COUNTIF(PDs!$AD$56:$AD$74,Tablas!D879)&gt;0,1,0)</f>
        <v>0</v>
      </c>
      <c r="X879" s="2553" t="str">
        <f>IF(OR(MAX(Z879,AA879)&lt;300,$W$833=0,$W$878=0,Estilo_final&lt;140,NOT(Erudición)),"NO","-")</f>
        <v>NO</v>
      </c>
      <c r="Y879" s="2695">
        <f t="array" ref="Y879">HA_final-PDs!$X$22+MIN(PDs!$X$22+H$896-H879,50)+MAX(S$806:S878*$W$806:$W878,S880:S$895*$W880:$W$895)</f>
        <v>0</v>
      </c>
      <c r="Z879" s="2617">
        <f t="array" ref="Z879">HE_final-PDs!$X$24+MIN(PDs!$X$24+I$896-I879,50)+MAX(T$806:T878*$W$806:$W878,T880:T$895*$W880:$W$895)</f>
        <v>0</v>
      </c>
      <c r="AA879" s="1896">
        <f t="array" ref="AA879">HP_final-PDs!$X$23+MIN(PDs!$X$23+J$896-J879,50)+MAX(T$806:T878*$W$806:$W878,T880:T$895*$W880:$W$895)</f>
        <v>0</v>
      </c>
    </row>
    <row r="880" spans="1:27" ht="12.75" customHeight="1" x14ac:dyDescent="0.2">
      <c r="A880" s="1928">
        <v>880</v>
      </c>
      <c r="B880" s="5108"/>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105"/>
        <v>0</v>
      </c>
      <c r="V880" s="2553">
        <v>50</v>
      </c>
      <c r="W880" s="2553">
        <f>IF(COUNTIF(PDs!$AD$56:$AD$74,Tablas!D880)&gt;0,1,0)</f>
        <v>0</v>
      </c>
      <c r="X880" s="2553" t="str">
        <f>IF(OR(NOT(OR($W$817=1,$W$841=1)),Y880&lt;160,MAX(Z880,AA880)&lt;160,NOT(Inhumanidad)),"NO","-")</f>
        <v>NO</v>
      </c>
      <c r="Y880" s="2695">
        <f t="array" ref="Y880">HA_final-PDs!$X$22+MIN(PDs!$X$22+H$896-H880,50)+MAX(S$806:S879*$W$806:$W879,S881:S$895*$W881:$W$895)</f>
        <v>-10</v>
      </c>
      <c r="Z880" s="2617">
        <f t="array" ref="Z880">HE_final-PDs!$X$24+MIN(PDs!$X$24+I$896-I880,50)+MAX(T$806:T879*$W$806:$W879,T881:T$895*$W881:$W$895)</f>
        <v>0</v>
      </c>
      <c r="AA880" s="1896">
        <f t="array" ref="AA880">HP_final-PDs!$X$23+MIN(PDs!$X$23+J$896-J880,50)+MAX(T$806:T879*$W$806:$W879,T881:T$895*$W881:$W$895)</f>
        <v>0</v>
      </c>
    </row>
    <row r="881" spans="1:27" ht="12.75" customHeight="1" x14ac:dyDescent="0.2">
      <c r="A881" s="1928">
        <v>881</v>
      </c>
      <c r="B881" s="5108"/>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105"/>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0</v>
      </c>
      <c r="Z881" s="2617">
        <f t="array" ref="Z881">HE_final-PDs!$X$24+MIN(PDs!$X$24+I$896-I881,50)+MAX(T$806:T880*$W$806:$W880,T882:T$895*$W882:$W$895)</f>
        <v>0</v>
      </c>
      <c r="AA881" s="1896">
        <f t="array" ref="AA881">HP_final-PDs!$X$23+MIN(PDs!$X$23+J$896-J881,50)+MAX(T$806:T880*$W$806:$W880,T882:T$895*$W882:$W$895)</f>
        <v>0</v>
      </c>
    </row>
    <row r="882" spans="1:27" ht="12.75" customHeight="1" x14ac:dyDescent="0.2">
      <c r="A882" s="1928">
        <v>882</v>
      </c>
      <c r="B882" s="5108"/>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105"/>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-10</v>
      </c>
      <c r="Z882" s="2617">
        <f t="array" ref="Z882">HE_final-PDs!$X$24+MIN(PDs!$X$24+I$896-I882,50)+MAX(T$806:T881*$W$806:$W881,T883:T$895*$W883:$W$895)</f>
        <v>0</v>
      </c>
      <c r="AA882" s="1896">
        <f t="array" ref="AA882">HP_final-PDs!$X$23+MIN(PDs!$X$23+J$896-J882,50)+MAX(T$806:T881*$W$806:$W881,T883:T$895*$W883:$W$895)</f>
        <v>0</v>
      </c>
    </row>
    <row r="883" spans="1:27" ht="12.75" customHeight="1" x14ac:dyDescent="0.2">
      <c r="A883" s="1928">
        <v>883</v>
      </c>
      <c r="B883" s="5108"/>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105"/>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0</v>
      </c>
      <c r="Z883" s="2617">
        <f t="array" ref="Z883">HE_final-PDs!$X$24+MIN(PDs!$X$24+I$896-I883,50)+MAX(T$806:T882*$W$806:$W882,T884:T$895*$W884:$W$895)</f>
        <v>0</v>
      </c>
      <c r="AA883" s="1896">
        <f t="array" ref="AA883">HP_final-PDs!$X$23+MIN(PDs!$X$23+J$896-J883,50)+MAX(T$806:T882*$W$806:$W882,T884:T$895*$W884:$W$895)</f>
        <v>0</v>
      </c>
    </row>
    <row r="884" spans="1:27" ht="12.75" customHeight="1" x14ac:dyDescent="0.2">
      <c r="A884" s="1928">
        <v>884</v>
      </c>
      <c r="B884" s="5108"/>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105"/>
        <v>0</v>
      </c>
      <c r="V884" s="2553">
        <v>50</v>
      </c>
      <c r="W884" s="2553">
        <f>IF(COUNTIF(PDs!$AD$56:$AD$74,Tablas!D884)&gt;0,1,0)</f>
        <v>0</v>
      </c>
      <c r="X884" s="2553" t="str">
        <f>IF(OR(NOT(OR($W$838=1,$W$835=1)),NOT(Inhumanidad),MAX(Z884,AA884)&lt;200),"NO","-")</f>
        <v>NO</v>
      </c>
      <c r="Y884" s="2695">
        <f t="array" ref="Y884">HA_final-PDs!$X$22+MIN(PDs!$X$22+H$896-H884,50)+MAX(S$806:S883*$W$806:$W883,S885:S$895*$W885:$W$895)</f>
        <v>0</v>
      </c>
      <c r="Z884" s="2617">
        <f t="array" ref="Z884">HE_final-PDs!$X$24+MIN(PDs!$X$24+I$896-I884,50)+MAX(T$806:T883*$W$806:$W883,T885:T$895*$W885:$W$895)</f>
        <v>-10</v>
      </c>
      <c r="AA884" s="1896">
        <f t="array" ref="AA884">HP_final-PDs!$X$23+MIN(PDs!$X$23+J$896-J884,50)+MAX(T$806:T883*$W$806:$W883,T885:T$895*$W885:$W$895)</f>
        <v>-10</v>
      </c>
    </row>
    <row r="885" spans="1:27" ht="12.75" customHeight="1" x14ac:dyDescent="0.2">
      <c r="A885" s="1928">
        <v>885</v>
      </c>
      <c r="B885" s="5108"/>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105"/>
        <v>0</v>
      </c>
      <c r="V885" s="2553">
        <v>50</v>
      </c>
      <c r="W885" s="2553">
        <f>IF(COUNTIF(PDs!$AD$56:$AD$74,Tablas!D885)&gt;0,1,0)</f>
        <v>0</v>
      </c>
      <c r="X885" s="2553" t="str">
        <f>IF(OR(NOT(OR($W$839=1,$W$836=1)),NOT(Zen),MAX(Z885,AA885)&lt;300,$W$884=0),"NO","-")</f>
        <v>NO</v>
      </c>
      <c r="Y885" s="2695">
        <f t="array" ref="Y885">HA_final-PDs!$X$22+MIN(PDs!$X$22+H$896-H885,50)+MAX(S$806:S884*$W$806:$W884,S886:S$895*$W886:$W$895)</f>
        <v>0</v>
      </c>
      <c r="Z885" s="2617">
        <f t="array" ref="Z885">HE_final-PDs!$X$24+MIN(PDs!$X$24+I$896-I885,50)+MAX(T$806:T884*$W$806:$W884,T886:T$895*$W886:$W$895)</f>
        <v>0</v>
      </c>
      <c r="AA885" s="1896">
        <f t="array" ref="AA885">HP_final-PDs!$X$23+MIN(PDs!$X$23+J$896-J885,50)+MAX(T$806:T884*$W$806:$W884,T886:T$895*$W886:$W$895)</f>
        <v>0</v>
      </c>
    </row>
    <row r="886" spans="1:27" ht="12.75" customHeight="1" x14ac:dyDescent="0.2">
      <c r="A886" s="1928">
        <v>886</v>
      </c>
      <c r="B886" s="5108"/>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105"/>
        <v>0</v>
      </c>
      <c r="V886" s="2553">
        <v>50</v>
      </c>
      <c r="W886" s="2553">
        <f>IF(COUNTIF(PDs!$AD$56:$AD$74,Tablas!D886)&gt;0,1,0)</f>
        <v>0</v>
      </c>
      <c r="X886" s="2553" t="str">
        <f>IF(OR(MAX(Z886,AA886)&lt;200,$W$808=0),"NO","-")</f>
        <v>NO</v>
      </c>
      <c r="Y886" s="2695">
        <f t="array" ref="Y886">HA_final-PDs!$X$22+MIN(PDs!$X$22+H$896-H886,50)+MAX(S$806:S885*$W$806:$W885,S887:S$895*$W887:$W$895)</f>
        <v>0</v>
      </c>
      <c r="Z886" s="2617">
        <f t="array" ref="Z886">HE_final-PDs!$X$24+MIN(PDs!$X$24+I$896-I886,50)+MAX(T$806:T885*$W$806:$W885,T887:T$895*$W887:$W$895)</f>
        <v>-20</v>
      </c>
      <c r="AA886" s="1896">
        <f t="array" ref="AA886">HP_final-PDs!$X$23+MIN(PDs!$X$23+J$896-J886,50)+MAX(T$806:T885*$W$806:$W885,T887:T$895*$W887:$W$895)</f>
        <v>-20</v>
      </c>
    </row>
    <row r="887" spans="1:27" ht="12.75" customHeight="1" x14ac:dyDescent="0.2">
      <c r="A887" s="1928">
        <v>887</v>
      </c>
      <c r="B887" s="5108"/>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105"/>
        <v>0</v>
      </c>
      <c r="V887" s="2553">
        <v>50</v>
      </c>
      <c r="W887" s="2553">
        <f>IF(COUNTIF(PDs!$AD$56:$AD$74,Tablas!D887)&gt;0,1,0)</f>
        <v>0</v>
      </c>
      <c r="X887" s="2553" t="str">
        <f>IF(OR(MAX(Z887,AA887)&lt;300,$W$809=0,$W$886=0,NOT(Inhumanidad)),"NO","-")</f>
        <v>NO</v>
      </c>
      <c r="Y887" s="2695">
        <f t="array" ref="Y887">HA_final-PDs!$X$22+MIN(PDs!$X$22+H$896-H887,50)+MAX(S$806:S886*$W$806:$W886,S888:S$895*$W888:$W$895)</f>
        <v>0</v>
      </c>
      <c r="Z887" s="2617">
        <f t="array" ref="Z887">HE_final-PDs!$X$24+MIN(PDs!$X$24+I$896-I887,50)+MAX(T$806:T886*$W$806:$W886,T888:T$895*$W888:$W$895)</f>
        <v>0</v>
      </c>
      <c r="AA887" s="1896">
        <f t="array" ref="AA887">HP_final-PDs!$X$23+MIN(PDs!$X$23+J$896-J887,50)+MAX(T$806:T886*$W$806:$W886,T888:T$895*$W888:$W$895)</f>
        <v>0</v>
      </c>
    </row>
    <row r="888" spans="1:27" ht="12.75" customHeight="1" x14ac:dyDescent="0.2">
      <c r="A888" s="1928">
        <v>888</v>
      </c>
      <c r="B888" s="5108"/>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105"/>
        <v>0</v>
      </c>
      <c r="V888" s="2553">
        <v>50</v>
      </c>
      <c r="W888" s="2553">
        <f>IF(COUNTIF(PDs!$AD$56:$AD$74,Tablas!D888)&gt;0,1,0)</f>
        <v>0</v>
      </c>
      <c r="X888" s="57" t="str">
        <f>IF(OR(NOT(OR($W$847=1,$W$823=1)),NOT(Extrusióndepresencia),Y888&lt;180),"NO","-")</f>
        <v>NO</v>
      </c>
      <c r="Y888" s="2695">
        <f t="array" ref="Y888">HA_final-PDs!$X$22+MIN(PDs!$X$22+H$896-H888,50)+MAX(S$806:S887*$W$806:$W887,S889:S$895*$W889:$W$895)</f>
        <v>-20</v>
      </c>
      <c r="Z888" s="2617">
        <f t="array" ref="Z888">HE_final-PDs!$X$24+MIN(PDs!$X$24+I$896-I888,50)+MAX(T$806:T887*$W$806:$W887,T889:T$895*$W889:$W$895)</f>
        <v>0</v>
      </c>
      <c r="AA888" s="1896">
        <f t="array" ref="AA888">HP_final-PDs!$X$23+MIN(PDs!$X$23+J$896-J888,50)+MAX(T$806:T887*$W$806:$W887,T889:T$895*$W889:$W$895)</f>
        <v>0</v>
      </c>
    </row>
    <row r="889" spans="1:27" ht="12.75" customHeight="1" x14ac:dyDescent="0.2">
      <c r="A889" s="1928">
        <v>889</v>
      </c>
      <c r="B889" s="5108"/>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105"/>
        <v>0</v>
      </c>
      <c r="V889" s="2553">
        <v>50</v>
      </c>
      <c r="W889" s="2553">
        <f>IF(COUNTIF(PDs!$AD$56:$AD$74,Tablas!D889)&gt;0,1,0)</f>
        <v>0</v>
      </c>
      <c r="X889" s="2553" t="str">
        <f>IF(OR(NOT(OR($W$848=1,$W$824=1)),$W$888=0,Y889&lt;300),"NO","-")</f>
        <v>NO</v>
      </c>
      <c r="Y889" s="2695">
        <f t="array" ref="Y889">HA_final-PDs!$X$22+MIN(PDs!$X$22+H$896-H889,50)+MAX(S$806:S888*$W$806:$W888,S890:S$895*$W890:$W$895)</f>
        <v>0</v>
      </c>
      <c r="Z889" s="2617">
        <f t="array" ref="Z889">HE_final-PDs!$X$24+MIN(PDs!$X$24+I$896-I889,50)+MAX(T$806:T888*$W$806:$W888,T890:T$895*$W890:$W$895)</f>
        <v>0</v>
      </c>
      <c r="AA889" s="1896">
        <f t="array" ref="AA889">HP_final-PDs!$X$23+MIN(PDs!$X$23+J$896-J889,50)+MAX(T$806:T888*$W$806:$W888,T890:T$895*$W890:$W$895)</f>
        <v>0</v>
      </c>
    </row>
    <row r="890" spans="1:27" ht="12.75" customHeight="1" x14ac:dyDescent="0.2">
      <c r="A890" s="1928">
        <v>890</v>
      </c>
      <c r="B890" s="5108"/>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105"/>
        <v>0</v>
      </c>
      <c r="V890" s="2553">
        <v>50</v>
      </c>
      <c r="W890" s="2553">
        <f>IF(COUNTIF(PDs!$AD$56:$AD$74,Tablas!D890)&gt;0,1,0)</f>
        <v>0</v>
      </c>
      <c r="X890" s="57" t="str">
        <f>IF(OR(NOT(OR($W$808=1,$W$826=1)),NOT(UsodelKi),MAX(AA890,Z890)&lt;200),"NO","-")</f>
        <v>NO</v>
      </c>
      <c r="Y890" s="2695">
        <f t="array" ref="Y890">HA_final-PDs!$X$22+MIN(PDs!$X$22+H$896-H890,50)+MAX(S$806:S889*$W$806:$W889,S891:S$895*$W891:$W$895)</f>
        <v>0</v>
      </c>
      <c r="Z890" s="2617">
        <f t="array" ref="Z890">HE_final-PDs!$X$24+MIN(PDs!$X$24+I$896-I890,50)+MAX(T$806:T889*$W$806:$W889,T891:T$895*$W891:$W$895)</f>
        <v>-20</v>
      </c>
      <c r="AA890" s="1896">
        <f t="array" ref="AA890">HP_final-PDs!$X$23+MIN(PDs!$X$23+J$896-J890,50)+MAX(T$806:T889*$W$806:$W889,T891:T$895*$W891:$W$895)</f>
        <v>-20</v>
      </c>
    </row>
    <row r="891" spans="1:27" ht="12.75" customHeight="1" x14ac:dyDescent="0.2">
      <c r="A891" s="1928">
        <v>891</v>
      </c>
      <c r="B891" s="5108"/>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105"/>
        <v>0</v>
      </c>
      <c r="V891" s="2553">
        <v>50</v>
      </c>
      <c r="W891" s="2553">
        <f>IF(COUNTIF(PDs!$AD$56:$AD$74,Tablas!D891)&gt;0,1,0)</f>
        <v>0</v>
      </c>
      <c r="X891" s="57" t="str">
        <f>IF(OR(NOT(OR($W$809=1,$W$827=1)),MAX(Z891,AA891)&lt;300,$W$890=0),"NO","-")</f>
        <v>NO</v>
      </c>
      <c r="Y891" s="2695">
        <f t="array" ref="Y891">HA_final-PDs!$X$22+MIN(PDs!$X$22+H$896-H891,50)+MAX(S$806:S890*$W$806:$W890,S892:S$895*$W892:$W$895)</f>
        <v>0</v>
      </c>
      <c r="Z891" s="2617">
        <f t="array" ref="Z891">HE_final-PDs!$X$24+MIN(PDs!$X$24+I$896-I891,50)+MAX(T$806:T890*$W$806:$W890,T892:T$895*$W892:$W$895)</f>
        <v>0</v>
      </c>
      <c r="AA891" s="1896">
        <f t="array" ref="AA891">HP_final-PDs!$X$23+MIN(PDs!$X$23+J$896-J891,50)+MAX(T$806:T890*$W$806:$W890,T892:T$895*$W892:$W$895)</f>
        <v>0</v>
      </c>
    </row>
    <row r="892" spans="1:27" ht="12.75" customHeight="1" x14ac:dyDescent="0.2">
      <c r="A892" s="1928">
        <v>892</v>
      </c>
      <c r="B892" s="5108"/>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105"/>
        <v>0</v>
      </c>
      <c r="V892" s="2553">
        <v>50</v>
      </c>
      <c r="W892" s="2553">
        <f>IF(COUNTIF(PDs!$AD$56:$AD$74,Tablas!D892)&gt;0,1,0)</f>
        <v>0</v>
      </c>
      <c r="X892" s="57" t="str">
        <f>IF(OR(Y892&lt;200,$W$856=0,NOT(Extrusióndepresencia)),"NO","-")</f>
        <v>NO</v>
      </c>
      <c r="Y892" s="2695">
        <f t="array" ref="Y892">HA_final-PDs!$X$22+MIN(PDs!$X$22+H$896-H892,50)+MAX(S$806:S891*$W$806:$W891,S893:S$895*$W893:$W$895)</f>
        <v>-10</v>
      </c>
      <c r="Z892" s="2617">
        <f t="array" ref="Z892">HE_final-PDs!$X$24+MIN(PDs!$X$24+I$896-I892,50)+MAX(T$806:T891*$W$806:$W891,T893:T$895*$W893:$W$895)</f>
        <v>0</v>
      </c>
      <c r="AA892" s="1896">
        <f t="array" ref="AA892">HP_final-PDs!$X$23+MIN(PDs!$X$23+J$896-J892,50)+MAX(T$806:T891*$W$806:$W891,T893:T$895*$W893:$W$895)</f>
        <v>0</v>
      </c>
    </row>
    <row r="893" spans="1:27" ht="12.75" customHeight="1" x14ac:dyDescent="0.2">
      <c r="A893" s="1928">
        <v>893</v>
      </c>
      <c r="B893" s="5108"/>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105"/>
        <v>0</v>
      </c>
      <c r="V893" s="2553">
        <v>50</v>
      </c>
      <c r="W893" s="2553">
        <f>IF(COUNTIF(PDs!$AD$56:$AD$74,Tablas!D893)&gt;0,1,0)</f>
        <v>0</v>
      </c>
      <c r="X893" s="57" t="str">
        <f>IF(OR(Y893&lt;300,$W$857=0,$W$892=0,NOT(Inhumanidad)),"NO","-")</f>
        <v>NO</v>
      </c>
      <c r="Y893" s="2695">
        <f t="array" ref="Y893">HA_final-PDs!$X$22+MIN(PDs!$X$22+H$896-H893,50)+MAX(S$806:S892*$W$806:$W892,S894:S$895*$W894:$W$895)</f>
        <v>0</v>
      </c>
      <c r="Z893" s="2617">
        <f t="array" ref="Z893">HE_final-PDs!$X$24+MIN(PDs!$X$24+I$896-I893,50)+MAX(T$806:T892*$W$806:$W892,T894:T$895*$W894:$W$895)</f>
        <v>0</v>
      </c>
      <c r="AA893" s="1896">
        <f t="array" ref="AA893">HP_final-PDs!$X$23+MIN(PDs!$X$23+J$896-J893,50)+MAX(T$806:T892*$W$806:$W892,T894:T$895*$W894:$W$895)</f>
        <v>0</v>
      </c>
    </row>
    <row r="894" spans="1:27" ht="12.75" customHeight="1" x14ac:dyDescent="0.2">
      <c r="A894" s="1928">
        <v>894</v>
      </c>
      <c r="B894" s="5108"/>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105"/>
        <v>0</v>
      </c>
      <c r="V894" s="2553">
        <v>50</v>
      </c>
      <c r="W894" s="2553">
        <f>IF(COUNTIF(PDs!$AD$56:$AD$74,Tablas!D894)&gt;0,1,0)</f>
        <v>0</v>
      </c>
      <c r="X894" s="2553" t="str">
        <f>IF(OR(NOT(OR($W$829=1,$W$856=1)),NOT(Extrusióndepresencia)),"NO","-")</f>
        <v>NO</v>
      </c>
      <c r="Y894" s="2695">
        <f t="array" ref="Y894">HA_final-PDs!$X$22+MIN(PDs!$X$22+H$896-H894,50)+MAX(S$806:S893*$W$806:$W893,S895:S$895*$W895:$W$895)</f>
        <v>0</v>
      </c>
      <c r="Z894" s="2617">
        <f t="array" ref="Z894">HE_final-PDs!$X$24+MIN(PDs!$X$24+I$896-I894,50)+MAX(T$806:T893*$W$806:$W893,T895:T$895*$W895:$W$895)</f>
        <v>-20</v>
      </c>
      <c r="AA894" s="1896">
        <f t="array" ref="AA894">HP_final-PDs!$X$23+MIN(PDs!$X$23+J$896-J894,50)+MAX(T$806:T893*$W$806:$W893,T895:T$895*$W895:$W$895)</f>
        <v>-20</v>
      </c>
    </row>
    <row r="895" spans="1:27" ht="12.75" customHeight="1" thickBot="1" x14ac:dyDescent="0.25">
      <c r="A895" s="1928">
        <v>895</v>
      </c>
      <c r="B895" s="5108"/>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105"/>
        <v>0</v>
      </c>
      <c r="V895" s="2575">
        <v>50</v>
      </c>
      <c r="W895" s="2575">
        <f>IF(COUNTIF(PDs!$AD$56:$AD$74,Tablas!D895)&gt;0,1,0)</f>
        <v>0</v>
      </c>
      <c r="X895" s="2575" t="str">
        <f>IF(OR(NOT(OR($W$830=1,$W$857=1)),Y895&lt;280,$W$894=0),"NO","-")</f>
        <v>NO</v>
      </c>
      <c r="Y895" s="2702">
        <f t="array" ref="Y895">HA_final-PDs!$X$22+MIN(PDs!$X$22+H$896-H895,50)+MAX(S$806:S894*$W$806:$W894)</f>
        <v>0</v>
      </c>
      <c r="Z895" s="2703">
        <f t="array" ref="Z895">HE_final-PDs!$X$24+MIN(PDs!$X$24+I$896-I895,50)+MAX(T$806:T894*$W$806:$W894)</f>
        <v>0</v>
      </c>
      <c r="AA895" s="2253">
        <f t="array" ref="AA895">HP_final-PDs!$X$23+MIN(PDs!$X$23+J$896-J895,50)+MAX(T$806:T894*$W$806:$W894)</f>
        <v>0</v>
      </c>
    </row>
    <row r="896" spans="1:27" ht="12.75" customHeight="1" thickBot="1" x14ac:dyDescent="0.25">
      <c r="A896" s="1928">
        <v>896</v>
      </c>
      <c r="B896" s="5108"/>
      <c r="F896" s="5187">
        <f>SUMPRODUCT($F$807:$F$895,$W$807:$W$895)</f>
        <v>0</v>
      </c>
      <c r="G896" s="5202" t="s">
        <v>1297</v>
      </c>
      <c r="H896" s="520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0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0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94">
        <f>Tablas!$K$862*Tablas!$W$862+Tablas!K811*Tablas!$W$811+Tablas!K810*Tablas!$W$810+Tablas!K812*Tablas!$W$812+Tablas!K867*Tablas!$W$867+Tablas!K866*Tablas!$W$866+Tablas!K875*Tablas!$W$875+Tablas!K874*Tablas!$W$874</f>
        <v>0</v>
      </c>
      <c r="N896" s="363"/>
      <c r="O896" s="2011"/>
      <c r="T896" s="5196" t="s">
        <v>1298</v>
      </c>
      <c r="U896" s="5198">
        <f>+MAX(Tablas!S863*Tablas!W863,Tablas!S865*Tablas!W865,Tablas!S867*Tablas!W867,Tablas!S869*Tablas!W869,Tablas!S871*Tablas!W871,Tablas!S873*Tablas!W873,Tablas!S875*Tablas!W875,Tablas!S877*Tablas!W877,Tablas!S881*Tablas!W881,Tablas!S883*Tablas!W883,Tablas!S889*Tablas!W889,Tablas!S893*Tablas!W893)</f>
        <v>0</v>
      </c>
      <c r="V896" s="5200">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108"/>
      <c r="F897" s="5188"/>
      <c r="G897" s="5203"/>
      <c r="H897" s="5205"/>
      <c r="I897" s="5207"/>
      <c r="J897" s="5205"/>
      <c r="K897" s="5195"/>
      <c r="N897" s="363"/>
      <c r="O897" s="2011"/>
      <c r="T897" s="5197"/>
      <c r="U897" s="5199"/>
      <c r="V897" s="5201"/>
      <c r="W897" s="2371">
        <f>MAX(Tablas!$U$806:$U$895)</f>
        <v>0</v>
      </c>
    </row>
    <row r="898" spans="1:23" ht="12.75" customHeight="1" x14ac:dyDescent="0.2">
      <c r="A898" s="1928">
        <v>898</v>
      </c>
      <c r="B898" s="5108"/>
      <c r="H898" s="363"/>
      <c r="I898" s="1665"/>
      <c r="N898" s="363"/>
      <c r="O898" s="2011"/>
    </row>
    <row r="899" spans="1:23" ht="12.75" customHeight="1" thickBot="1" x14ac:dyDescent="0.25">
      <c r="A899" s="1928">
        <v>899</v>
      </c>
      <c r="B899" s="5108"/>
      <c r="H899" s="363"/>
      <c r="I899" s="1665"/>
      <c r="N899" s="363"/>
      <c r="O899" s="2011"/>
    </row>
    <row r="900" spans="1:23" ht="12.75" customHeight="1" thickBot="1" x14ac:dyDescent="0.25">
      <c r="A900" s="1928">
        <v>900</v>
      </c>
      <c r="B900" s="5108"/>
      <c r="C900" s="5126" t="s">
        <v>8849</v>
      </c>
      <c r="D900" s="5127"/>
      <c r="E900" s="5127"/>
      <c r="F900" s="5127"/>
      <c r="G900" s="5127"/>
      <c r="H900" s="5127"/>
      <c r="I900" s="5127"/>
      <c r="J900" s="5127"/>
      <c r="K900" s="5127"/>
      <c r="L900" s="5127"/>
      <c r="M900" s="5127"/>
      <c r="N900" s="5128"/>
      <c r="P900" s="5219" t="s">
        <v>2983</v>
      </c>
      <c r="Q900" s="5219"/>
      <c r="R900" s="5219"/>
      <c r="S900" s="5219"/>
      <c r="T900" s="5219"/>
      <c r="U900" s="5219"/>
      <c r="V900" s="5219"/>
      <c r="W900" s="5219"/>
    </row>
    <row r="901" spans="1:23" ht="12.75" customHeight="1" x14ac:dyDescent="0.2">
      <c r="A901" s="1928">
        <v>901</v>
      </c>
      <c r="B901" s="5108"/>
      <c r="C901" s="2483"/>
      <c r="D901" s="2405"/>
      <c r="E901" s="2405">
        <v>1</v>
      </c>
      <c r="F901" s="2405">
        <v>2</v>
      </c>
      <c r="G901" s="2405">
        <v>3</v>
      </c>
      <c r="H901" s="2405">
        <v>4</v>
      </c>
      <c r="I901" s="2405">
        <v>5</v>
      </c>
      <c r="J901" s="2405">
        <v>6</v>
      </c>
      <c r="K901" s="2405">
        <v>7</v>
      </c>
      <c r="L901" s="2405">
        <v>8</v>
      </c>
      <c r="M901" s="2405">
        <v>9</v>
      </c>
      <c r="N901" s="2484">
        <v>10</v>
      </c>
      <c r="P901" s="5219"/>
      <c r="Q901" s="5219"/>
      <c r="R901" s="5219"/>
      <c r="S901" s="5219"/>
      <c r="T901" s="5219"/>
      <c r="U901" s="5219"/>
      <c r="V901" s="5219"/>
      <c r="W901" s="5219"/>
    </row>
    <row r="902" spans="1:23" ht="12.75" customHeight="1" thickBot="1" x14ac:dyDescent="0.25">
      <c r="A902" s="1928">
        <v>902</v>
      </c>
      <c r="B902" s="5108"/>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108"/>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108"/>
      <c r="C904" s="2570"/>
      <c r="D904" s="67"/>
      <c r="E904" s="435" t="s">
        <v>1299</v>
      </c>
      <c r="F904" s="195">
        <v>40</v>
      </c>
      <c r="G904" s="195">
        <f>IF(COUNTIF(PDs!$E$75:$E$77,Tablas!E904)&gt;0,1,0)</f>
        <v>0</v>
      </c>
      <c r="H904" s="195" t="str">
        <f>IF(Tablas!W807=0,"NO","-")</f>
        <v>NO</v>
      </c>
      <c r="I904" s="67" t="s">
        <v>8855</v>
      </c>
      <c r="J904" s="67"/>
      <c r="K904" s="2481">
        <f t="shared" ref="K904:K921" si="106">$G904*SUMPRODUCT(H$806:H$895,--ISNUMBER(SEARCH($N904,$D$806:$D$895)),$W$806:$W$895)</f>
        <v>0</v>
      </c>
      <c r="L904" s="2481">
        <f t="shared" ref="L904:L921" si="107">$G904*SUMPRODUCT(I$806:I$895,--ISNUMBER(SEARCH($N904,$D$806:$D$895)),$W$806:$W$895)</f>
        <v>0</v>
      </c>
      <c r="M904" s="2481">
        <f t="shared" ref="M904:M921" si="108">$G904*SUMPRODUCT(J$806:J$895,--ISNUMBER(SEARCH($N904,$D$806:$D$895)),$W$806:$W$895)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108"/>
      <c r="C905" s="2570"/>
      <c r="D905" s="67"/>
      <c r="E905" s="435" t="s">
        <v>1300</v>
      </c>
      <c r="F905" s="195">
        <v>10</v>
      </c>
      <c r="G905" s="195">
        <f>IF(COUNTIF(PDs!$E$75:$E$77,Tablas!E905)&gt;0,1,0)</f>
        <v>0</v>
      </c>
      <c r="H905" s="195" t="str">
        <f>IF(Tablas!W810=0,"NO","-")</f>
        <v>NO</v>
      </c>
      <c r="I905" s="67" t="s">
        <v>8856</v>
      </c>
      <c r="J905" s="67"/>
      <c r="K905" s="2481">
        <f t="shared" si="106"/>
        <v>0</v>
      </c>
      <c r="L905" s="2481">
        <f t="shared" si="107"/>
        <v>0</v>
      </c>
      <c r="M905" s="2481">
        <f t="shared" si="108"/>
        <v>0</v>
      </c>
      <c r="N905" s="2571" t="s">
        <v>8725</v>
      </c>
      <c r="P905" s="65"/>
      <c r="Q905" s="67"/>
      <c r="R905" s="450" t="s">
        <v>2988</v>
      </c>
      <c r="S905" s="305">
        <v>50</v>
      </c>
      <c r="T905" s="19" t="s">
        <v>2989</v>
      </c>
      <c r="U905" s="67"/>
      <c r="V905" s="255"/>
      <c r="W905" s="68"/>
    </row>
    <row r="906" spans="1:23" ht="12.75" customHeight="1" x14ac:dyDescent="0.2">
      <c r="A906" s="1928">
        <v>906</v>
      </c>
      <c r="B906" s="5108"/>
      <c r="C906" s="2570"/>
      <c r="D906" s="67"/>
      <c r="E906" s="435" t="s">
        <v>1301</v>
      </c>
      <c r="F906" s="195">
        <v>30</v>
      </c>
      <c r="G906" s="195">
        <f>IF(COUNTIF(PDs!$E$75:$E$77,Tablas!E906)&gt;0,1,0)</f>
        <v>0</v>
      </c>
      <c r="H906" s="195" t="str">
        <f>IF(Tablas!W813=0,"NO","-")</f>
        <v>NO</v>
      </c>
      <c r="I906" s="67" t="s">
        <v>8857</v>
      </c>
      <c r="J906" s="67"/>
      <c r="K906" s="2481">
        <f t="shared" si="106"/>
        <v>0</v>
      </c>
      <c r="L906" s="2481">
        <f t="shared" si="107"/>
        <v>0</v>
      </c>
      <c r="M906" s="2481">
        <f t="shared" si="108"/>
        <v>0</v>
      </c>
      <c r="N906" s="2571" t="s">
        <v>8726</v>
      </c>
      <c r="P906" s="65"/>
      <c r="Q906" s="67"/>
      <c r="R906" s="450" t="s">
        <v>2990</v>
      </c>
      <c r="S906" s="305">
        <v>40</v>
      </c>
      <c r="T906" s="19" t="s">
        <v>2991</v>
      </c>
      <c r="U906" s="67"/>
      <c r="V906" s="255"/>
      <c r="W906" s="68"/>
    </row>
    <row r="907" spans="1:23" ht="12.75" customHeight="1" x14ac:dyDescent="0.2">
      <c r="A907" s="1928">
        <v>907</v>
      </c>
      <c r="B907" s="5108"/>
      <c r="C907" s="2570"/>
      <c r="D907" s="67"/>
      <c r="E907" s="435" t="s">
        <v>1302</v>
      </c>
      <c r="F907" s="195">
        <v>10</v>
      </c>
      <c r="G907" s="195">
        <f>IF(COUNTIF(PDs!$E$75:$E$77,Tablas!E907)&gt;0,1,0)</f>
        <v>0</v>
      </c>
      <c r="H907" s="195" t="str">
        <f>IF(Tablas!W816=0,"NO","-")</f>
        <v>NO</v>
      </c>
      <c r="I907" s="67" t="s">
        <v>8858</v>
      </c>
      <c r="J907" s="67"/>
      <c r="K907" s="2481">
        <f t="shared" si="106"/>
        <v>0</v>
      </c>
      <c r="L907" s="2481">
        <f t="shared" si="107"/>
        <v>0</v>
      </c>
      <c r="M907" s="2481">
        <f t="shared" si="108"/>
        <v>0</v>
      </c>
      <c r="N907" s="2571" t="s">
        <v>8727</v>
      </c>
      <c r="P907" s="65"/>
      <c r="Q907" s="67"/>
      <c r="R907" s="450" t="s">
        <v>2992</v>
      </c>
      <c r="S907" s="305">
        <v>50</v>
      </c>
      <c r="T907" s="19" t="s">
        <v>1089</v>
      </c>
      <c r="U907" s="67"/>
      <c r="V907" s="255"/>
      <c r="W907" s="68"/>
    </row>
    <row r="908" spans="1:23" ht="12.75" customHeight="1" x14ac:dyDescent="0.2">
      <c r="A908" s="1928">
        <v>908</v>
      </c>
      <c r="B908" s="5108"/>
      <c r="C908" s="2570"/>
      <c r="D908" s="67"/>
      <c r="E908" s="435" t="s">
        <v>1303</v>
      </c>
      <c r="F908" s="195">
        <v>40</v>
      </c>
      <c r="G908" s="195">
        <f>IF(COUNTIF(PDs!$E$75:$E$77,Tablas!E908)&gt;0,1,0)</f>
        <v>0</v>
      </c>
      <c r="H908" s="195" t="str">
        <f>IF(Tablas!W819=0,"NO","-")</f>
        <v>NO</v>
      </c>
      <c r="I908" s="67" t="s">
        <v>8859</v>
      </c>
      <c r="J908" s="67"/>
      <c r="K908" s="2481">
        <f t="shared" si="106"/>
        <v>0</v>
      </c>
      <c r="L908" s="2481">
        <f t="shared" si="107"/>
        <v>0</v>
      </c>
      <c r="M908" s="2481">
        <f t="shared" si="108"/>
        <v>0</v>
      </c>
      <c r="N908" s="2571" t="s">
        <v>8728</v>
      </c>
      <c r="P908" s="65"/>
      <c r="Q908" s="67"/>
      <c r="R908" s="450" t="s">
        <v>1090</v>
      </c>
      <c r="S908" s="305">
        <v>30</v>
      </c>
      <c r="T908" s="19" t="s">
        <v>1091</v>
      </c>
      <c r="U908" s="67"/>
      <c r="V908" s="255"/>
      <c r="W908" s="68"/>
    </row>
    <row r="909" spans="1:23" ht="12.75" customHeight="1" x14ac:dyDescent="0.2">
      <c r="A909" s="1928">
        <v>909</v>
      </c>
      <c r="B909" s="5108"/>
      <c r="C909" s="2570"/>
      <c r="D909" s="67"/>
      <c r="E909" s="435" t="s">
        <v>1304</v>
      </c>
      <c r="F909" s="195">
        <v>10</v>
      </c>
      <c r="G909" s="195">
        <f>IF(COUNTIF(PDs!$E$75:$E$77,Tablas!E909)&gt;0,1,0)</f>
        <v>0</v>
      </c>
      <c r="H909" s="195" t="str">
        <f>IF(Tablas!W822=0,"NO","-")</f>
        <v>NO</v>
      </c>
      <c r="I909" s="67" t="s">
        <v>8860</v>
      </c>
      <c r="J909" s="67"/>
      <c r="K909" s="2481">
        <f t="shared" si="106"/>
        <v>0</v>
      </c>
      <c r="L909" s="2481">
        <f t="shared" si="107"/>
        <v>0</v>
      </c>
      <c r="M909" s="2481">
        <f t="shared" si="108"/>
        <v>0</v>
      </c>
      <c r="N909" s="2571" t="s">
        <v>8729</v>
      </c>
      <c r="P909" s="65"/>
      <c r="Q909" s="67"/>
      <c r="R909" s="450" t="s">
        <v>1092</v>
      </c>
      <c r="S909" s="305">
        <v>40</v>
      </c>
      <c r="T909" s="19" t="s">
        <v>1093</v>
      </c>
      <c r="U909" s="67"/>
      <c r="V909" s="255"/>
      <c r="W909" s="68"/>
    </row>
    <row r="910" spans="1:23" ht="12.75" customHeight="1" x14ac:dyDescent="0.2">
      <c r="A910" s="1928">
        <v>910</v>
      </c>
      <c r="B910" s="5108"/>
      <c r="C910" s="2570"/>
      <c r="D910" s="67"/>
      <c r="E910" s="435" t="s">
        <v>1305</v>
      </c>
      <c r="F910" s="195">
        <v>30</v>
      </c>
      <c r="G910" s="195">
        <f>IF(COUNTIF(PDs!$E$75:$E$77,Tablas!E910)&gt;0,1,0)</f>
        <v>0</v>
      </c>
      <c r="H910" s="195" t="str">
        <f>IF(Tablas!W825=0,"NO","-")</f>
        <v>NO</v>
      </c>
      <c r="I910" s="67" t="s">
        <v>8861</v>
      </c>
      <c r="J910" s="67"/>
      <c r="K910" s="2481">
        <f t="shared" si="106"/>
        <v>0</v>
      </c>
      <c r="L910" s="2481">
        <f t="shared" si="107"/>
        <v>0</v>
      </c>
      <c r="M910" s="2481">
        <f t="shared" si="108"/>
        <v>0</v>
      </c>
      <c r="N910" s="2571" t="s">
        <v>8730</v>
      </c>
      <c r="P910" s="65"/>
      <c r="Q910" s="67"/>
      <c r="R910" s="450" t="s">
        <v>1094</v>
      </c>
      <c r="S910" s="305">
        <v>40</v>
      </c>
      <c r="T910" s="19" t="s">
        <v>1095</v>
      </c>
      <c r="U910" s="67"/>
      <c r="V910" s="255"/>
      <c r="W910" s="68"/>
    </row>
    <row r="911" spans="1:23" ht="12.75" customHeight="1" x14ac:dyDescent="0.2">
      <c r="A911" s="1928">
        <v>911</v>
      </c>
      <c r="B911" s="5108"/>
      <c r="C911" s="2570"/>
      <c r="D911" s="67"/>
      <c r="E911" s="435" t="s">
        <v>1306</v>
      </c>
      <c r="F911" s="195">
        <v>60</v>
      </c>
      <c r="G911" s="195">
        <f>IF(COUNTIF(PDs!$E$75:$E$77,Tablas!E911)&gt;0,1,0)</f>
        <v>0</v>
      </c>
      <c r="H911" s="195" t="str">
        <f>IF(Tablas!W828=0,"NO","-")</f>
        <v>NO</v>
      </c>
      <c r="I911" s="67" t="s">
        <v>8862</v>
      </c>
      <c r="J911" s="67"/>
      <c r="K911" s="2481">
        <f t="shared" si="106"/>
        <v>0</v>
      </c>
      <c r="L911" s="2481">
        <f t="shared" si="107"/>
        <v>0</v>
      </c>
      <c r="M911" s="2481">
        <f t="shared" si="108"/>
        <v>0</v>
      </c>
      <c r="N911" s="2571" t="s">
        <v>8731</v>
      </c>
      <c r="P911" s="65"/>
      <c r="Q911" s="67"/>
      <c r="R911" s="450" t="s">
        <v>1096</v>
      </c>
      <c r="S911" s="305">
        <v>40</v>
      </c>
      <c r="T911" s="19" t="s">
        <v>1097</v>
      </c>
      <c r="U911" s="67"/>
      <c r="V911" s="255"/>
      <c r="W911" s="68"/>
    </row>
    <row r="912" spans="1:23" ht="12.75" customHeight="1" x14ac:dyDescent="0.2">
      <c r="A912" s="1928">
        <v>912</v>
      </c>
      <c r="B912" s="5108"/>
      <c r="C912" s="2570"/>
      <c r="D912" s="67"/>
      <c r="E912" s="435" t="s">
        <v>1307</v>
      </c>
      <c r="F912" s="195">
        <v>10</v>
      </c>
      <c r="G912" s="195">
        <f>IF(COUNTIF(PDs!$E$75:$E$77,Tablas!E912)&gt;0,1,0)</f>
        <v>0</v>
      </c>
      <c r="H912" s="195" t="str">
        <f>IF(Tablas!W831=0,"NO","-")</f>
        <v>NO</v>
      </c>
      <c r="I912" s="67" t="s">
        <v>8863</v>
      </c>
      <c r="J912" s="67"/>
      <c r="K912" s="2481">
        <f t="shared" si="106"/>
        <v>0</v>
      </c>
      <c r="L912" s="2481">
        <f t="shared" si="107"/>
        <v>0</v>
      </c>
      <c r="M912" s="2481">
        <f t="shared" si="108"/>
        <v>0</v>
      </c>
      <c r="N912" s="2571" t="s">
        <v>8732</v>
      </c>
      <c r="P912" s="65"/>
      <c r="Q912" s="67"/>
      <c r="R912" s="450" t="s">
        <v>1098</v>
      </c>
      <c r="S912" s="305">
        <v>50</v>
      </c>
      <c r="T912" s="19" t="s">
        <v>1099</v>
      </c>
      <c r="U912" s="67"/>
      <c r="V912" s="255"/>
      <c r="W912" s="68"/>
    </row>
    <row r="913" spans="1:23" ht="12.75" customHeight="1" x14ac:dyDescent="0.2">
      <c r="A913" s="1928">
        <v>913</v>
      </c>
      <c r="B913" s="5108"/>
      <c r="C913" s="2570"/>
      <c r="D913" s="67"/>
      <c r="E913" s="435" t="s">
        <v>1308</v>
      </c>
      <c r="F913" s="195">
        <v>20</v>
      </c>
      <c r="G913" s="195">
        <f>IF(COUNTIF(PDs!$E$75:$E$77,Tablas!E913)&gt;0,1,0)</f>
        <v>0</v>
      </c>
      <c r="H913" s="195" t="str">
        <f>IF(Tablas!W834=0,"NO","-")</f>
        <v>NO</v>
      </c>
      <c r="I913" s="67" t="s">
        <v>8864</v>
      </c>
      <c r="J913" s="67"/>
      <c r="K913" s="2481">
        <f t="shared" si="106"/>
        <v>0</v>
      </c>
      <c r="L913" s="2481">
        <f t="shared" si="107"/>
        <v>0</v>
      </c>
      <c r="M913" s="2481">
        <f t="shared" si="108"/>
        <v>0</v>
      </c>
      <c r="N913" s="2571" t="s">
        <v>8733</v>
      </c>
      <c r="P913" s="65"/>
      <c r="Q913" s="67"/>
      <c r="R913" s="450" t="s">
        <v>1100</v>
      </c>
      <c r="S913" s="305">
        <v>40</v>
      </c>
      <c r="T913" s="19" t="s">
        <v>1101</v>
      </c>
      <c r="U913" s="67"/>
      <c r="V913" s="255"/>
      <c r="W913" s="68"/>
    </row>
    <row r="914" spans="1:23" ht="12.75" customHeight="1" x14ac:dyDescent="0.2">
      <c r="A914" s="1928">
        <v>914</v>
      </c>
      <c r="B914" s="5108"/>
      <c r="C914" s="2570"/>
      <c r="D914" s="67"/>
      <c r="E914" s="435" t="s">
        <v>1309</v>
      </c>
      <c r="F914" s="195">
        <v>20</v>
      </c>
      <c r="G914" s="195">
        <f>IF(COUNTIF(PDs!$E$75:$E$77,Tablas!E914)&gt;0,1,0)</f>
        <v>0</v>
      </c>
      <c r="H914" s="195" t="str">
        <f>IF(Tablas!W837=0,"NO","-")</f>
        <v>NO</v>
      </c>
      <c r="I914" s="67" t="s">
        <v>8865</v>
      </c>
      <c r="J914" s="67"/>
      <c r="K914" s="2481">
        <f t="shared" si="106"/>
        <v>0</v>
      </c>
      <c r="L914" s="2481">
        <f t="shared" si="107"/>
        <v>0</v>
      </c>
      <c r="M914" s="2481">
        <f t="shared" si="108"/>
        <v>0</v>
      </c>
      <c r="N914" s="2571" t="s">
        <v>8734</v>
      </c>
      <c r="P914" s="65"/>
      <c r="Q914" s="67"/>
      <c r="R914" s="450" t="s">
        <v>1102</v>
      </c>
      <c r="S914" s="305">
        <v>40</v>
      </c>
      <c r="T914" s="19" t="s">
        <v>1103</v>
      </c>
      <c r="U914" s="67"/>
      <c r="V914" s="255"/>
      <c r="W914" s="68"/>
    </row>
    <row r="915" spans="1:23" ht="12.75" customHeight="1" x14ac:dyDescent="0.2">
      <c r="A915" s="1928">
        <v>915</v>
      </c>
      <c r="B915" s="5108"/>
      <c r="C915" s="2570"/>
      <c r="D915" s="67"/>
      <c r="E915" s="435" t="s">
        <v>1310</v>
      </c>
      <c r="F915" s="195">
        <v>20</v>
      </c>
      <c r="G915" s="195">
        <f>IF(COUNTIF(PDs!$E$75:$E$77,Tablas!E915)&gt;0,1,0)</f>
        <v>0</v>
      </c>
      <c r="H915" s="195" t="str">
        <f>IF(Tablas!W840=0,"NO","-")</f>
        <v>NO</v>
      </c>
      <c r="I915" s="67" t="s">
        <v>8866</v>
      </c>
      <c r="J915" s="67"/>
      <c r="K915" s="2481">
        <f t="shared" si="106"/>
        <v>0</v>
      </c>
      <c r="L915" s="2481">
        <f t="shared" si="107"/>
        <v>0</v>
      </c>
      <c r="M915" s="2481">
        <f t="shared" si="108"/>
        <v>0</v>
      </c>
      <c r="N915" s="2571" t="s">
        <v>8735</v>
      </c>
      <c r="P915" s="65"/>
      <c r="Q915" s="67"/>
      <c r="R915" s="450" t="s">
        <v>1104</v>
      </c>
      <c r="S915" s="305">
        <v>40</v>
      </c>
      <c r="T915" s="19" t="s">
        <v>1105</v>
      </c>
      <c r="U915" s="67"/>
      <c r="V915" s="255"/>
      <c r="W915" s="68"/>
    </row>
    <row r="916" spans="1:23" ht="12.75" customHeight="1" x14ac:dyDescent="0.2">
      <c r="A916" s="1928">
        <v>916</v>
      </c>
      <c r="B916" s="5108"/>
      <c r="C916" s="2570"/>
      <c r="D916" s="67"/>
      <c r="E916" s="435" t="s">
        <v>1311</v>
      </c>
      <c r="F916" s="195">
        <v>30</v>
      </c>
      <c r="G916" s="195">
        <f>IF(COUNTIF(PDs!$E$75:$E$77,Tablas!E916)&gt;0,1,0)</f>
        <v>0</v>
      </c>
      <c r="H916" s="195" t="str">
        <f>IF(Tablas!W843=0,"NO","-")</f>
        <v>NO</v>
      </c>
      <c r="I916" s="67" t="s">
        <v>8867</v>
      </c>
      <c r="J916" s="67"/>
      <c r="K916" s="2481">
        <f t="shared" si="106"/>
        <v>0</v>
      </c>
      <c r="L916" s="2481">
        <f t="shared" si="107"/>
        <v>0</v>
      </c>
      <c r="M916" s="2481">
        <f t="shared" si="108"/>
        <v>0</v>
      </c>
      <c r="N916" s="2571" t="s">
        <v>8736</v>
      </c>
      <c r="P916" s="65"/>
      <c r="Q916" s="67"/>
      <c r="R916" s="450" t="s">
        <v>1106</v>
      </c>
      <c r="S916" s="305">
        <v>20</v>
      </c>
      <c r="T916" s="19" t="s">
        <v>1107</v>
      </c>
      <c r="U916" s="67"/>
      <c r="V916" s="255"/>
      <c r="W916" s="68"/>
    </row>
    <row r="917" spans="1:23" ht="12.75" customHeight="1" x14ac:dyDescent="0.2">
      <c r="A917" s="1928">
        <v>917</v>
      </c>
      <c r="B917" s="5108"/>
      <c r="C917" s="2570"/>
      <c r="D917" s="67"/>
      <c r="E917" s="435" t="s">
        <v>1312</v>
      </c>
      <c r="F917" s="195">
        <v>20</v>
      </c>
      <c r="G917" s="195">
        <f>IF(COUNTIF(PDs!$E$75:$E$77,Tablas!E917)&gt;0,1,0)</f>
        <v>0</v>
      </c>
      <c r="H917" s="195" t="str">
        <f>IF(Tablas!W846=0,"NO","-")</f>
        <v>NO</v>
      </c>
      <c r="I917" s="67" t="s">
        <v>8868</v>
      </c>
      <c r="J917" s="67"/>
      <c r="K917" s="2481">
        <f t="shared" si="106"/>
        <v>0</v>
      </c>
      <c r="L917" s="2481">
        <f t="shared" si="107"/>
        <v>0</v>
      </c>
      <c r="M917" s="2481">
        <f t="shared" si="108"/>
        <v>0</v>
      </c>
      <c r="N917" s="2571" t="s">
        <v>8737</v>
      </c>
      <c r="P917" s="65"/>
      <c r="Q917" s="67"/>
      <c r="R917" s="450" t="s">
        <v>1108</v>
      </c>
      <c r="S917" s="305">
        <v>30</v>
      </c>
      <c r="T917" s="19" t="s">
        <v>1109</v>
      </c>
      <c r="U917" s="67"/>
      <c r="V917" s="255"/>
      <c r="W917" s="68"/>
    </row>
    <row r="918" spans="1:23" ht="12.75" customHeight="1" x14ac:dyDescent="0.2">
      <c r="A918" s="1928">
        <v>918</v>
      </c>
      <c r="B918" s="5108"/>
      <c r="C918" s="2570"/>
      <c r="D918" s="67"/>
      <c r="E918" s="435" t="s">
        <v>1313</v>
      </c>
      <c r="F918" s="195">
        <v>10</v>
      </c>
      <c r="G918" s="195">
        <f>IF(COUNTIF(PDs!$E$75:$E$77,Tablas!E918)&gt;0,1,0)</f>
        <v>0</v>
      </c>
      <c r="H918" s="195" t="str">
        <f>IF(Tablas!W849=0,"NO","-")</f>
        <v>NO</v>
      </c>
      <c r="I918" s="67" t="s">
        <v>8869</v>
      </c>
      <c r="J918" s="67"/>
      <c r="K918" s="2481">
        <f t="shared" si="106"/>
        <v>0</v>
      </c>
      <c r="L918" s="2481">
        <f t="shared" si="107"/>
        <v>0</v>
      </c>
      <c r="M918" s="2481">
        <f t="shared" si="108"/>
        <v>0</v>
      </c>
      <c r="N918" s="2571" t="s">
        <v>8738</v>
      </c>
      <c r="P918" s="65"/>
      <c r="Q918" s="67"/>
      <c r="R918" s="450" t="s">
        <v>1110</v>
      </c>
      <c r="S918" s="305">
        <v>20</v>
      </c>
      <c r="T918" s="19" t="s">
        <v>1111</v>
      </c>
      <c r="U918" s="67"/>
      <c r="V918" s="255"/>
      <c r="W918" s="68"/>
    </row>
    <row r="919" spans="1:23" ht="12.75" customHeight="1" x14ac:dyDescent="0.2">
      <c r="A919" s="1928">
        <v>919</v>
      </c>
      <c r="B919" s="5108"/>
      <c r="C919" s="2570"/>
      <c r="D919" s="67"/>
      <c r="E919" s="435" t="s">
        <v>1314</v>
      </c>
      <c r="F919" s="195">
        <v>40</v>
      </c>
      <c r="G919" s="195">
        <f>IF(COUNTIF(PDs!$E$75:$E$77,Tablas!E919)&gt;0,1,0)</f>
        <v>0</v>
      </c>
      <c r="H919" s="195" t="str">
        <f>IF(Tablas!W852=0,"NO","-")</f>
        <v>NO</v>
      </c>
      <c r="I919" s="67" t="s">
        <v>8870</v>
      </c>
      <c r="J919" s="67"/>
      <c r="K919" s="2481">
        <f t="shared" si="106"/>
        <v>0</v>
      </c>
      <c r="L919" s="2481">
        <f t="shared" si="107"/>
        <v>0</v>
      </c>
      <c r="M919" s="2481">
        <f t="shared" si="108"/>
        <v>0</v>
      </c>
      <c r="N919" s="2571" t="s">
        <v>8739</v>
      </c>
      <c r="P919" s="65"/>
      <c r="Q919" s="67"/>
      <c r="R919" s="450" t="s">
        <v>1112</v>
      </c>
      <c r="S919" s="305">
        <v>20</v>
      </c>
      <c r="T919" s="19" t="s">
        <v>1113</v>
      </c>
      <c r="U919" s="67"/>
      <c r="V919" s="255"/>
      <c r="W919" s="68"/>
    </row>
    <row r="920" spans="1:23" ht="12.75" customHeight="1" x14ac:dyDescent="0.2">
      <c r="A920" s="1928">
        <v>920</v>
      </c>
      <c r="B920" s="5108"/>
      <c r="C920" s="2570"/>
      <c r="D920" s="67"/>
      <c r="E920" s="435" t="s">
        <v>1315</v>
      </c>
      <c r="F920" s="195">
        <v>30</v>
      </c>
      <c r="G920" s="195">
        <f>IF(COUNTIF(PDs!$E$75:$E$77,Tablas!E920)&gt;0,1,0)</f>
        <v>0</v>
      </c>
      <c r="H920" s="195" t="str">
        <f>IF(Tablas!W855=0,"NO","-")</f>
        <v>NO</v>
      </c>
      <c r="I920" s="67" t="s">
        <v>8871</v>
      </c>
      <c r="J920" s="67"/>
      <c r="K920" s="2481">
        <f t="shared" si="106"/>
        <v>0</v>
      </c>
      <c r="L920" s="2481">
        <f t="shared" si="107"/>
        <v>0</v>
      </c>
      <c r="M920" s="2481">
        <f t="shared" si="108"/>
        <v>0</v>
      </c>
      <c r="N920" s="2571" t="s">
        <v>8740</v>
      </c>
      <c r="P920" s="65"/>
      <c r="Q920" s="67"/>
      <c r="R920" s="450" t="s">
        <v>1114</v>
      </c>
      <c r="S920" s="305">
        <v>40</v>
      </c>
      <c r="T920" s="19" t="s">
        <v>1115</v>
      </c>
      <c r="U920" s="67"/>
      <c r="V920" s="255"/>
      <c r="W920" s="68"/>
    </row>
    <row r="921" spans="1:23" ht="12.75" customHeight="1" x14ac:dyDescent="0.2">
      <c r="A921" s="1928">
        <v>921</v>
      </c>
      <c r="B921" s="5108"/>
      <c r="C921" s="2570"/>
      <c r="D921" s="67"/>
      <c r="E921" s="435" t="s">
        <v>1316</v>
      </c>
      <c r="F921" s="195">
        <v>40</v>
      </c>
      <c r="G921" s="195">
        <f>IF(COUNTIF(PDs!$E$75:$E$77,Tablas!E921)&gt;0,1,0)</f>
        <v>0</v>
      </c>
      <c r="H921" s="195" t="str">
        <f>IF(Tablas!W858=0,"NO","-")</f>
        <v>NO</v>
      </c>
      <c r="I921" s="67" t="s">
        <v>8872</v>
      </c>
      <c r="J921" s="67"/>
      <c r="K921" s="2481">
        <f t="shared" si="106"/>
        <v>0</v>
      </c>
      <c r="L921" s="2481">
        <f t="shared" si="107"/>
        <v>0</v>
      </c>
      <c r="M921" s="2481">
        <f t="shared" si="108"/>
        <v>0</v>
      </c>
      <c r="N921" s="2571" t="s">
        <v>8741</v>
      </c>
      <c r="P921" s="65"/>
      <c r="Q921" s="67"/>
      <c r="R921" s="450" t="s">
        <v>1116</v>
      </c>
      <c r="S921" s="305">
        <v>30</v>
      </c>
      <c r="T921" s="19" t="s">
        <v>1117</v>
      </c>
      <c r="U921" s="67"/>
      <c r="V921" s="255"/>
      <c r="W921" s="68"/>
    </row>
    <row r="922" spans="1:23" ht="12.75" customHeight="1" x14ac:dyDescent="0.2">
      <c r="A922" s="1928">
        <v>922</v>
      </c>
      <c r="B922" s="5108"/>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108"/>
      <c r="C923" s="2570"/>
      <c r="D923" s="67"/>
      <c r="E923" s="435" t="s">
        <v>1317</v>
      </c>
      <c r="F923" s="195">
        <v>40</v>
      </c>
      <c r="G923" s="195">
        <f>IF(COUNTIF(PDs!$E$75:$E$77,Tablas!E923)&gt;0,1,0)</f>
        <v>0</v>
      </c>
      <c r="H923" s="195" t="str">
        <f>IF(Tablas!W866=0,"NO","-")</f>
        <v>NO</v>
      </c>
      <c r="I923" s="67" t="s">
        <v>8873</v>
      </c>
      <c r="J923" s="67"/>
      <c r="K923" s="2481">
        <f t="shared" ref="K923:K933" si="109">$G923*SUMPRODUCT(H$806:H$895,--ISNUMBER(SEARCH($N923,$D$806:$D$895)),$W$806:$W$895)</f>
        <v>0</v>
      </c>
      <c r="L923" s="2481">
        <f t="shared" ref="L923:L933" si="110">$G923*SUMPRODUCT(I$806:I$895,--ISNUMBER(SEARCH($N923,$D$806:$D$895)),$W$806:$W$895)</f>
        <v>0</v>
      </c>
      <c r="M923" s="2481">
        <f t="shared" ref="M923:M933" si="111">$G923*SUMPRODUCT(J$806:J$895,--ISNUMBER(SEARCH($N923,$D$806:$D$895)),$W$806:$W$895)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108"/>
      <c r="C924" s="2570"/>
      <c r="D924" s="67"/>
      <c r="E924" s="435" t="s">
        <v>1318</v>
      </c>
      <c r="F924" s="195">
        <v>10</v>
      </c>
      <c r="G924" s="195">
        <f>IF(COUNTIF(PDs!$E$75:$E$77,Tablas!E924)&gt;0,1,0)</f>
        <v>0</v>
      </c>
      <c r="H924" s="195" t="str">
        <f>IF(Tablas!W868=0,"NO","-")</f>
        <v>NO</v>
      </c>
      <c r="I924" s="67" t="s">
        <v>8874</v>
      </c>
      <c r="J924" s="67"/>
      <c r="K924" s="2481">
        <f t="shared" si="109"/>
        <v>0</v>
      </c>
      <c r="L924" s="2481">
        <f t="shared" si="110"/>
        <v>0</v>
      </c>
      <c r="M924" s="2481">
        <f t="shared" si="111"/>
        <v>0</v>
      </c>
      <c r="N924" s="2571" t="s">
        <v>8745</v>
      </c>
      <c r="P924" s="178"/>
      <c r="Q924" s="179"/>
      <c r="R924" s="451" t="s">
        <v>1122</v>
      </c>
      <c r="S924" s="384">
        <v>10</v>
      </c>
      <c r="T924" s="41" t="s">
        <v>1123</v>
      </c>
      <c r="U924" s="179"/>
      <c r="V924" s="1766"/>
      <c r="W924" s="180"/>
    </row>
    <row r="925" spans="1:23" ht="12.75" customHeight="1" x14ac:dyDescent="0.2">
      <c r="A925" s="1928">
        <v>925</v>
      </c>
      <c r="B925" s="5108"/>
      <c r="C925" s="2570"/>
      <c r="D925" s="67"/>
      <c r="E925" s="435" t="s">
        <v>1319</v>
      </c>
      <c r="F925" s="195">
        <v>20</v>
      </c>
      <c r="G925" s="195">
        <f>IF(COUNTIF(PDs!$E$75:$E$77,Tablas!E925)&gt;0,1,0)</f>
        <v>0</v>
      </c>
      <c r="H925" s="195" t="str">
        <f>IF(Tablas!W874=0,"NO","-")</f>
        <v>NO</v>
      </c>
      <c r="I925" s="67" t="s">
        <v>8875</v>
      </c>
      <c r="J925" s="67"/>
      <c r="K925" s="2481">
        <f t="shared" si="109"/>
        <v>0</v>
      </c>
      <c r="L925" s="2481">
        <f t="shared" si="110"/>
        <v>0</v>
      </c>
      <c r="M925" s="2481">
        <f t="shared" si="111"/>
        <v>0</v>
      </c>
      <c r="N925" s="2571" t="s">
        <v>8748</v>
      </c>
    </row>
    <row r="926" spans="1:23" ht="12.75" customHeight="1" x14ac:dyDescent="0.2">
      <c r="A926" s="1928">
        <v>926</v>
      </c>
      <c r="B926" s="5108"/>
      <c r="C926" s="2570"/>
      <c r="D926" s="67"/>
      <c r="E926" s="435" t="s">
        <v>1320</v>
      </c>
      <c r="F926" s="195">
        <v>20</v>
      </c>
      <c r="G926" s="195">
        <f>IF(COUNTIF(PDs!$E$75:$E$77,Tablas!E926)&gt;0,1,0)</f>
        <v>0</v>
      </c>
      <c r="H926" s="195" t="str">
        <f>IF(Tablas!W876=0,"NO","-")</f>
        <v>NO</v>
      </c>
      <c r="I926" s="67" t="s">
        <v>8876</v>
      </c>
      <c r="J926" s="67"/>
      <c r="K926" s="2481">
        <f t="shared" si="109"/>
        <v>0</v>
      </c>
      <c r="L926" s="2481">
        <f t="shared" si="110"/>
        <v>0</v>
      </c>
      <c r="M926" s="2481">
        <f t="shared" si="111"/>
        <v>0</v>
      </c>
      <c r="N926" s="2571" t="s">
        <v>8749</v>
      </c>
    </row>
    <row r="927" spans="1:23" ht="12.75" customHeight="1" x14ac:dyDescent="0.2">
      <c r="A927" s="1928">
        <v>927</v>
      </c>
      <c r="B927" s="5108"/>
      <c r="C927" s="2570"/>
      <c r="D927" s="67"/>
      <c r="E927" s="435" t="s">
        <v>1321</v>
      </c>
      <c r="F927" s="195">
        <v>20</v>
      </c>
      <c r="G927" s="195">
        <f>IF(COUNTIF(PDs!$E$75:$E$77,Tablas!E927)&gt;0,1,0)</f>
        <v>0</v>
      </c>
      <c r="H927" s="195" t="str">
        <f>IF(Tablas!W880=0,"NO","-")</f>
        <v>NO</v>
      </c>
      <c r="I927" s="67" t="s">
        <v>8877</v>
      </c>
      <c r="J927" s="67"/>
      <c r="K927" s="2481">
        <f t="shared" si="109"/>
        <v>0</v>
      </c>
      <c r="L927" s="2481">
        <f t="shared" si="110"/>
        <v>0</v>
      </c>
      <c r="M927" s="2481">
        <f t="shared" si="111"/>
        <v>0</v>
      </c>
      <c r="N927" s="2571" t="s">
        <v>8751</v>
      </c>
    </row>
    <row r="928" spans="1:23" ht="12.75" customHeight="1" x14ac:dyDescent="0.2">
      <c r="A928" s="1928">
        <v>928</v>
      </c>
      <c r="B928" s="5108"/>
      <c r="C928" s="2570"/>
      <c r="D928" s="67"/>
      <c r="E928" s="435" t="s">
        <v>1322</v>
      </c>
      <c r="F928" s="195">
        <v>10</v>
      </c>
      <c r="G928" s="195">
        <f>IF(COUNTIF(PDs!$E$75:$E$77,Tablas!E928)&gt;0,1,0)</f>
        <v>0</v>
      </c>
      <c r="H928" s="195" t="str">
        <f>IF(Tablas!W882=0,"NO","-")</f>
        <v>NO</v>
      </c>
      <c r="I928" s="67" t="s">
        <v>8878</v>
      </c>
      <c r="J928" s="67"/>
      <c r="K928" s="2481">
        <f t="shared" si="109"/>
        <v>0</v>
      </c>
      <c r="L928" s="2481">
        <f t="shared" si="110"/>
        <v>0</v>
      </c>
      <c r="M928" s="2481">
        <f t="shared" si="111"/>
        <v>0</v>
      </c>
      <c r="N928" s="2571" t="s">
        <v>8752</v>
      </c>
    </row>
    <row r="929" spans="1:18" ht="12.75" customHeight="1" x14ac:dyDescent="0.2">
      <c r="A929" s="1928">
        <v>929</v>
      </c>
      <c r="B929" s="5108"/>
      <c r="C929" s="2570"/>
      <c r="D929" s="67"/>
      <c r="E929" s="435" t="s">
        <v>1323</v>
      </c>
      <c r="F929" s="195">
        <v>40</v>
      </c>
      <c r="G929" s="195">
        <f>IF(COUNTIF(PDs!$E$75:$E$77,Tablas!E929)&gt;0,1,0)</f>
        <v>0</v>
      </c>
      <c r="H929" s="195" t="str">
        <f>IF(Tablas!W884=0,"NO","-")</f>
        <v>NO</v>
      </c>
      <c r="I929" s="67" t="s">
        <v>8879</v>
      </c>
      <c r="J929" s="67"/>
      <c r="K929" s="2481">
        <f t="shared" si="109"/>
        <v>0</v>
      </c>
      <c r="L929" s="2481">
        <f t="shared" si="110"/>
        <v>0</v>
      </c>
      <c r="M929" s="2481">
        <f t="shared" si="111"/>
        <v>0</v>
      </c>
      <c r="N929" s="2571" t="s">
        <v>8753</v>
      </c>
    </row>
    <row r="930" spans="1:18" ht="12.75" customHeight="1" x14ac:dyDescent="0.2">
      <c r="A930" s="1928">
        <v>930</v>
      </c>
      <c r="B930" s="5108"/>
      <c r="C930" s="2570"/>
      <c r="D930" s="67"/>
      <c r="E930" s="435" t="s">
        <v>1324</v>
      </c>
      <c r="F930" s="195">
        <v>40</v>
      </c>
      <c r="G930" s="195">
        <f>IF(COUNTIF(PDs!$E$75:$E$77,Tablas!E930)&gt;0,1,0)</f>
        <v>0</v>
      </c>
      <c r="H930" s="195" t="str">
        <f>IF(Tablas!W886=0,"NO","-")</f>
        <v>NO</v>
      </c>
      <c r="I930" s="67" t="s">
        <v>8880</v>
      </c>
      <c r="J930" s="67"/>
      <c r="K930" s="2481">
        <f t="shared" si="109"/>
        <v>0</v>
      </c>
      <c r="L930" s="2481">
        <f t="shared" si="110"/>
        <v>0</v>
      </c>
      <c r="M930" s="2481">
        <f t="shared" si="111"/>
        <v>0</v>
      </c>
      <c r="N930" s="2571" t="s">
        <v>8754</v>
      </c>
    </row>
    <row r="931" spans="1:18" ht="12.75" customHeight="1" x14ac:dyDescent="0.2">
      <c r="A931" s="1928">
        <v>931</v>
      </c>
      <c r="B931" s="5108"/>
      <c r="C931" s="2570"/>
      <c r="D931" s="67"/>
      <c r="E931" s="435" t="s">
        <v>1325</v>
      </c>
      <c r="F931" s="195">
        <v>30</v>
      </c>
      <c r="G931" s="195">
        <f>IF(COUNTIF(PDs!$E$75:$E$77,Tablas!E931)&gt;0,1,0)</f>
        <v>0</v>
      </c>
      <c r="H931" s="195" t="str">
        <f>IF(Tablas!W888=0,"NO","-")</f>
        <v>NO</v>
      </c>
      <c r="I931" s="67" t="s">
        <v>8881</v>
      </c>
      <c r="J931" s="67"/>
      <c r="K931" s="2481">
        <f t="shared" si="109"/>
        <v>0</v>
      </c>
      <c r="L931" s="2481">
        <f t="shared" si="110"/>
        <v>0</v>
      </c>
      <c r="M931" s="2481">
        <f t="shared" si="111"/>
        <v>0</v>
      </c>
      <c r="N931" s="2571" t="s">
        <v>8755</v>
      </c>
    </row>
    <row r="932" spans="1:18" ht="12.75" customHeight="1" x14ac:dyDescent="0.2">
      <c r="A932" s="1928">
        <v>932</v>
      </c>
      <c r="B932" s="5108"/>
      <c r="C932" s="2570"/>
      <c r="D932" s="67"/>
      <c r="E932" s="435" t="s">
        <v>1326</v>
      </c>
      <c r="F932" s="195">
        <v>20</v>
      </c>
      <c r="G932" s="195">
        <f>IF(COUNTIF(PDs!$E$75:$E$77,Tablas!E932)&gt;0,1,0)</f>
        <v>0</v>
      </c>
      <c r="H932" s="195" t="str">
        <f>IF(Tablas!W890=0,"NO","-")</f>
        <v>NO</v>
      </c>
      <c r="I932" s="67" t="s">
        <v>8882</v>
      </c>
      <c r="J932" s="67"/>
      <c r="K932" s="2481">
        <f t="shared" si="109"/>
        <v>0</v>
      </c>
      <c r="L932" s="2481">
        <f t="shared" si="110"/>
        <v>0</v>
      </c>
      <c r="M932" s="2481">
        <f t="shared" si="111"/>
        <v>0</v>
      </c>
      <c r="N932" s="2571" t="s">
        <v>8756</v>
      </c>
    </row>
    <row r="933" spans="1:18" ht="12.75" customHeight="1" thickBot="1" x14ac:dyDescent="0.25">
      <c r="A933" s="1928">
        <v>933</v>
      </c>
      <c r="B933" s="5108"/>
      <c r="C933" s="2572"/>
      <c r="D933" s="1705"/>
      <c r="E933" s="2573" t="s">
        <v>1327</v>
      </c>
      <c r="F933" s="2574">
        <v>20</v>
      </c>
      <c r="G933" s="2574">
        <f>IF(COUNTIF(PDs!$E$75:$E$77,Tablas!E933)&gt;0,1,0)</f>
        <v>0</v>
      </c>
      <c r="H933" s="2574" t="str">
        <f>IF(Tablas!W892=0,"NO","-")</f>
        <v>NO</v>
      </c>
      <c r="I933" s="1705" t="s">
        <v>8883</v>
      </c>
      <c r="J933" s="1705"/>
      <c r="K933" s="2575">
        <f t="shared" si="109"/>
        <v>0</v>
      </c>
      <c r="L933" s="2575">
        <f t="shared" si="110"/>
        <v>0</v>
      </c>
      <c r="M933" s="2575">
        <f t="shared" si="111"/>
        <v>0</v>
      </c>
      <c r="N933" s="2576" t="s">
        <v>8757</v>
      </c>
    </row>
    <row r="934" spans="1:18" ht="12.75" customHeight="1" x14ac:dyDescent="0.2">
      <c r="A934" s="1928">
        <v>934</v>
      </c>
      <c r="B934" s="5108"/>
      <c r="H934" s="363"/>
      <c r="N934" s="363"/>
    </row>
    <row r="935" spans="1:18" ht="12.75" customHeight="1" x14ac:dyDescent="0.2">
      <c r="A935" s="1928">
        <v>935</v>
      </c>
      <c r="B935" s="5108"/>
      <c r="H935" s="363"/>
      <c r="N935" s="363"/>
    </row>
    <row r="936" spans="1:18" ht="12.75" customHeight="1" x14ac:dyDescent="0.2">
      <c r="A936" s="1928">
        <v>936</v>
      </c>
      <c r="B936" s="5108"/>
      <c r="H936" s="363"/>
      <c r="N936" s="363"/>
    </row>
    <row r="937" spans="1:18" ht="12.75" customHeight="1" thickBot="1" x14ac:dyDescent="0.25">
      <c r="A937" s="1928">
        <v>937</v>
      </c>
      <c r="B937" s="5108"/>
      <c r="H937" s="363"/>
      <c r="N937" s="363"/>
    </row>
    <row r="938" spans="1:18" ht="12.75" customHeight="1" thickBot="1" x14ac:dyDescent="0.25">
      <c r="A938" s="1928">
        <v>938</v>
      </c>
      <c r="B938" s="5108"/>
      <c r="C938" s="5246" t="s">
        <v>1328</v>
      </c>
      <c r="D938" s="5246"/>
      <c r="E938" s="5246"/>
      <c r="F938" s="5246"/>
      <c r="G938" s="5246"/>
      <c r="H938" s="5246"/>
      <c r="I938" s="5246"/>
      <c r="J938" s="5246"/>
      <c r="K938" s="5246"/>
      <c r="L938" s="5246"/>
      <c r="M938" s="5246"/>
      <c r="N938" s="5246"/>
      <c r="O938" s="5246"/>
      <c r="P938" s="5246"/>
      <c r="Q938" s="5246"/>
      <c r="R938" s="5246"/>
    </row>
    <row r="939" spans="1:18" ht="12.75" customHeight="1" x14ac:dyDescent="0.2">
      <c r="A939" s="1928">
        <v>939</v>
      </c>
      <c r="B939" s="5108"/>
      <c r="C939" s="5246"/>
      <c r="D939" s="5246"/>
      <c r="E939" s="5246"/>
      <c r="F939" s="5246"/>
      <c r="G939" s="5246"/>
      <c r="H939" s="5246"/>
      <c r="I939" s="5246"/>
      <c r="J939" s="5246"/>
      <c r="K939" s="5246"/>
      <c r="L939" s="5246"/>
      <c r="M939" s="5246"/>
      <c r="N939" s="5246"/>
      <c r="O939" s="5246"/>
      <c r="P939" s="5246"/>
      <c r="Q939" s="5246"/>
      <c r="R939" s="5246"/>
    </row>
    <row r="940" spans="1:18" ht="12.75" customHeight="1" thickBot="1" x14ac:dyDescent="0.25">
      <c r="A940" s="1928">
        <v>940</v>
      </c>
      <c r="B940" s="5108"/>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108"/>
      <c r="C941" s="1670" t="str">
        <f t="shared" ref="C941:C947" si="112">VLOOKUP(A1,$D$941:$E$947,2,0)</f>
        <v>&gt; ARS MAGNUS MENORES</v>
      </c>
      <c r="D941" s="2301">
        <f t="shared" ref="D941:D947" si="113">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108"/>
      <c r="C942" s="1670" t="str">
        <f t="shared" si="112"/>
        <v>Ataque Final</v>
      </c>
      <c r="D942" s="2301">
        <f t="shared" si="113"/>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108"/>
      <c r="C943" s="1670" t="str">
        <f t="shared" si="112"/>
        <v>Berserker</v>
      </c>
      <c r="D943" s="2301">
        <f t="shared" si="113"/>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108"/>
      <c r="C944" s="1670" t="str">
        <f t="shared" si="112"/>
        <v>Guardián</v>
      </c>
      <c r="D944" s="2301">
        <f t="shared" si="113"/>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108"/>
      <c r="C945" s="1670" t="str">
        <f t="shared" si="112"/>
        <v>Kiai</v>
      </c>
      <c r="D945" s="2301">
        <f t="shared" si="113"/>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108"/>
      <c r="C946" s="1670" t="str">
        <f t="shared" si="112"/>
        <v>Maniobra Especial</v>
      </c>
      <c r="D946" s="2301">
        <f t="shared" si="113"/>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108"/>
      <c r="C947" s="1670" t="str">
        <f t="shared" si="112"/>
        <v>Yuuse Batojutsu</v>
      </c>
      <c r="D947" s="2301">
        <f t="shared" si="113"/>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108"/>
      <c r="C948" s="1670" t="str">
        <f t="shared" ref="C948:C968" si="114">VLOOKUP(A1,$D$948:$E$968,2,0)</f>
        <v>&gt; ARS MAGNUS MAYORES</v>
      </c>
      <c r="D948" s="2301">
        <f t="shared" ref="D948:D968" si="115">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108"/>
      <c r="C949" s="1670" t="str">
        <f t="shared" si="114"/>
        <v>Agnitum: Ojo Absoluto</v>
      </c>
      <c r="D949" s="2301">
        <f t="shared" si="115"/>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108"/>
      <c r="C950" s="1670" t="str">
        <f t="shared" si="114"/>
        <v>Ashuriam: Asalto Dimensional</v>
      </c>
      <c r="D950" s="2301">
        <f t="shared" si="115"/>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108"/>
      <c r="C951" s="1670" t="str">
        <f t="shared" si="114"/>
        <v>Caos Meister: Control del Caos</v>
      </c>
      <c r="D951" s="2301">
        <f t="shared" si="115"/>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108"/>
      <c r="C952" s="1670" t="str">
        <f t="shared" si="114"/>
        <v>Etherial: Ataques Infinitos</v>
      </c>
      <c r="D952" s="2301">
        <f t="shared" si="115"/>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108"/>
      <c r="C953" s="1670" t="str">
        <f t="shared" si="114"/>
        <v>Haima: Sombra de Sangre</v>
      </c>
      <c r="D953" s="2301">
        <f t="shared" si="115"/>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108"/>
      <c r="C954" s="1670" t="str">
        <f t="shared" si="114"/>
        <v>Infinium: Fluctuación del Espacio</v>
      </c>
      <c r="D954" s="2301">
        <f t="shared" si="115"/>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108"/>
      <c r="C955" s="1670" t="str">
        <f t="shared" si="114"/>
        <v>Magnum: Liberación de Poder</v>
      </c>
      <c r="D955" s="2301">
        <f t="shared" si="115"/>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108"/>
      <c r="C956" s="1670" t="str">
        <f t="shared" si="114"/>
        <v>Matrix: División Existencial</v>
      </c>
      <c r="D956" s="2301">
        <f t="shared" si="115"/>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108"/>
      <c r="C957" s="1670" t="str">
        <f t="shared" si="114"/>
        <v>Mundus: Control del Entorno</v>
      </c>
      <c r="D957" s="2301">
        <f t="shared" si="115"/>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108"/>
      <c r="C958" s="1670" t="str">
        <f t="shared" si="114"/>
        <v>Raikou: Hoja Relámpago</v>
      </c>
      <c r="D958" s="2301">
        <f t="shared" si="115"/>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108"/>
      <c r="C959" s="1670" t="str">
        <f t="shared" si="114"/>
        <v>Rem: Los Ojos del Destino</v>
      </c>
      <c r="D959" s="2301">
        <f t="shared" si="115"/>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108"/>
      <c r="C960" s="1670" t="str">
        <f t="shared" si="114"/>
        <v>Samiel: Retribución Final</v>
      </c>
      <c r="D960" s="2301">
        <f t="shared" si="115"/>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108"/>
      <c r="C961" s="1670" t="str">
        <f t="shared" si="114"/>
        <v>Shinkyou: La Posición Espejo</v>
      </c>
      <c r="D961" s="2301">
        <f t="shared" si="115"/>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108"/>
      <c r="C962" s="1670" t="str">
        <f t="shared" si="114"/>
        <v>Summun: Acumulación de Energía</v>
      </c>
      <c r="D962" s="2301">
        <f t="shared" si="115"/>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108"/>
      <c r="C963" s="1670" t="str">
        <f t="shared" si="114"/>
        <v>Transformación: El Despertar</v>
      </c>
      <c r="D963" s="2301">
        <f t="shared" si="115"/>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108"/>
      <c r="C964" s="1670" t="str">
        <f t="shared" si="114"/>
        <v>Transformación: Eliodón</v>
      </c>
      <c r="D964" s="2301">
        <f t="shared" si="115"/>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108"/>
      <c r="C965" s="1670" t="str">
        <f t="shared" si="114"/>
        <v>Transformación: Los Sellos del Dragón</v>
      </c>
      <c r="D965" s="2301">
        <f t="shared" si="115"/>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108"/>
      <c r="C966" s="1670" t="str">
        <f t="shared" si="114"/>
        <v>Transformación: Poder Físico</v>
      </c>
      <c r="D966" s="2301">
        <f t="shared" si="115"/>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108"/>
      <c r="C967" s="1670" t="str">
        <f t="shared" si="114"/>
        <v>Transformación: Ruptura del Destino</v>
      </c>
      <c r="D967" s="2301">
        <f t="shared" si="115"/>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108"/>
      <c r="C968" s="1670" t="str">
        <f t="shared" si="114"/>
        <v>Umbra: Ataque de Sombras</v>
      </c>
      <c r="D968" s="2301">
        <f t="shared" si="115"/>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108"/>
      <c r="C969" s="1670" t="str">
        <f t="shared" ref="C969:C984" si="116">VLOOKUP(A1,$D$969:$E$984,2,0)</f>
        <v>&gt; ARMAS IMPOSIBLES</v>
      </c>
      <c r="D969" s="2301">
        <f t="shared" ref="D969:D984" si="117">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108"/>
      <c r="C970" s="1670" t="str">
        <f t="shared" si="116"/>
        <v>Aquarius: Capas y prendas de vestir</v>
      </c>
      <c r="D970" s="2301">
        <f t="shared" si="117"/>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108"/>
      <c r="C971" s="1670" t="str">
        <f t="shared" si="116"/>
        <v>Aries: Masificación armas y cadenas</v>
      </c>
      <c r="D971" s="2301">
        <f t="shared" si="117"/>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108"/>
      <c r="C972" s="1670" t="str">
        <f t="shared" si="116"/>
        <v>Cáncer Magister: Monofilos</v>
      </c>
      <c r="D972" s="2301">
        <f t="shared" si="117"/>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108"/>
      <c r="C973" s="1670" t="str">
        <f t="shared" si="116"/>
        <v>Cáncer: Monofilos</v>
      </c>
      <c r="D973" s="2301">
        <f t="shared" si="117"/>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108"/>
      <c r="C974" s="1670" t="str">
        <f t="shared" si="116"/>
        <v>Capricornius: Agujas</v>
      </c>
      <c r="D974" s="2301">
        <f t="shared" si="117"/>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108"/>
      <c r="C975" s="1670" t="str">
        <f t="shared" si="116"/>
        <v>Gémini: Marionetas</v>
      </c>
      <c r="D975" s="2301">
        <f t="shared" si="117"/>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108"/>
      <c r="C976" s="1670" t="str">
        <f t="shared" si="116"/>
        <v>Leo: Armas-pistola</v>
      </c>
      <c r="D976" s="2301">
        <f t="shared" si="117"/>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108"/>
      <c r="C977" s="1670" t="str">
        <f t="shared" si="116"/>
        <v>Libra: Arma variable</v>
      </c>
      <c r="D977" s="2301">
        <f t="shared" si="117"/>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108"/>
      <c r="C978" s="1670" t="str">
        <f t="shared" si="116"/>
        <v>Ophiucos: Señor de Espadas Infinitas</v>
      </c>
      <c r="D978" s="2301">
        <f t="shared" si="117"/>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108"/>
      <c r="C979" s="1670" t="str">
        <f t="shared" si="116"/>
        <v>Piscis: Yoyó</v>
      </c>
      <c r="D979" s="2301">
        <f t="shared" si="117"/>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108"/>
      <c r="C980" s="1670" t="str">
        <f t="shared" si="116"/>
        <v>Sagittarius Magister: Obj. arrojadizos</v>
      </c>
      <c r="D980" s="2301">
        <f t="shared" si="117"/>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108"/>
      <c r="C981" s="1670" t="str">
        <f t="shared" si="116"/>
        <v>Sagittarius: Objetos arrojadizos</v>
      </c>
      <c r="D981" s="2301">
        <f t="shared" si="117"/>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108"/>
      <c r="C982" s="1670" t="str">
        <f t="shared" si="116"/>
        <v>Scorpio: Espada-látigo</v>
      </c>
      <c r="D982" s="2301">
        <f t="shared" si="117"/>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108"/>
      <c r="C983" s="1670" t="str">
        <f t="shared" si="116"/>
        <v>Taurus: Enormes armas dobles</v>
      </c>
      <c r="D983" s="2301">
        <f t="shared" si="117"/>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108"/>
      <c r="C984" s="1670" t="str">
        <f t="shared" si="116"/>
        <v>Virgo: Instruentos musicales</v>
      </c>
      <c r="D984" s="2301">
        <f t="shared" si="117"/>
        <v>10</v>
      </c>
      <c r="E984" s="413" t="s">
        <v>1412</v>
      </c>
      <c r="F984" s="195">
        <v>50</v>
      </c>
      <c r="G984" s="195">
        <v>100</v>
      </c>
      <c r="H984" s="213">
        <f>IF(COUNTIF(PDs!$E$78:$H$82,E984)&gt;0,1,0)</f>
        <v>0</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108"/>
      <c r="C985" s="1670" t="str">
        <f t="shared" ref="C985:C994" si="118">VLOOKUP(A1,$D$985:$E$994,2,0)</f>
        <v>&gt; TABLAS DE COMBATE SOBRENATURAL</v>
      </c>
      <c r="D985" s="2301">
        <f t="shared" ref="D985:D994" si="119">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108"/>
      <c r="C986" s="1670" t="str">
        <f t="shared" si="118"/>
        <v>Ataque a distancia</v>
      </c>
      <c r="D986" s="2301">
        <f t="shared" si="119"/>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108"/>
      <c r="C987" s="1670" t="str">
        <f t="shared" si="118"/>
        <v>Atrapar</v>
      </c>
      <c r="D987" s="2301">
        <f t="shared" si="119"/>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108"/>
      <c r="C988" s="1670" t="str">
        <f t="shared" si="118"/>
        <v>Controlar a distancia</v>
      </c>
      <c r="D988" s="2301">
        <f t="shared" si="119"/>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108"/>
      <c r="C989" s="1670" t="str">
        <f t="shared" si="118"/>
        <v>Escudo protector</v>
      </c>
      <c r="D989" s="2301">
        <f t="shared" si="119"/>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108"/>
      <c r="C990" s="1670" t="str">
        <f t="shared" si="118"/>
        <v>Incremento de daño</v>
      </c>
      <c r="D990" s="2301">
        <f t="shared" si="119"/>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108"/>
      <c r="C991" s="1670" t="str">
        <f t="shared" si="118"/>
        <v>Movimiento acelerado</v>
      </c>
      <c r="D991" s="2301">
        <f t="shared" si="119"/>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108"/>
      <c r="C992" s="1670" t="str">
        <f t="shared" si="118"/>
        <v>Refuerzo físico</v>
      </c>
      <c r="D992" s="2301">
        <f t="shared" si="119"/>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108"/>
      <c r="C993" s="1670" t="str">
        <f t="shared" si="118"/>
        <v>Técnica característica</v>
      </c>
      <c r="D993" s="2301">
        <f t="shared" si="119"/>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108"/>
      <c r="C994" s="459" t="str">
        <f t="shared" si="118"/>
        <v>Técnica mayor</v>
      </c>
      <c r="D994" s="458">
        <f t="shared" si="119"/>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108"/>
      <c r="H995" s="363"/>
      <c r="N995" s="363"/>
    </row>
    <row r="996" spans="1:29" ht="12.75" customHeight="1" thickBot="1" x14ac:dyDescent="0.25">
      <c r="A996" s="1928">
        <v>996</v>
      </c>
      <c r="B996" s="5108"/>
      <c r="C996" s="5219" t="s">
        <v>1433</v>
      </c>
      <c r="D996" s="5219"/>
      <c r="E996" s="5219"/>
      <c r="F996" s="5219"/>
      <c r="G996" s="5219"/>
      <c r="H996" s="5219"/>
      <c r="I996" s="5219"/>
      <c r="J996" s="5219"/>
      <c r="K996" s="5219"/>
      <c r="L996" s="5219"/>
      <c r="N996" s="363"/>
    </row>
    <row r="997" spans="1:29" ht="12.75" customHeight="1" x14ac:dyDescent="0.2">
      <c r="A997" s="1928">
        <v>997</v>
      </c>
      <c r="B997" s="5108"/>
      <c r="C997" s="5219"/>
      <c r="D997" s="5219"/>
      <c r="E997" s="5219"/>
      <c r="F997" s="5219"/>
      <c r="G997" s="5219"/>
      <c r="H997" s="5219"/>
      <c r="I997" s="5219"/>
      <c r="J997" s="5219"/>
      <c r="K997" s="5219"/>
      <c r="L997" s="5219"/>
      <c r="N997" s="363"/>
    </row>
    <row r="998" spans="1:29" ht="12.75" customHeight="1" thickBot="1" x14ac:dyDescent="0.25">
      <c r="A998" s="1928">
        <v>998</v>
      </c>
      <c r="B998" s="5108"/>
      <c r="C998" s="5323" t="s">
        <v>2947</v>
      </c>
      <c r="D998" s="5323"/>
      <c r="E998" s="5323"/>
      <c r="F998" s="367" t="s">
        <v>1801</v>
      </c>
      <c r="G998" s="5324" t="s">
        <v>1861</v>
      </c>
      <c r="H998" s="5324"/>
      <c r="I998" s="5324"/>
      <c r="J998" s="5324"/>
      <c r="K998" s="5324"/>
      <c r="L998" s="5324"/>
      <c r="N998" s="363"/>
    </row>
    <row r="999" spans="1:29" ht="12.75" customHeight="1" x14ac:dyDescent="0.2">
      <c r="A999" s="1928">
        <v>999</v>
      </c>
      <c r="B999" s="5108"/>
      <c r="C999" s="208"/>
      <c r="D999" s="118"/>
      <c r="E999" s="471" t="s">
        <v>1434</v>
      </c>
      <c r="F999" s="386">
        <v>75</v>
      </c>
      <c r="G999" s="472" t="s">
        <v>1435</v>
      </c>
      <c r="H999" s="118"/>
      <c r="I999" s="1762"/>
      <c r="J999" s="118"/>
      <c r="K999" s="118"/>
      <c r="L999" s="209"/>
      <c r="N999" s="363"/>
    </row>
    <row r="1000" spans="1:29" ht="12.75" customHeight="1" x14ac:dyDescent="0.2">
      <c r="A1000" s="1928">
        <v>1000</v>
      </c>
      <c r="B1000" s="5108"/>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108"/>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108"/>
      <c r="H1002" s="363"/>
      <c r="I1002" s="1665"/>
      <c r="N1002" s="363"/>
      <c r="O1002" s="2011"/>
      <c r="AB1002" s="363"/>
      <c r="AC1002" s="2577"/>
    </row>
    <row r="1003" spans="1:29" ht="12.75" customHeight="1" x14ac:dyDescent="0.2">
      <c r="A1003" s="1928">
        <v>1003</v>
      </c>
      <c r="B1003" s="5108"/>
      <c r="H1003" s="363"/>
      <c r="I1003" s="1665"/>
      <c r="N1003" s="363"/>
      <c r="O1003" s="2011"/>
      <c r="AB1003" s="363"/>
      <c r="AC1003" s="2577"/>
    </row>
    <row r="1004" spans="1:29" ht="12.75" customHeight="1" x14ac:dyDescent="0.2">
      <c r="A1004" s="1928">
        <v>1004</v>
      </c>
      <c r="B1004" s="5108"/>
      <c r="H1004" s="363"/>
      <c r="I1004" s="1665"/>
      <c r="N1004" s="363"/>
      <c r="O1004" s="2011"/>
      <c r="AB1004" s="363"/>
      <c r="AC1004" s="1927"/>
    </row>
    <row r="1005" spans="1:29" ht="12.75" customHeight="1" x14ac:dyDescent="0.2">
      <c r="A1005" s="1928">
        <v>1005</v>
      </c>
      <c r="B1005" s="5108"/>
      <c r="H1005" s="363"/>
      <c r="I1005" s="1665"/>
      <c r="N1005" s="363"/>
      <c r="O1005" s="2011"/>
      <c r="AB1005" s="363"/>
      <c r="AC1005" s="1927"/>
    </row>
    <row r="1006" spans="1:29" ht="12.75" customHeight="1" x14ac:dyDescent="0.2">
      <c r="A1006" s="1928">
        <v>1006</v>
      </c>
      <c r="B1006" s="5335"/>
      <c r="C1006" s="5107" t="s">
        <v>8940</v>
      </c>
      <c r="D1006" s="5107"/>
      <c r="E1006" s="5107"/>
      <c r="F1006" s="5107"/>
      <c r="G1006" s="5107"/>
      <c r="H1006" s="5107"/>
      <c r="I1006" s="5107"/>
      <c r="J1006" s="5107"/>
      <c r="K1006" s="5107"/>
      <c r="L1006" s="5107"/>
      <c r="M1006" s="5107"/>
      <c r="N1006" s="5107"/>
      <c r="O1006" s="5107"/>
      <c r="P1006" s="5107"/>
      <c r="Q1006" s="5107"/>
      <c r="R1006" s="5107"/>
      <c r="S1006" s="5107"/>
      <c r="T1006" s="5107"/>
      <c r="U1006" s="5107"/>
      <c r="V1006" s="5107"/>
      <c r="W1006" s="5107"/>
      <c r="X1006" s="5107"/>
      <c r="Y1006" s="5107"/>
      <c r="Z1006" s="5107"/>
      <c r="AA1006" s="5107"/>
      <c r="AB1006" s="5107"/>
      <c r="AC1006" s="5107"/>
    </row>
    <row r="1007" spans="1:29" ht="12.75" customHeight="1" x14ac:dyDescent="0.2">
      <c r="A1007" s="1928">
        <v>1007</v>
      </c>
      <c r="B1007" s="5335"/>
      <c r="C1007" s="5107"/>
      <c r="D1007" s="5107"/>
      <c r="E1007" s="5107"/>
      <c r="F1007" s="5107"/>
      <c r="G1007" s="5107"/>
      <c r="H1007" s="5107"/>
      <c r="I1007" s="5107"/>
      <c r="J1007" s="5107"/>
      <c r="K1007" s="5107"/>
      <c r="L1007" s="5107"/>
      <c r="M1007" s="5107"/>
      <c r="N1007" s="5107"/>
      <c r="O1007" s="5107"/>
      <c r="P1007" s="5107"/>
      <c r="Q1007" s="5107"/>
      <c r="R1007" s="5107"/>
      <c r="S1007" s="5107"/>
      <c r="T1007" s="5107"/>
      <c r="U1007" s="5107"/>
      <c r="V1007" s="5107"/>
      <c r="W1007" s="5107"/>
      <c r="X1007" s="5107"/>
      <c r="Y1007" s="5107"/>
      <c r="Z1007" s="5107"/>
      <c r="AA1007" s="5107"/>
      <c r="AB1007" s="5107"/>
      <c r="AC1007" s="5107"/>
    </row>
    <row r="1008" spans="1:29" ht="12.75" customHeight="1" x14ac:dyDescent="0.2">
      <c r="A1008" s="1928">
        <v>1008</v>
      </c>
      <c r="B1008" s="5335"/>
      <c r="C1008" s="5107"/>
      <c r="D1008" s="5107"/>
      <c r="E1008" s="5107"/>
      <c r="F1008" s="5107"/>
      <c r="G1008" s="5107"/>
      <c r="H1008" s="5107"/>
      <c r="I1008" s="5107"/>
      <c r="J1008" s="5107"/>
      <c r="K1008" s="5107"/>
      <c r="L1008" s="5107"/>
      <c r="M1008" s="5107"/>
      <c r="N1008" s="5107"/>
      <c r="O1008" s="5107"/>
      <c r="P1008" s="5107"/>
      <c r="Q1008" s="5107"/>
      <c r="R1008" s="5107"/>
      <c r="S1008" s="5107"/>
      <c r="T1008" s="5107"/>
      <c r="U1008" s="5107"/>
      <c r="V1008" s="5107"/>
      <c r="W1008" s="5107"/>
      <c r="X1008" s="5107"/>
      <c r="Y1008" s="5107"/>
      <c r="Z1008" s="5107"/>
      <c r="AA1008" s="5107"/>
      <c r="AB1008" s="5107"/>
      <c r="AC1008" s="5107"/>
    </row>
    <row r="1009" spans="1:29" ht="12.75" customHeight="1" thickBot="1" x14ac:dyDescent="0.25">
      <c r="A1009" s="1928">
        <v>1009</v>
      </c>
      <c r="B1009" s="5335"/>
      <c r="H1009" s="363"/>
      <c r="I1009" s="1665"/>
      <c r="N1009" s="363"/>
      <c r="O1009" s="2011"/>
      <c r="S1009" s="2577"/>
      <c r="AB1009" s="363"/>
      <c r="AC1009" s="1927"/>
    </row>
    <row r="1010" spans="1:29" ht="12.75" customHeight="1" thickBot="1" x14ac:dyDescent="0.25">
      <c r="A1010" s="1928">
        <v>1010</v>
      </c>
      <c r="B1010" s="5335"/>
      <c r="C1010" s="5138" t="s">
        <v>1514</v>
      </c>
      <c r="D1010" s="5138"/>
      <c r="E1010" s="5138"/>
      <c r="F1010" s="5138"/>
      <c r="G1010" s="5138"/>
      <c r="H1010" s="5138"/>
      <c r="I1010" s="5138"/>
      <c r="J1010" s="5138"/>
      <c r="K1010" s="5138"/>
      <c r="L1010" s="5138"/>
      <c r="M1010" s="5138"/>
      <c r="N1010" s="363"/>
      <c r="O1010" s="2011"/>
      <c r="P1010" s="3188" t="s">
        <v>1440</v>
      </c>
      <c r="Q1010" s="3188"/>
      <c r="S1010" s="3188" t="s">
        <v>94</v>
      </c>
      <c r="T1010" s="3188"/>
      <c r="U1010" s="3188"/>
      <c r="Y1010" s="5155" t="s">
        <v>915</v>
      </c>
      <c r="Z1010" s="5155"/>
      <c r="AA1010" s="5155"/>
      <c r="AB1010" s="5155"/>
      <c r="AC1010" s="5155"/>
    </row>
    <row r="1011" spans="1:29" ht="12.75" customHeight="1" x14ac:dyDescent="0.2">
      <c r="A1011" s="1928">
        <v>1011</v>
      </c>
      <c r="B1011" s="5335"/>
      <c r="C1011" s="5138"/>
      <c r="D1011" s="5138"/>
      <c r="E1011" s="5138"/>
      <c r="F1011" s="5138"/>
      <c r="G1011" s="5138"/>
      <c r="H1011" s="5138"/>
      <c r="I1011" s="5138"/>
      <c r="J1011" s="5138"/>
      <c r="K1011" s="5138"/>
      <c r="L1011" s="5138"/>
      <c r="M1011" s="5138"/>
      <c r="N1011" s="363"/>
      <c r="O1011" s="2011"/>
      <c r="P1011" s="3188"/>
      <c r="Q1011" s="3188"/>
      <c r="S1011" s="3188"/>
      <c r="T1011" s="3188"/>
      <c r="U1011" s="3188"/>
      <c r="Y1011" s="5155"/>
      <c r="Z1011" s="5155"/>
      <c r="AA1011" s="5155"/>
      <c r="AB1011" s="5155"/>
      <c r="AC1011" s="5155"/>
    </row>
    <row r="1012" spans="1:29" ht="12.75" customHeight="1" thickBot="1" x14ac:dyDescent="0.25">
      <c r="A1012" s="1928">
        <v>1012</v>
      </c>
      <c r="B1012" s="5335"/>
      <c r="C1012" s="5191" t="s">
        <v>1957</v>
      </c>
      <c r="D1012" s="5191"/>
      <c r="E1012" s="401" t="s">
        <v>1801</v>
      </c>
      <c r="F1012" s="5180" t="s">
        <v>1861</v>
      </c>
      <c r="G1012" s="5180"/>
      <c r="H1012" s="5180"/>
      <c r="I1012" s="5180"/>
      <c r="J1012" s="5180"/>
      <c r="K1012" s="5180"/>
      <c r="L1012" s="5180"/>
      <c r="M1012" s="5180"/>
      <c r="N1012" s="363"/>
      <c r="O1012" s="2011"/>
      <c r="P1012" s="366" t="s">
        <v>1695</v>
      </c>
      <c r="Q1012" s="368" t="s">
        <v>1441</v>
      </c>
      <c r="S1012" s="527" t="s">
        <v>95</v>
      </c>
      <c r="T1012" s="367" t="s">
        <v>96</v>
      </c>
      <c r="U1012" s="368" t="s">
        <v>97</v>
      </c>
      <c r="Y1012" s="5240" t="s">
        <v>1751</v>
      </c>
      <c r="Z1012" s="5240"/>
      <c r="AA1012" s="5240"/>
      <c r="AB1012" s="367" t="s">
        <v>1665</v>
      </c>
      <c r="AC1012" s="368" t="s">
        <v>1820</v>
      </c>
    </row>
    <row r="1013" spans="1:29" ht="12.75" customHeight="1" x14ac:dyDescent="0.2">
      <c r="A1013" s="1928">
        <v>1013</v>
      </c>
      <c r="B1013" s="5335"/>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20">VLOOKUP(A1,$Z$1013:$AA$1057,2,0)</f>
        <v>&gt; ARCANOS</v>
      </c>
      <c r="Z1013" s="2279">
        <f t="shared" ref="Z1013:Z1057" si="121">COUNTIF($AA$1013:$AA$1057,"&lt;="&amp;AA1013)</f>
        <v>1</v>
      </c>
      <c r="AA1013" s="531" t="s">
        <v>916</v>
      </c>
      <c r="AB1013" s="538"/>
      <c r="AC1013" s="532"/>
    </row>
    <row r="1014" spans="1:29" ht="12.75" customHeight="1" x14ac:dyDescent="0.2">
      <c r="A1014" s="1928">
        <v>1014</v>
      </c>
      <c r="B1014" s="5335"/>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20"/>
        <v>El Carro</v>
      </c>
      <c r="Z1014" s="2279">
        <f t="shared" si="121"/>
        <v>16</v>
      </c>
      <c r="AA1014" s="533" t="s">
        <v>917</v>
      </c>
      <c r="AB1014" s="539">
        <v>120</v>
      </c>
      <c r="AC1014" s="532">
        <v>100</v>
      </c>
    </row>
    <row r="1015" spans="1:29" ht="12.75" customHeight="1" x14ac:dyDescent="0.2">
      <c r="A1015" s="1928">
        <v>1015</v>
      </c>
      <c r="B1015" s="5335"/>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20"/>
        <v>El Carro invertido</v>
      </c>
      <c r="Z1015" s="2279">
        <f t="shared" si="121"/>
        <v>12</v>
      </c>
      <c r="AA1015" s="369" t="s">
        <v>918</v>
      </c>
      <c r="AB1015" s="213">
        <v>130</v>
      </c>
      <c r="AC1015" s="234">
        <v>100</v>
      </c>
    </row>
    <row r="1016" spans="1:29" ht="12.75" customHeight="1" x14ac:dyDescent="0.2">
      <c r="A1016" s="1928">
        <v>1016</v>
      </c>
      <c r="B1016" s="5335"/>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20"/>
        <v>El Colgado</v>
      </c>
      <c r="Z1016" s="2279">
        <f t="shared" si="121"/>
        <v>38</v>
      </c>
      <c r="AA1016" s="369" t="s">
        <v>919</v>
      </c>
      <c r="AB1016" s="213">
        <v>140</v>
      </c>
      <c r="AC1016" s="234">
        <v>150</v>
      </c>
    </row>
    <row r="1017" spans="1:29" ht="12.75" customHeight="1" x14ac:dyDescent="0.2">
      <c r="A1017" s="1928">
        <v>1017</v>
      </c>
      <c r="B1017" s="5335"/>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20"/>
        <v>El Colgado invertido</v>
      </c>
      <c r="Z1017" s="2279">
        <f t="shared" si="121"/>
        <v>24</v>
      </c>
      <c r="AA1017" s="369" t="s">
        <v>920</v>
      </c>
      <c r="AB1017" s="213">
        <v>150</v>
      </c>
      <c r="AC1017" s="234">
        <v>200</v>
      </c>
    </row>
    <row r="1018" spans="1:29" ht="12.75" customHeight="1" x14ac:dyDescent="0.2">
      <c r="A1018" s="1928">
        <v>1018</v>
      </c>
      <c r="B1018" s="5335"/>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20"/>
        <v>El Diablo</v>
      </c>
      <c r="Z1018" s="2279">
        <f t="shared" si="121"/>
        <v>8</v>
      </c>
      <c r="AA1018" s="369" t="s">
        <v>921</v>
      </c>
      <c r="AB1018" s="213">
        <v>160</v>
      </c>
      <c r="AC1018" s="234">
        <v>200</v>
      </c>
    </row>
    <row r="1019" spans="1:29" ht="12.75" customHeight="1" thickBot="1" x14ac:dyDescent="0.25">
      <c r="A1019" s="1928">
        <v>1019</v>
      </c>
      <c r="B1019" s="5335"/>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20"/>
        <v>El Diablo invertido</v>
      </c>
      <c r="Z1019" s="2279">
        <f t="shared" si="121"/>
        <v>22</v>
      </c>
      <c r="AA1019" s="369" t="s">
        <v>922</v>
      </c>
      <c r="AB1019" s="213">
        <v>170</v>
      </c>
      <c r="AC1019" s="234">
        <v>250</v>
      </c>
    </row>
    <row r="1020" spans="1:29" ht="12.75" customHeight="1" thickBot="1" x14ac:dyDescent="0.25">
      <c r="A1020" s="1928">
        <v>1020</v>
      </c>
      <c r="B1020" s="5335"/>
      <c r="H1020" s="363"/>
      <c r="I1020" s="1665"/>
      <c r="L1020" s="495"/>
      <c r="N1020" s="363"/>
      <c r="O1020" s="2011"/>
      <c r="P1020" s="389">
        <v>8</v>
      </c>
      <c r="Q1020" s="234">
        <v>30</v>
      </c>
      <c r="S1020" s="216">
        <v>38</v>
      </c>
      <c r="T1020" s="213">
        <v>4</v>
      </c>
      <c r="U1020" s="234">
        <v>8</v>
      </c>
      <c r="Y1020" s="1670" t="str">
        <f t="shared" si="120"/>
        <v>El Emperador</v>
      </c>
      <c r="Z1020" s="2279">
        <f t="shared" si="121"/>
        <v>44</v>
      </c>
      <c r="AA1020" s="369" t="s">
        <v>923</v>
      </c>
      <c r="AB1020" s="213">
        <v>180</v>
      </c>
      <c r="AC1020" s="234">
        <v>250</v>
      </c>
    </row>
    <row r="1021" spans="1:29" ht="12.75" customHeight="1" thickBot="1" x14ac:dyDescent="0.25">
      <c r="A1021" s="1928">
        <v>1021</v>
      </c>
      <c r="B1021" s="5335"/>
      <c r="C1021" s="5334" t="s">
        <v>1529</v>
      </c>
      <c r="E1021" s="5241" t="s">
        <v>8423</v>
      </c>
      <c r="G1021" s="4071" t="s">
        <v>8427</v>
      </c>
      <c r="H1021" s="4072"/>
      <c r="I1021" s="5243" t="s">
        <v>7759</v>
      </c>
      <c r="K1021" s="3172" t="s">
        <v>1533</v>
      </c>
      <c r="L1021" s="495"/>
      <c r="M1021" s="5155" t="s">
        <v>1447</v>
      </c>
      <c r="N1021" s="5155"/>
      <c r="O1021" s="2011"/>
      <c r="P1021" s="389">
        <v>9</v>
      </c>
      <c r="Q1021" s="234">
        <v>40</v>
      </c>
      <c r="S1021" s="216">
        <v>44</v>
      </c>
      <c r="T1021" s="213">
        <v>5</v>
      </c>
      <c r="U1021" s="234">
        <v>9</v>
      </c>
      <c r="Y1021" s="1670" t="str">
        <f t="shared" si="120"/>
        <v>El Emperador invertido</v>
      </c>
      <c r="Z1021" s="2279">
        <f t="shared" si="121"/>
        <v>2</v>
      </c>
      <c r="AA1021" s="369" t="s">
        <v>924</v>
      </c>
      <c r="AB1021" s="213">
        <v>190</v>
      </c>
      <c r="AC1021" s="234">
        <v>300</v>
      </c>
    </row>
    <row r="1022" spans="1:29" ht="12.75" customHeight="1" thickBot="1" x14ac:dyDescent="0.25">
      <c r="A1022" s="1928">
        <v>1022</v>
      </c>
      <c r="B1022" s="5335"/>
      <c r="C1022" s="5334"/>
      <c r="E1022" s="5242"/>
      <c r="G1022" s="5178"/>
      <c r="H1022" s="5179"/>
      <c r="I1022" s="5244" t="s">
        <v>7759</v>
      </c>
      <c r="K1022" s="3172"/>
      <c r="M1022" s="5155"/>
      <c r="N1022" s="5155"/>
      <c r="O1022" s="2011"/>
      <c r="P1022" s="388">
        <v>10</v>
      </c>
      <c r="Q1022" s="234">
        <v>50</v>
      </c>
      <c r="S1022" s="216">
        <v>48</v>
      </c>
      <c r="T1022" s="213">
        <v>5</v>
      </c>
      <c r="U1022" s="234">
        <v>10</v>
      </c>
      <c r="Y1022" s="1670" t="str">
        <f t="shared" si="120"/>
        <v>El Ermitaño</v>
      </c>
      <c r="Z1022" s="2279">
        <f t="shared" si="121"/>
        <v>28</v>
      </c>
      <c r="AA1022" s="369" t="s">
        <v>925</v>
      </c>
      <c r="AB1022" s="213">
        <v>200</v>
      </c>
      <c r="AC1022" s="234">
        <v>350</v>
      </c>
    </row>
    <row r="1023" spans="1:29" ht="12.75" customHeight="1" thickBot="1" x14ac:dyDescent="0.25">
      <c r="A1023" s="1928">
        <v>1023</v>
      </c>
      <c r="B1023" s="5335"/>
      <c r="C1023" s="505" t="s">
        <v>2019</v>
      </c>
      <c r="E1023" s="1944" t="s">
        <v>8429</v>
      </c>
      <c r="G1023" s="4071" t="s">
        <v>8461</v>
      </c>
      <c r="H1023" s="4072"/>
      <c r="I1023" s="2585" t="s">
        <v>8462</v>
      </c>
      <c r="K1023" s="454" t="s">
        <v>1534</v>
      </c>
      <c r="M1023" s="400" t="s">
        <v>1448</v>
      </c>
      <c r="N1023" s="402" t="s">
        <v>1801</v>
      </c>
      <c r="O1023" s="2011"/>
      <c r="P1023" s="389">
        <v>11</v>
      </c>
      <c r="Q1023" s="234">
        <v>75</v>
      </c>
      <c r="S1023" s="216">
        <v>54</v>
      </c>
      <c r="T1023" s="213">
        <v>6</v>
      </c>
      <c r="U1023" s="234">
        <v>11</v>
      </c>
      <c r="Y1023" s="1670" t="str">
        <f t="shared" si="120"/>
        <v>El Ermitaño invertido</v>
      </c>
      <c r="Z1023" s="2279">
        <f t="shared" si="121"/>
        <v>10</v>
      </c>
      <c r="AA1023" s="369" t="s">
        <v>926</v>
      </c>
      <c r="AB1023" s="213">
        <v>220</v>
      </c>
      <c r="AC1023" s="234">
        <v>400</v>
      </c>
    </row>
    <row r="1024" spans="1:29" ht="12.75" customHeight="1" x14ac:dyDescent="0.2">
      <c r="A1024" s="1928">
        <v>1024</v>
      </c>
      <c r="B1024" s="5335"/>
      <c r="C1024" s="505" t="s">
        <v>2020</v>
      </c>
      <c r="E1024" s="1944" t="s">
        <v>8424</v>
      </c>
      <c r="G1024" s="5109"/>
      <c r="H1024" s="5110"/>
      <c r="I1024" s="2585" t="s">
        <v>7912</v>
      </c>
      <c r="K1024" s="454" t="s">
        <v>1881</v>
      </c>
      <c r="M1024" s="480">
        <v>2</v>
      </c>
      <c r="N1024" s="481">
        <v>2</v>
      </c>
      <c r="O1024" s="2011"/>
      <c r="P1024" s="389">
        <v>12</v>
      </c>
      <c r="Q1024" s="234">
        <v>100</v>
      </c>
      <c r="S1024" s="216">
        <v>58</v>
      </c>
      <c r="T1024" s="213">
        <v>6</v>
      </c>
      <c r="U1024" s="234">
        <v>12</v>
      </c>
      <c r="Y1024" s="1670" t="str">
        <f t="shared" si="120"/>
        <v>El Hierofante</v>
      </c>
      <c r="Z1024" s="2279">
        <f t="shared" si="121"/>
        <v>36</v>
      </c>
      <c r="AA1024" s="369" t="s">
        <v>927</v>
      </c>
      <c r="AB1024" s="213">
        <v>240</v>
      </c>
      <c r="AC1024" s="234">
        <v>450</v>
      </c>
    </row>
    <row r="1025" spans="1:36" ht="12.75" customHeight="1" thickBot="1" x14ac:dyDescent="0.25">
      <c r="A1025" s="1928">
        <v>1025</v>
      </c>
      <c r="B1025" s="5335"/>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20"/>
        <v>El Hierofante invertido</v>
      </c>
      <c r="Z1025" s="2279">
        <f t="shared" si="121"/>
        <v>30</v>
      </c>
      <c r="AA1025" s="369" t="s">
        <v>928</v>
      </c>
      <c r="AB1025" s="213">
        <v>260</v>
      </c>
      <c r="AC1025" s="234">
        <v>500</v>
      </c>
    </row>
    <row r="1026" spans="1:36" ht="12.75" customHeight="1" x14ac:dyDescent="0.2">
      <c r="A1026" s="1928">
        <v>1026</v>
      </c>
      <c r="B1026" s="5335"/>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20"/>
        <v>El Juicio</v>
      </c>
      <c r="Z1026" s="2279">
        <f t="shared" si="121"/>
        <v>4</v>
      </c>
      <c r="AA1026" s="369" t="s">
        <v>929</v>
      </c>
      <c r="AB1026" s="213">
        <v>280</v>
      </c>
      <c r="AC1026" s="234">
        <v>550</v>
      </c>
    </row>
    <row r="1027" spans="1:36" ht="12.75" customHeight="1" thickBot="1" x14ac:dyDescent="0.25">
      <c r="A1027" s="1928">
        <v>1027</v>
      </c>
      <c r="B1027" s="5335"/>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20"/>
        <v>El Juicio invertido</v>
      </c>
      <c r="Z1027" s="2279">
        <f t="shared" si="121"/>
        <v>34</v>
      </c>
      <c r="AA1027" s="369" t="s">
        <v>930</v>
      </c>
      <c r="AB1027" s="213">
        <v>300</v>
      </c>
      <c r="AC1027" s="234">
        <v>600</v>
      </c>
    </row>
    <row r="1028" spans="1:36" ht="12.75" customHeight="1" thickBot="1" x14ac:dyDescent="0.25">
      <c r="A1028" s="1928">
        <v>1028</v>
      </c>
      <c r="B1028" s="5335"/>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20"/>
        <v>El Loco</v>
      </c>
      <c r="Z1028" s="2279">
        <f t="shared" si="121"/>
        <v>40</v>
      </c>
      <c r="AA1028" s="369" t="s">
        <v>931</v>
      </c>
      <c r="AB1028" s="213">
        <v>320</v>
      </c>
      <c r="AC1028" s="234">
        <v>650</v>
      </c>
    </row>
    <row r="1029" spans="1:36" ht="12.75" customHeight="1" thickBot="1" x14ac:dyDescent="0.25">
      <c r="A1029" s="1928">
        <v>1029</v>
      </c>
      <c r="B1029" s="5335"/>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20"/>
        <v>El Loco invertido</v>
      </c>
      <c r="Z1029" s="2279">
        <f t="shared" si="121"/>
        <v>6</v>
      </c>
      <c r="AA1029" s="369" t="s">
        <v>932</v>
      </c>
      <c r="AB1029" s="213">
        <v>340</v>
      </c>
      <c r="AC1029" s="234">
        <v>700</v>
      </c>
    </row>
    <row r="1030" spans="1:36" ht="12.75" customHeight="1" thickBot="1" x14ac:dyDescent="0.25">
      <c r="A1030" s="1928">
        <v>1030</v>
      </c>
      <c r="B1030" s="5335"/>
      <c r="G1030" s="1956">
        <v>5</v>
      </c>
      <c r="H1030" s="1503">
        <v>36</v>
      </c>
      <c r="I1030" s="2585" t="s">
        <v>8467</v>
      </c>
      <c r="M1030" s="482">
        <v>62</v>
      </c>
      <c r="N1030" s="483">
        <v>14</v>
      </c>
      <c r="O1030" s="2011"/>
      <c r="P1030" s="389">
        <v>18</v>
      </c>
      <c r="Q1030" s="234">
        <v>600</v>
      </c>
      <c r="S1030" s="216">
        <v>88</v>
      </c>
      <c r="T1030" s="213">
        <v>9</v>
      </c>
      <c r="U1030" s="234">
        <v>18</v>
      </c>
      <c r="Y1030" s="1670" t="str">
        <f t="shared" si="120"/>
        <v>El Mundo</v>
      </c>
      <c r="Z1030" s="2279">
        <f t="shared" si="121"/>
        <v>42</v>
      </c>
      <c r="AA1030" s="369" t="s">
        <v>933</v>
      </c>
      <c r="AB1030" s="213">
        <v>360</v>
      </c>
      <c r="AC1030" s="234">
        <v>750</v>
      </c>
      <c r="AJ1030" s="1665"/>
    </row>
    <row r="1031" spans="1:36" ht="12.75" customHeight="1" thickBot="1" x14ac:dyDescent="0.25">
      <c r="A1031" s="1928">
        <v>1031</v>
      </c>
      <c r="B1031" s="5335"/>
      <c r="C1031" s="5241" t="s">
        <v>8689</v>
      </c>
      <c r="H1031" s="363"/>
      <c r="I1031" s="2585" t="s">
        <v>8470</v>
      </c>
      <c r="M1031" s="482">
        <v>72</v>
      </c>
      <c r="N1031" s="483">
        <v>16</v>
      </c>
      <c r="O1031" s="2011"/>
      <c r="P1031" s="390">
        <v>19</v>
      </c>
      <c r="Q1031" s="234">
        <v>700</v>
      </c>
      <c r="S1031" s="216">
        <v>94</v>
      </c>
      <c r="T1031" s="213">
        <v>10</v>
      </c>
      <c r="U1031" s="234">
        <v>19</v>
      </c>
      <c r="Y1031" s="1670" t="str">
        <f t="shared" si="120"/>
        <v>El Mundo invertido</v>
      </c>
      <c r="Z1031" s="2279">
        <f t="shared" si="121"/>
        <v>26</v>
      </c>
      <c r="AA1031" s="369" t="s">
        <v>934</v>
      </c>
      <c r="AB1031" s="213">
        <v>380</v>
      </c>
      <c r="AC1031" s="234">
        <v>800</v>
      </c>
      <c r="AJ1031" s="1665"/>
    </row>
    <row r="1032" spans="1:36" ht="12.75" customHeight="1" thickBot="1" x14ac:dyDescent="0.25">
      <c r="A1032" s="1928">
        <v>1032</v>
      </c>
      <c r="B1032" s="5335"/>
      <c r="C1032" s="5242"/>
      <c r="H1032" s="363"/>
      <c r="I1032" s="2585" t="s">
        <v>8471</v>
      </c>
      <c r="M1032" s="482">
        <v>82</v>
      </c>
      <c r="N1032" s="483">
        <v>18</v>
      </c>
      <c r="O1032" s="2011"/>
      <c r="P1032" s="391">
        <v>20</v>
      </c>
      <c r="Q1032" s="376">
        <v>800</v>
      </c>
      <c r="S1032" s="383">
        <v>98</v>
      </c>
      <c r="T1032" s="384">
        <v>10</v>
      </c>
      <c r="U1032" s="376">
        <v>20</v>
      </c>
      <c r="Y1032" s="1670" t="str">
        <f t="shared" si="120"/>
        <v>El Sol</v>
      </c>
      <c r="Z1032" s="2279">
        <f t="shared" si="121"/>
        <v>32</v>
      </c>
      <c r="AA1032" s="369" t="s">
        <v>935</v>
      </c>
      <c r="AB1032" s="213">
        <v>400</v>
      </c>
      <c r="AC1032" s="234">
        <v>850</v>
      </c>
    </row>
    <row r="1033" spans="1:36" ht="12.75" customHeight="1" thickBot="1" x14ac:dyDescent="0.25">
      <c r="A1033" s="1928">
        <v>1033</v>
      </c>
      <c r="B1033" s="5335"/>
      <c r="C1033" s="2202" t="s">
        <v>2019</v>
      </c>
      <c r="H1033" s="363"/>
      <c r="I1033" s="2585" t="s">
        <v>8472</v>
      </c>
      <c r="M1033" s="484">
        <v>92</v>
      </c>
      <c r="N1033" s="479">
        <v>20</v>
      </c>
      <c r="O1033" s="2011"/>
      <c r="S1033" s="2577"/>
      <c r="Y1033" s="1670" t="str">
        <f t="shared" si="120"/>
        <v>El Sol invertido</v>
      </c>
      <c r="Z1033" s="2279">
        <f t="shared" si="121"/>
        <v>20</v>
      </c>
      <c r="AA1033" s="369" t="s">
        <v>936</v>
      </c>
      <c r="AB1033" s="213">
        <v>420</v>
      </c>
      <c r="AC1033" s="234">
        <v>900</v>
      </c>
    </row>
    <row r="1034" spans="1:36" ht="12.75" customHeight="1" thickBot="1" x14ac:dyDescent="0.25">
      <c r="A1034" s="1928">
        <v>1034</v>
      </c>
      <c r="B1034" s="5335"/>
      <c r="C1034" s="2202" t="s">
        <v>2020</v>
      </c>
      <c r="H1034" s="363"/>
      <c r="I1034" s="2586" t="s">
        <v>8473</v>
      </c>
      <c r="N1034" s="363"/>
      <c r="O1034" s="2011"/>
      <c r="P1034" s="5139" t="s">
        <v>1544</v>
      </c>
      <c r="Q1034" s="5139"/>
      <c r="S1034" s="2577"/>
      <c r="Y1034" s="1670" t="str">
        <f t="shared" si="120"/>
        <v>El Sumo Sacerdote</v>
      </c>
      <c r="Z1034" s="2279">
        <f t="shared" si="121"/>
        <v>14</v>
      </c>
      <c r="AA1034" s="369" t="s">
        <v>937</v>
      </c>
      <c r="AB1034" s="213">
        <v>440</v>
      </c>
      <c r="AC1034" s="234">
        <v>950</v>
      </c>
    </row>
    <row r="1035" spans="1:36" ht="12.75" customHeight="1" thickBot="1" x14ac:dyDescent="0.25">
      <c r="A1035" s="1928">
        <v>1035</v>
      </c>
      <c r="B1035" s="5335"/>
      <c r="C1035" s="2202" t="s">
        <v>1929</v>
      </c>
      <c r="E1035" s="5340" t="s">
        <v>1531</v>
      </c>
      <c r="F1035" s="2223"/>
      <c r="G1035" s="2489"/>
      <c r="H1035" s="2223"/>
      <c r="I1035" s="2223"/>
      <c r="J1035" s="2223"/>
      <c r="K1035" s="2223"/>
      <c r="L1035" s="2223"/>
      <c r="N1035" s="363"/>
      <c r="O1035" s="2011"/>
      <c r="P1035" s="366" t="s">
        <v>1701</v>
      </c>
      <c r="Q1035" s="368" t="s">
        <v>1545</v>
      </c>
      <c r="S1035" s="2577" t="s">
        <v>10085</v>
      </c>
      <c r="Y1035" s="1670" t="str">
        <f t="shared" si="120"/>
        <v>El Sumo Sacerdote invertido</v>
      </c>
      <c r="Z1035" s="2279">
        <f t="shared" si="121"/>
        <v>18</v>
      </c>
      <c r="AA1035" s="369" t="s">
        <v>938</v>
      </c>
      <c r="AB1035" s="213">
        <v>460</v>
      </c>
      <c r="AC1035" s="234">
        <v>1000</v>
      </c>
    </row>
    <row r="1036" spans="1:36" ht="12.75" customHeight="1" x14ac:dyDescent="0.2">
      <c r="A1036" s="1928">
        <v>1036</v>
      </c>
      <c r="B1036" s="5335"/>
      <c r="C1036" s="2202" t="s">
        <v>1925</v>
      </c>
      <c r="E1036" s="5341"/>
      <c r="F1036" s="2816" t="s">
        <v>1708</v>
      </c>
      <c r="G1036" s="2816" t="s">
        <v>8909</v>
      </c>
      <c r="H1036" s="2579"/>
      <c r="I1036" s="5301" t="s">
        <v>8912</v>
      </c>
      <c r="J1036" s="5301"/>
      <c r="K1036" s="2580" t="s">
        <v>8911</v>
      </c>
      <c r="L1036" s="2578"/>
      <c r="N1036" s="363"/>
      <c r="O1036" s="2011"/>
      <c r="P1036" s="388">
        <v>1</v>
      </c>
      <c r="Q1036" s="234">
        <v>0</v>
      </c>
      <c r="S1036" s="2577"/>
      <c r="Y1036" s="1670" t="str">
        <f t="shared" si="120"/>
        <v>La Emperatriz</v>
      </c>
      <c r="Z1036" s="2279">
        <f t="shared" si="121"/>
        <v>17</v>
      </c>
      <c r="AA1036" s="533" t="s">
        <v>939</v>
      </c>
      <c r="AB1036" s="213">
        <v>120</v>
      </c>
      <c r="AC1036" s="234">
        <v>100</v>
      </c>
    </row>
    <row r="1037" spans="1:36" ht="12.75" customHeight="1" x14ac:dyDescent="0.2">
      <c r="A1037" s="1928">
        <v>1037</v>
      </c>
      <c r="B1037" s="5335"/>
      <c r="C1037" s="2202" t="s">
        <v>1922</v>
      </c>
      <c r="E1037" s="2583" t="s">
        <v>2019</v>
      </c>
      <c r="F1037" s="3033" t="s">
        <v>10086</v>
      </c>
      <c r="G1037" s="119" t="str">
        <f>E1038&amp;", "&amp;$E$1047</f>
        <v>Oscuridad, Nigromancia</v>
      </c>
      <c r="H1037" s="2486"/>
      <c r="I1037" s="5302">
        <f t="shared" ref="I1037:I1047" si="122">VLOOKUP(E1037,Tabla_VíasDesarolladas,5,FALSE)+IF(SUMPRODUCT(--ISNUMBER(SEARCH($E1037,$E$403:$E$413)),$G$403:$G$413)&gt;0,40,0)+J1273</f>
        <v>0</v>
      </c>
      <c r="J1037" s="5302"/>
      <c r="K1037" s="2581">
        <f>IF(OR($H$1380&gt;0,$G$433&gt;0),1,IF(OR($I1037&lt;$I1038,$I1037&lt;$I$1047),2,1))</f>
        <v>1</v>
      </c>
      <c r="L1037" s="2223"/>
      <c r="N1037" s="363"/>
      <c r="O1037" s="2011"/>
      <c r="P1037" s="388">
        <v>2</v>
      </c>
      <c r="Q1037" s="234">
        <v>0</v>
      </c>
      <c r="S1037" s="3031" t="s">
        <v>10086</v>
      </c>
      <c r="T1037" s="3031" t="s">
        <v>10087</v>
      </c>
      <c r="U1037" s="3031" t="s">
        <v>10088</v>
      </c>
      <c r="Y1037" s="1670" t="str">
        <f t="shared" si="120"/>
        <v>La Emperatriz invertida</v>
      </c>
      <c r="Z1037" s="2279">
        <f t="shared" si="121"/>
        <v>13</v>
      </c>
      <c r="AA1037" s="369" t="s">
        <v>940</v>
      </c>
      <c r="AB1037" s="213">
        <v>130</v>
      </c>
      <c r="AC1037" s="234">
        <v>100</v>
      </c>
    </row>
    <row r="1038" spans="1:36" ht="12.75" customHeight="1" x14ac:dyDescent="0.2">
      <c r="A1038" s="1928">
        <v>1038</v>
      </c>
      <c r="B1038" s="5335"/>
      <c r="C1038" s="2202" t="s">
        <v>2024</v>
      </c>
      <c r="E1038" s="2583" t="s">
        <v>2020</v>
      </c>
      <c r="F1038" s="3033" t="s">
        <v>10086</v>
      </c>
      <c r="G1038" s="119" t="str">
        <f>E1037&amp;", "&amp;$E$1047</f>
        <v>Luz, Nigromancia</v>
      </c>
      <c r="H1038" s="2486"/>
      <c r="I1038" s="5302">
        <f t="shared" si="122"/>
        <v>0</v>
      </c>
      <c r="J1038" s="5302"/>
      <c r="K1038" s="2581">
        <f>IF(OR($H$1380&gt;0,$G$433&gt;0),1,IF(OR($I1038&lt;$I1037,$I1038&lt;$I$1047),2,1))</f>
        <v>1</v>
      </c>
      <c r="L1038" s="2223"/>
      <c r="N1038" s="363"/>
      <c r="O1038" s="2011"/>
      <c r="P1038" s="388">
        <v>3</v>
      </c>
      <c r="Q1038" s="234">
        <v>0</v>
      </c>
      <c r="S1038" s="3031">
        <v>4</v>
      </c>
      <c r="T1038" s="3031">
        <v>4</v>
      </c>
      <c r="U1038" s="3031">
        <v>8</v>
      </c>
      <c r="W1038" s="2223"/>
      <c r="Y1038" s="1670" t="str">
        <f t="shared" si="120"/>
        <v>La Estrella</v>
      </c>
      <c r="Z1038" s="2279">
        <f t="shared" si="121"/>
        <v>39</v>
      </c>
      <c r="AA1038" s="369" t="s">
        <v>941</v>
      </c>
      <c r="AB1038" s="213">
        <v>140</v>
      </c>
      <c r="AC1038" s="234">
        <v>150</v>
      </c>
    </row>
    <row r="1039" spans="1:36" ht="12.75" customHeight="1" x14ac:dyDescent="0.2">
      <c r="A1039" s="1928">
        <v>1039</v>
      </c>
      <c r="B1039" s="5335"/>
      <c r="C1039" s="2202" t="s">
        <v>2026</v>
      </c>
      <c r="E1039" s="2583" t="s">
        <v>1929</v>
      </c>
      <c r="F1039" s="3033" t="s">
        <v>10087</v>
      </c>
      <c r="G1039" s="119" t="str">
        <f>E1040&amp;", "&amp;$E$1047</f>
        <v>Agua, Nigromancia</v>
      </c>
      <c r="H1039" s="2486"/>
      <c r="I1039" s="5302">
        <f t="shared" si="122"/>
        <v>0</v>
      </c>
      <c r="J1039" s="5302"/>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20"/>
        <v>La Estrella invertida</v>
      </c>
      <c r="Z1039" s="2279">
        <f t="shared" si="121"/>
        <v>25</v>
      </c>
      <c r="AA1039" s="369" t="s">
        <v>942</v>
      </c>
      <c r="AB1039" s="213">
        <v>150</v>
      </c>
      <c r="AC1039" s="234">
        <v>200</v>
      </c>
    </row>
    <row r="1040" spans="1:36" ht="12.75" customHeight="1" x14ac:dyDescent="0.2">
      <c r="A1040" s="1928">
        <v>1040</v>
      </c>
      <c r="B1040" s="5335"/>
      <c r="C1040" s="2202" t="s">
        <v>2027</v>
      </c>
      <c r="E1040" s="2583" t="s">
        <v>1925</v>
      </c>
      <c r="F1040" s="3033" t="s">
        <v>10087</v>
      </c>
      <c r="G1040" s="119" t="str">
        <f>E1039&amp;", "&amp;$E$1047</f>
        <v>Fuego, Nigromancia</v>
      </c>
      <c r="H1040" s="2486"/>
      <c r="I1040" s="5302">
        <f t="shared" si="122"/>
        <v>0</v>
      </c>
      <c r="J1040" s="5302"/>
      <c r="K1040" s="2581">
        <f>IF(OR($H$1380&gt;0,$G$433&gt;0),1,IF(OR($I1040&lt;$I1039,$I1040&lt;$I$1047),2,1))</f>
        <v>1</v>
      </c>
      <c r="L1040" s="2480" t="s">
        <v>8915</v>
      </c>
      <c r="N1040" s="363"/>
      <c r="O1040" s="2011"/>
      <c r="P1040" s="388">
        <v>5</v>
      </c>
      <c r="Q1040" s="234">
        <v>10</v>
      </c>
      <c r="S1040" s="3031">
        <f t="shared" ref="S1040:S1047" si="123">10+S1039</f>
        <v>24</v>
      </c>
      <c r="T1040" s="3031">
        <f>10+T1038</f>
        <v>14</v>
      </c>
      <c r="U1040" s="3031">
        <f t="shared" ref="U1040:U1047" si="124">10+U1039</f>
        <v>28</v>
      </c>
      <c r="W1040" s="2223"/>
      <c r="Y1040" s="1670" t="str">
        <f t="shared" si="120"/>
        <v>La Fuerza</v>
      </c>
      <c r="Z1040" s="2279">
        <f t="shared" si="121"/>
        <v>9</v>
      </c>
      <c r="AA1040" s="369" t="s">
        <v>943</v>
      </c>
      <c r="AB1040" s="213">
        <v>160</v>
      </c>
      <c r="AC1040" s="234">
        <v>200</v>
      </c>
    </row>
    <row r="1041" spans="1:29" ht="12.75" customHeight="1" x14ac:dyDescent="0.2">
      <c r="A1041" s="1928">
        <v>1041</v>
      </c>
      <c r="B1041" s="5335"/>
      <c r="C1041" s="2202" t="s">
        <v>2029</v>
      </c>
      <c r="E1041" s="2583" t="s">
        <v>1922</v>
      </c>
      <c r="F1041" s="3033" t="s">
        <v>10087</v>
      </c>
      <c r="G1041" s="119" t="str">
        <f>E1042&amp;", "&amp;$E$1047</f>
        <v>Tierra, Nigromancia</v>
      </c>
      <c r="H1041" s="2486"/>
      <c r="I1041" s="5302">
        <f t="shared" si="122"/>
        <v>0</v>
      </c>
      <c r="J1041" s="5302"/>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c>
      <c r="N1041" s="363"/>
      <c r="O1041" s="2011"/>
      <c r="P1041" s="389">
        <v>6</v>
      </c>
      <c r="Q1041" s="234">
        <v>20</v>
      </c>
      <c r="S1041" s="3031">
        <f t="shared" si="123"/>
        <v>34</v>
      </c>
      <c r="T1041" s="3031">
        <f>10+T1039</f>
        <v>18</v>
      </c>
      <c r="U1041" s="3031">
        <f t="shared" si="124"/>
        <v>38</v>
      </c>
      <c r="W1041" s="2223"/>
      <c r="Y1041" s="1670" t="str">
        <f t="shared" si="120"/>
        <v>La Fuerza invertida</v>
      </c>
      <c r="Z1041" s="2279">
        <f t="shared" si="121"/>
        <v>23</v>
      </c>
      <c r="AA1041" s="369" t="s">
        <v>944</v>
      </c>
      <c r="AB1041" s="213">
        <v>170</v>
      </c>
      <c r="AC1041" s="234">
        <v>250</v>
      </c>
    </row>
    <row r="1042" spans="1:29" ht="12.75" customHeight="1" x14ac:dyDescent="0.2">
      <c r="A1042" s="1928">
        <v>1042</v>
      </c>
      <c r="B1042" s="5335"/>
      <c r="C1042" s="2202" t="s">
        <v>2031</v>
      </c>
      <c r="E1042" s="2583" t="s">
        <v>2024</v>
      </c>
      <c r="F1042" s="3033" t="s">
        <v>10087</v>
      </c>
      <c r="G1042" s="119" t="str">
        <f>E1041&amp;", "&amp;$E$1047</f>
        <v>Aire, Nigromancia</v>
      </c>
      <c r="H1042" s="2486"/>
      <c r="I1042" s="5302">
        <f t="shared" si="122"/>
        <v>0</v>
      </c>
      <c r="J1042" s="5302"/>
      <c r="K1042" s="2581">
        <f>IF(OR($H$1380&gt;0,$G$433&gt;0),1,IF(OR($I1042&lt;$I1041,$I1042&lt;$I$1047),2,1))</f>
        <v>1</v>
      </c>
      <c r="L1042" s="2480" t="s">
        <v>8914</v>
      </c>
      <c r="N1042" s="363"/>
      <c r="O1042" s="2011"/>
      <c r="P1042" s="389">
        <v>7</v>
      </c>
      <c r="Q1042" s="234">
        <v>30</v>
      </c>
      <c r="S1042" s="3031">
        <f t="shared" si="123"/>
        <v>44</v>
      </c>
      <c r="T1042" s="3031">
        <f t="shared" ref="T1042:T1055" si="125">10+T1040</f>
        <v>24</v>
      </c>
      <c r="U1042" s="3031">
        <f t="shared" si="124"/>
        <v>48</v>
      </c>
      <c r="W1042" s="2223"/>
      <c r="Y1042" s="1670" t="str">
        <f t="shared" si="120"/>
        <v>La Justicia</v>
      </c>
      <c r="Z1042" s="2279">
        <f t="shared" si="121"/>
        <v>45</v>
      </c>
      <c r="AA1042" s="369" t="s">
        <v>945</v>
      </c>
      <c r="AB1042" s="213">
        <v>180</v>
      </c>
      <c r="AC1042" s="234">
        <v>250</v>
      </c>
    </row>
    <row r="1043" spans="1:29" ht="12.75" customHeight="1" x14ac:dyDescent="0.2">
      <c r="A1043" s="1928">
        <v>1043</v>
      </c>
      <c r="B1043" s="5335"/>
      <c r="C1043" s="2202" t="s">
        <v>2033</v>
      </c>
      <c r="E1043" s="2583" t="s">
        <v>2026</v>
      </c>
      <c r="F1043" s="3033" t="s">
        <v>10086</v>
      </c>
      <c r="G1043" s="119" t="str">
        <f>E1044&amp;", "&amp;$E$1047</f>
        <v>Destrucción, Nigromancia</v>
      </c>
      <c r="H1043" s="2486"/>
      <c r="I1043" s="5302">
        <f t="shared" si="122"/>
        <v>0</v>
      </c>
      <c r="J1043" s="5302"/>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2011"/>
      <c r="P1043" s="389">
        <v>8</v>
      </c>
      <c r="Q1043" s="234">
        <v>40</v>
      </c>
      <c r="S1043" s="3031">
        <f t="shared" si="123"/>
        <v>54</v>
      </c>
      <c r="T1043" s="3031">
        <f t="shared" si="125"/>
        <v>28</v>
      </c>
      <c r="U1043" s="3031">
        <f t="shared" si="124"/>
        <v>58</v>
      </c>
      <c r="W1043" s="2223"/>
      <c r="Y1043" s="1670" t="str">
        <f t="shared" si="120"/>
        <v>La Justicia invertida</v>
      </c>
      <c r="Z1043" s="2279">
        <f t="shared" si="121"/>
        <v>3</v>
      </c>
      <c r="AA1043" s="369" t="s">
        <v>946</v>
      </c>
      <c r="AB1043" s="213">
        <v>190</v>
      </c>
      <c r="AC1043" s="234">
        <v>300</v>
      </c>
    </row>
    <row r="1044" spans="1:29" ht="12.75" customHeight="1" thickBot="1" x14ac:dyDescent="0.25">
      <c r="A1044" s="1928">
        <v>1044</v>
      </c>
      <c r="B1044" s="5335"/>
      <c r="C1044" s="2203" t="s">
        <v>1532</v>
      </c>
      <c r="E1044" s="2583" t="s">
        <v>2027</v>
      </c>
      <c r="F1044" s="3033" t="s">
        <v>10086</v>
      </c>
      <c r="G1044" s="119" t="str">
        <f>E1043&amp;", "&amp;$E$1047</f>
        <v>Creación, Nigromancia</v>
      </c>
      <c r="H1044" s="2486"/>
      <c r="I1044" s="5302">
        <f t="shared" si="122"/>
        <v>0</v>
      </c>
      <c r="J1044" s="5302"/>
      <c r="K1044" s="2581">
        <f>IF(OR($H$1380&gt;0,$G$433&gt;0),1,IF(OR($I1044&lt;$I1043,$I1044&lt;$I$1047),2,1))</f>
        <v>1</v>
      </c>
      <c r="L1044" s="2480" t="s">
        <v>8913</v>
      </c>
      <c r="N1044" s="363"/>
      <c r="O1044" s="2011"/>
      <c r="P1044" s="389">
        <v>9</v>
      </c>
      <c r="Q1044" s="234">
        <v>50</v>
      </c>
      <c r="S1044" s="3031">
        <f t="shared" si="123"/>
        <v>64</v>
      </c>
      <c r="T1044" s="3031">
        <f t="shared" si="125"/>
        <v>34</v>
      </c>
      <c r="U1044" s="3031">
        <f t="shared" si="124"/>
        <v>68</v>
      </c>
      <c r="W1044" s="2223"/>
      <c r="Y1044" s="1670" t="str">
        <f t="shared" si="120"/>
        <v>La Luna</v>
      </c>
      <c r="Z1044" s="2279">
        <f t="shared" si="121"/>
        <v>29</v>
      </c>
      <c r="AA1044" s="369" t="s">
        <v>947</v>
      </c>
      <c r="AB1044" s="213">
        <v>200</v>
      </c>
      <c r="AC1044" s="234">
        <v>350</v>
      </c>
    </row>
    <row r="1045" spans="1:29" ht="12.75" customHeight="1" x14ac:dyDescent="0.2">
      <c r="A1045" s="1928">
        <v>1045</v>
      </c>
      <c r="B1045" s="5335"/>
      <c r="C1045" s="2204" t="s">
        <v>81</v>
      </c>
      <c r="E1045" s="2583" t="s">
        <v>2029</v>
      </c>
      <c r="F1045" s="3033" t="s">
        <v>10087</v>
      </c>
      <c r="G1045" s="119" t="str">
        <f>E1046&amp;", "&amp;$E$1047</f>
        <v>Ilusión, Nigromancia</v>
      </c>
      <c r="H1045" s="2486"/>
      <c r="I1045" s="5302">
        <f t="shared" si="122"/>
        <v>0</v>
      </c>
      <c r="J1045" s="5302"/>
      <c r="K1045" s="2581">
        <f>IF(OR($H$1380&gt;0,$G$433&gt;0),1,IF(OR($I1045&lt;$I1046,$I1045&lt;$I$1047),2,1))</f>
        <v>1</v>
      </c>
      <c r="L1045" s="2672" t="str">
        <f>IF(L1043&lt;&gt;L1041,"Todas excepto ","")&amp;MID(L1043,3,LEN(L1043))</f>
        <v/>
      </c>
      <c r="N1045" s="363"/>
      <c r="O1045" s="2011"/>
      <c r="P1045" s="388">
        <v>10</v>
      </c>
      <c r="Q1045" s="234">
        <v>60</v>
      </c>
      <c r="S1045" s="3031">
        <f t="shared" si="123"/>
        <v>74</v>
      </c>
      <c r="T1045" s="3031">
        <f t="shared" si="125"/>
        <v>38</v>
      </c>
      <c r="U1045" s="3031">
        <f t="shared" si="124"/>
        <v>78</v>
      </c>
      <c r="W1045" s="2223"/>
      <c r="Y1045" s="1670" t="str">
        <f t="shared" si="120"/>
        <v>La Luna invertida</v>
      </c>
      <c r="Z1045" s="2279">
        <f t="shared" si="121"/>
        <v>11</v>
      </c>
      <c r="AA1045" s="369" t="s">
        <v>948</v>
      </c>
      <c r="AB1045" s="213">
        <v>240</v>
      </c>
      <c r="AC1045" s="234">
        <v>400</v>
      </c>
    </row>
    <row r="1046" spans="1:29" ht="12.75" customHeight="1" x14ac:dyDescent="0.2">
      <c r="A1046" s="1928">
        <v>1046</v>
      </c>
      <c r="B1046" s="5335"/>
      <c r="C1046" s="2205" t="s">
        <v>82</v>
      </c>
      <c r="E1046" s="2583" t="s">
        <v>2031</v>
      </c>
      <c r="F1046" s="3033" t="s">
        <v>10087</v>
      </c>
      <c r="G1046" s="119" t="str">
        <f>E1045&amp;", "&amp;$E$1047</f>
        <v>Esencia, Nigromancia</v>
      </c>
      <c r="H1046" s="2486"/>
      <c r="I1046" s="5302">
        <f t="shared" si="122"/>
        <v>0</v>
      </c>
      <c r="J1046" s="5302"/>
      <c r="K1046" s="2581">
        <f>IF(OR($H$1380&gt;0,$G$433&gt;0),1,IF(OR($I1046&lt;$I1045,$I1046&lt;$I$1047),2,1))</f>
        <v>1</v>
      </c>
      <c r="L1046" s="2223"/>
      <c r="N1046" s="363"/>
      <c r="O1046" s="2011"/>
      <c r="P1046" s="389">
        <v>11</v>
      </c>
      <c r="Q1046" s="234">
        <v>70</v>
      </c>
      <c r="S1046" s="3031">
        <f t="shared" si="123"/>
        <v>84</v>
      </c>
      <c r="T1046" s="3031">
        <f t="shared" si="125"/>
        <v>44</v>
      </c>
      <c r="U1046" s="3031">
        <f t="shared" si="124"/>
        <v>88</v>
      </c>
      <c r="W1046" s="2223"/>
      <c r="Y1046" s="1670" t="str">
        <f t="shared" si="120"/>
        <v>La Muerte</v>
      </c>
      <c r="Z1046" s="2279">
        <f t="shared" si="121"/>
        <v>37</v>
      </c>
      <c r="AA1046" s="369" t="s">
        <v>949</v>
      </c>
      <c r="AB1046" s="213">
        <v>240</v>
      </c>
      <c r="AC1046" s="234">
        <v>450</v>
      </c>
    </row>
    <row r="1047" spans="1:29" ht="12.75" customHeight="1" x14ac:dyDescent="0.2">
      <c r="A1047" s="1928">
        <v>1047</v>
      </c>
      <c r="B1047" s="5335"/>
      <c r="C1047" s="2205" t="s">
        <v>83</v>
      </c>
      <c r="E1047" s="2583" t="s">
        <v>2033</v>
      </c>
      <c r="F1047" s="3033" t="s">
        <v>10086</v>
      </c>
      <c r="G1047" s="3032" t="s">
        <v>8910</v>
      </c>
      <c r="H1047" s="2352"/>
      <c r="I1047" s="5329">
        <f t="shared" si="122"/>
        <v>0</v>
      </c>
      <c r="J1047" s="5329"/>
      <c r="K1047" s="2582">
        <f>IF(OR($H$1380&gt;0,$G$433&gt;0),1,IF(OR(MAX($I$1037:$I$1047)=I1047,MAX($I$1037:$I$1047)=0),1,2))</f>
        <v>1</v>
      </c>
      <c r="L1047" s="2223"/>
      <c r="N1047" s="363"/>
      <c r="O1047" s="2011"/>
      <c r="P1047" s="389">
        <v>12</v>
      </c>
      <c r="Q1047" s="234">
        <v>80</v>
      </c>
      <c r="S1047" s="3031">
        <f t="shared" si="123"/>
        <v>94</v>
      </c>
      <c r="T1047" s="3031">
        <f t="shared" si="125"/>
        <v>48</v>
      </c>
      <c r="U1047" s="3031">
        <f t="shared" si="124"/>
        <v>98</v>
      </c>
      <c r="W1047" s="2223"/>
      <c r="Y1047" s="1670" t="str">
        <f t="shared" si="120"/>
        <v>La Muerte invertida</v>
      </c>
      <c r="Z1047" s="2279">
        <f t="shared" si="121"/>
        <v>31</v>
      </c>
      <c r="AA1047" s="369" t="s">
        <v>950</v>
      </c>
      <c r="AB1047" s="213">
        <v>260</v>
      </c>
      <c r="AC1047" s="234">
        <v>500</v>
      </c>
    </row>
    <row r="1048" spans="1:29" ht="12.75" customHeight="1" thickBot="1" x14ac:dyDescent="0.25">
      <c r="A1048" s="1928">
        <v>1048</v>
      </c>
      <c r="B1048" s="5335"/>
      <c r="C1048" s="2205" t="s">
        <v>84</v>
      </c>
      <c r="E1048" s="2584" t="s">
        <v>1532</v>
      </c>
      <c r="F1048" s="2223"/>
      <c r="G1048" s="2223"/>
      <c r="H1048" s="2223"/>
      <c r="I1048" s="2578"/>
      <c r="J1048" s="2223"/>
      <c r="K1048" s="2223"/>
      <c r="L1048" s="2223"/>
      <c r="N1048" s="363"/>
      <c r="O1048" s="2011"/>
      <c r="P1048" s="389">
        <v>13</v>
      </c>
      <c r="Q1048" s="234">
        <v>90</v>
      </c>
      <c r="S1048" s="3031"/>
      <c r="T1048" s="3031">
        <f t="shared" si="125"/>
        <v>54</v>
      </c>
      <c r="U1048" s="3031"/>
      <c r="W1048" s="2223"/>
      <c r="Y1048" s="1670" t="str">
        <f t="shared" si="120"/>
        <v>La Rueda</v>
      </c>
      <c r="Z1048" s="2279">
        <f t="shared" si="121"/>
        <v>5</v>
      </c>
      <c r="AA1048" s="369" t="s">
        <v>951</v>
      </c>
      <c r="AB1048" s="213">
        <v>280</v>
      </c>
      <c r="AC1048" s="234">
        <v>550</v>
      </c>
    </row>
    <row r="1049" spans="1:29" ht="12.75" customHeight="1" thickBot="1" x14ac:dyDescent="0.25">
      <c r="A1049" s="1928">
        <v>1049</v>
      </c>
      <c r="B1049" s="5335"/>
      <c r="C1049" s="2205" t="s">
        <v>85</v>
      </c>
      <c r="H1049" s="363"/>
      <c r="I1049" s="1665"/>
      <c r="N1049" s="363"/>
      <c r="O1049" s="2011"/>
      <c r="P1049" s="389">
        <v>14</v>
      </c>
      <c r="Q1049" s="234">
        <v>100</v>
      </c>
      <c r="S1049" s="3031"/>
      <c r="T1049" s="3031">
        <f t="shared" si="125"/>
        <v>58</v>
      </c>
      <c r="U1049" s="3031"/>
      <c r="W1049" s="2223"/>
      <c r="Y1049" s="1670" t="str">
        <f t="shared" si="120"/>
        <v>La Rueda invertida</v>
      </c>
      <c r="Z1049" s="2279">
        <f t="shared" si="121"/>
        <v>35</v>
      </c>
      <c r="AA1049" s="369" t="s">
        <v>952</v>
      </c>
      <c r="AB1049" s="213">
        <v>300</v>
      </c>
      <c r="AC1049" s="234">
        <v>600</v>
      </c>
    </row>
    <row r="1050" spans="1:29" ht="12.75" customHeight="1" x14ac:dyDescent="0.2">
      <c r="A1050" s="1928">
        <v>1050</v>
      </c>
      <c r="B1050" s="5335"/>
      <c r="C1050" s="2205" t="s">
        <v>86</v>
      </c>
      <c r="E1050" s="5139" t="s">
        <v>1539</v>
      </c>
      <c r="F1050" s="5139"/>
      <c r="H1050" s="5139" t="s">
        <v>1541</v>
      </c>
      <c r="I1050" s="5139"/>
      <c r="K1050" s="5333" t="s">
        <v>1546</v>
      </c>
      <c r="L1050" s="5333"/>
      <c r="N1050" s="363"/>
      <c r="O1050" s="2011"/>
      <c r="P1050" s="388">
        <v>15</v>
      </c>
      <c r="Q1050" s="234">
        <v>120</v>
      </c>
      <c r="S1050" s="3031"/>
      <c r="T1050" s="3031">
        <f t="shared" si="125"/>
        <v>64</v>
      </c>
      <c r="U1050" s="3031"/>
      <c r="W1050" s="2223"/>
      <c r="Y1050" s="1670" t="str">
        <f t="shared" si="120"/>
        <v>La Suma Sacerdotisa</v>
      </c>
      <c r="Z1050" s="2279">
        <f t="shared" si="121"/>
        <v>41</v>
      </c>
      <c r="AA1050" s="369" t="s">
        <v>953</v>
      </c>
      <c r="AB1050" s="213">
        <v>320</v>
      </c>
      <c r="AC1050" s="234">
        <v>650</v>
      </c>
    </row>
    <row r="1051" spans="1:29" ht="12.75" customHeight="1" thickBot="1" x14ac:dyDescent="0.25">
      <c r="A1051" s="1928">
        <v>1051</v>
      </c>
      <c r="B1051" s="5335"/>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25"/>
        <v>68</v>
      </c>
      <c r="U1051" s="3031"/>
      <c r="W1051" s="2223"/>
      <c r="Y1051" s="1670" t="str">
        <f t="shared" si="120"/>
        <v>La Suma Sacerdotisa invertida</v>
      </c>
      <c r="Z1051" s="2279">
        <f t="shared" si="121"/>
        <v>7</v>
      </c>
      <c r="AA1051" s="369" t="s">
        <v>954</v>
      </c>
      <c r="AB1051" s="213">
        <v>340</v>
      </c>
      <c r="AC1051" s="234">
        <v>700</v>
      </c>
    </row>
    <row r="1052" spans="1:29" ht="12.75" customHeight="1" x14ac:dyDescent="0.2">
      <c r="A1052" s="1928">
        <v>1052</v>
      </c>
      <c r="B1052" s="5335"/>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25"/>
        <v>74</v>
      </c>
      <c r="U1052" s="3031"/>
      <c r="Y1052" s="1670" t="str">
        <f t="shared" si="120"/>
        <v>La Templanza</v>
      </c>
      <c r="Z1052" s="2279">
        <f t="shared" si="121"/>
        <v>43</v>
      </c>
      <c r="AA1052" s="369" t="s">
        <v>955</v>
      </c>
      <c r="AB1052" s="213">
        <v>340</v>
      </c>
      <c r="AC1052" s="234">
        <v>750</v>
      </c>
    </row>
    <row r="1053" spans="1:29" ht="12.75" customHeight="1" x14ac:dyDescent="0.2">
      <c r="A1053" s="1928">
        <v>1053</v>
      </c>
      <c r="B1053" s="5335"/>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25"/>
        <v>78</v>
      </c>
      <c r="U1053" s="3031"/>
      <c r="Y1053" s="1670" t="str">
        <f t="shared" si="120"/>
        <v>La Templanza invertida</v>
      </c>
      <c r="Z1053" s="2279">
        <f t="shared" si="121"/>
        <v>27</v>
      </c>
      <c r="AA1053" s="369" t="s">
        <v>956</v>
      </c>
      <c r="AB1053" s="213">
        <v>380</v>
      </c>
      <c r="AC1053" s="234">
        <v>800</v>
      </c>
    </row>
    <row r="1054" spans="1:29" ht="12.75" customHeight="1" x14ac:dyDescent="0.2">
      <c r="A1054" s="1928">
        <v>1054</v>
      </c>
      <c r="B1054" s="5335"/>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25"/>
        <v>84</v>
      </c>
      <c r="U1054" s="3031"/>
      <c r="Y1054" s="1670" t="str">
        <f t="shared" si="120"/>
        <v>La Torre</v>
      </c>
      <c r="Z1054" s="2279">
        <f t="shared" si="121"/>
        <v>33</v>
      </c>
      <c r="AA1054" s="369" t="s">
        <v>957</v>
      </c>
      <c r="AB1054" s="213">
        <v>400</v>
      </c>
      <c r="AC1054" s="234">
        <v>850</v>
      </c>
    </row>
    <row r="1055" spans="1:29" ht="12.75" customHeight="1" thickBot="1" x14ac:dyDescent="0.25">
      <c r="A1055" s="1928">
        <v>1055</v>
      </c>
      <c r="B1055" s="5335"/>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25"/>
        <v>88</v>
      </c>
      <c r="U1055" s="3031"/>
      <c r="Y1055" s="1670" t="str">
        <f t="shared" si="120"/>
        <v>La Torre invertida</v>
      </c>
      <c r="Z1055" s="2279">
        <f t="shared" si="121"/>
        <v>21</v>
      </c>
      <c r="AA1055" s="369" t="s">
        <v>958</v>
      </c>
      <c r="AB1055" s="213">
        <v>420</v>
      </c>
      <c r="AC1055" s="234">
        <v>900</v>
      </c>
    </row>
    <row r="1056" spans="1:29" ht="12.75" customHeight="1" x14ac:dyDescent="0.2">
      <c r="A1056" s="1928">
        <v>1056</v>
      </c>
      <c r="B1056" s="5335"/>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20"/>
        <v>Los Enamorados</v>
      </c>
      <c r="Z1056" s="2279">
        <f t="shared" si="121"/>
        <v>15</v>
      </c>
      <c r="AA1056" s="369" t="s">
        <v>959</v>
      </c>
      <c r="AB1056" s="213">
        <v>440</v>
      </c>
      <c r="AC1056" s="234">
        <v>950</v>
      </c>
    </row>
    <row r="1057" spans="1:29" ht="12.75" customHeight="1" x14ac:dyDescent="0.2">
      <c r="A1057" s="1928">
        <v>1057</v>
      </c>
      <c r="B1057" s="5335"/>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20"/>
        <v>Los Enamorados invertidos</v>
      </c>
      <c r="Z1057" s="2279">
        <f t="shared" si="121"/>
        <v>19</v>
      </c>
      <c r="AA1057" s="369" t="s">
        <v>960</v>
      </c>
      <c r="AB1057" s="213">
        <v>460</v>
      </c>
      <c r="AC1057" s="234">
        <v>1000</v>
      </c>
    </row>
    <row r="1058" spans="1:29" ht="12.75" customHeight="1" thickBot="1" x14ac:dyDescent="0.25">
      <c r="A1058" s="1928">
        <v>1058</v>
      </c>
      <c r="B1058" s="5335"/>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6">VLOOKUP(A1,$Z$1058:$AA$1128,2,0)</f>
        <v>&gt; GRANDES BESTIAS</v>
      </c>
      <c r="Z1058" s="2279">
        <f t="shared" ref="Z1058:Z1089" si="127">COUNTIF($AA$1058:$AA$1128,"&lt;="&amp;AA1058)</f>
        <v>1</v>
      </c>
      <c r="AA1058" s="369" t="s">
        <v>961</v>
      </c>
      <c r="AB1058" s="67"/>
      <c r="AC1058" s="68"/>
    </row>
    <row r="1059" spans="1:29" ht="12.75" customHeight="1" x14ac:dyDescent="0.2">
      <c r="A1059" s="1928">
        <v>1059</v>
      </c>
      <c r="B1059" s="5335"/>
      <c r="E1059" s="509">
        <v>155</v>
      </c>
      <c r="F1059" s="123">
        <f>70+10*Tablas!G414+20*Tablas!G415+30*Tablas!G416+10*H1330</f>
        <v>70</v>
      </c>
      <c r="H1059" s="512" t="s">
        <v>2019</v>
      </c>
      <c r="I1059" s="123">
        <f>Tablas!G420</f>
        <v>0</v>
      </c>
      <c r="K1059" s="389">
        <v>36</v>
      </c>
      <c r="L1059" s="234">
        <v>80</v>
      </c>
      <c r="N1059" s="363"/>
      <c r="O1059" s="2011"/>
      <c r="Y1059" s="1670" t="str">
        <f t="shared" si="126"/>
        <v>Behemoth, Señor de la Tierra</v>
      </c>
      <c r="Z1059" s="2279">
        <f t="shared" si="127"/>
        <v>52</v>
      </c>
      <c r="AA1059" s="369" t="s">
        <v>962</v>
      </c>
      <c r="AB1059" s="213">
        <v>280</v>
      </c>
      <c r="AC1059" s="234">
        <v>450</v>
      </c>
    </row>
    <row r="1060" spans="1:29" ht="12.75" customHeight="1" x14ac:dyDescent="0.2">
      <c r="A1060" s="1928">
        <v>1060</v>
      </c>
      <c r="B1060" s="5335"/>
      <c r="E1060" s="509">
        <v>185</v>
      </c>
      <c r="F1060" s="123">
        <f>80+10*Tablas!G414+20*Tablas!G415+30*Tablas!G416+10*H1330</f>
        <v>80</v>
      </c>
      <c r="H1060" s="512" t="s">
        <v>2033</v>
      </c>
      <c r="I1060" s="123">
        <f>Tablas!G430</f>
        <v>0</v>
      </c>
      <c r="K1060" s="389">
        <v>45</v>
      </c>
      <c r="L1060" s="234">
        <v>90</v>
      </c>
      <c r="N1060" s="363"/>
      <c r="O1060" s="2011"/>
      <c r="Y1060" s="1670" t="str">
        <f t="shared" si="126"/>
        <v>Behemoth: Comunión con la tierra</v>
      </c>
      <c r="Z1060" s="2279">
        <f t="shared" si="127"/>
        <v>51</v>
      </c>
      <c r="AA1060" s="369" t="s">
        <v>963</v>
      </c>
      <c r="AB1060" s="213">
        <v>380</v>
      </c>
      <c r="AC1060" s="234">
        <v>800</v>
      </c>
    </row>
    <row r="1061" spans="1:29" ht="12.75" customHeight="1" thickBot="1" x14ac:dyDescent="0.25">
      <c r="A1061" s="1928">
        <v>1061</v>
      </c>
      <c r="B1061" s="5335"/>
      <c r="E1061" s="510">
        <v>200</v>
      </c>
      <c r="F1061" s="426">
        <f>90+10*Tablas!G414+20*Tablas!G415+30*Tablas!G416+10*H1330</f>
        <v>90</v>
      </c>
      <c r="H1061" s="512" t="s">
        <v>2020</v>
      </c>
      <c r="I1061" s="123">
        <f>Tablas!G421</f>
        <v>0</v>
      </c>
      <c r="K1061" s="391">
        <v>55</v>
      </c>
      <c r="L1061" s="376">
        <v>100</v>
      </c>
      <c r="N1061" s="363"/>
      <c r="O1061" s="2011"/>
      <c r="Y1061" s="1670" t="str">
        <f t="shared" si="126"/>
        <v>Behemoth: Señor de la tierra</v>
      </c>
      <c r="Z1061" s="2279">
        <f t="shared" si="127"/>
        <v>32</v>
      </c>
      <c r="AA1061" s="369" t="s">
        <v>964</v>
      </c>
      <c r="AB1061" s="213">
        <v>150</v>
      </c>
      <c r="AC1061" s="234">
        <v>200</v>
      </c>
    </row>
    <row r="1062" spans="1:29" ht="12.75" customHeight="1" x14ac:dyDescent="0.2">
      <c r="A1062" s="1928">
        <v>1062</v>
      </c>
      <c r="B1062" s="5335"/>
      <c r="E1062" s="1938"/>
      <c r="H1062" s="512" t="s">
        <v>2024</v>
      </c>
      <c r="I1062" s="123">
        <f>Tablas!G425</f>
        <v>0</v>
      </c>
      <c r="N1062" s="363"/>
      <c r="O1062" s="2011"/>
      <c r="Y1062" s="1670" t="str">
        <f t="shared" si="126"/>
        <v>Byakko, el Tigre Blanco</v>
      </c>
      <c r="Z1062" s="2279">
        <f t="shared" si="127"/>
        <v>18</v>
      </c>
      <c r="AA1062" s="369" t="s">
        <v>965</v>
      </c>
      <c r="AB1062" s="213">
        <v>220</v>
      </c>
      <c r="AC1062" s="234">
        <v>500</v>
      </c>
    </row>
    <row r="1063" spans="1:29" ht="12.75" customHeight="1" thickBot="1" x14ac:dyDescent="0.25">
      <c r="A1063" s="1928">
        <v>1063</v>
      </c>
      <c r="B1063" s="5335"/>
      <c r="H1063" s="513" t="s">
        <v>1543</v>
      </c>
      <c r="I1063" s="426">
        <f>Tablas!G431</f>
        <v>0</v>
      </c>
      <c r="N1063" s="363"/>
      <c r="O1063" s="2011"/>
      <c r="Y1063" s="1670" t="str">
        <f t="shared" si="126"/>
        <v>Byakko: La bestia definitiva</v>
      </c>
      <c r="Z1063" s="2279">
        <f t="shared" si="127"/>
        <v>48</v>
      </c>
      <c r="AA1063" s="369" t="s">
        <v>966</v>
      </c>
      <c r="AB1063" s="213">
        <v>140</v>
      </c>
      <c r="AC1063" s="234">
        <v>200</v>
      </c>
    </row>
    <row r="1064" spans="1:29" ht="12.75" customHeight="1" thickBot="1" x14ac:dyDescent="0.25">
      <c r="A1064" s="1928">
        <v>1064</v>
      </c>
      <c r="B1064" s="5335"/>
      <c r="N1064" s="363"/>
      <c r="O1064" s="2011"/>
      <c r="Y1064" s="1670" t="str">
        <f t="shared" si="126"/>
        <v>Byakko: La garra del rey de las bestias</v>
      </c>
      <c r="Z1064" s="2279">
        <f t="shared" si="127"/>
        <v>33</v>
      </c>
      <c r="AA1064" s="369" t="s">
        <v>967</v>
      </c>
      <c r="AB1064" s="213">
        <v>180</v>
      </c>
      <c r="AC1064" s="234">
        <v>200</v>
      </c>
    </row>
    <row r="1065" spans="1:29" ht="12.75" customHeight="1" x14ac:dyDescent="0.2">
      <c r="A1065" s="1928">
        <v>1065</v>
      </c>
      <c r="B1065" s="5335"/>
      <c r="C1065" s="5307" t="s">
        <v>80</v>
      </c>
      <c r="D1065" s="5308"/>
      <c r="E1065" s="5308"/>
      <c r="F1065" s="5308"/>
      <c r="G1065" s="5308"/>
      <c r="H1065" s="5308"/>
      <c r="I1065" s="5308"/>
      <c r="J1065" s="5309"/>
      <c r="K1065" s="5245" t="s">
        <v>8538</v>
      </c>
      <c r="M1065" s="3130" t="s">
        <v>8539</v>
      </c>
      <c r="N1065" s="3131"/>
      <c r="O1065" s="3131"/>
      <c r="P1065" s="3131"/>
      <c r="Q1065" s="3131"/>
      <c r="R1065" s="3131"/>
      <c r="S1065" s="3131"/>
      <c r="T1065" s="3131"/>
      <c r="U1065" s="3131"/>
      <c r="V1065" s="3131"/>
      <c r="W1065" s="3132"/>
      <c r="Y1065" s="1670" t="str">
        <f t="shared" si="126"/>
        <v>Byakko: Protección</v>
      </c>
      <c r="Z1065" s="2279">
        <f t="shared" si="127"/>
        <v>35</v>
      </c>
      <c r="AA1065" s="369" t="s">
        <v>968</v>
      </c>
      <c r="AB1065" s="213">
        <v>140</v>
      </c>
      <c r="AC1065" s="234">
        <v>120</v>
      </c>
    </row>
    <row r="1066" spans="1:29" ht="12.75" customHeight="1" thickBot="1" x14ac:dyDescent="0.25">
      <c r="A1066" s="1928">
        <v>1066</v>
      </c>
      <c r="B1066" s="5335"/>
      <c r="C1066" s="5184" t="s">
        <v>8540</v>
      </c>
      <c r="D1066" s="5185"/>
      <c r="E1066" s="5185"/>
      <c r="F1066" s="5185"/>
      <c r="G1066" s="5185"/>
      <c r="H1066" s="5185"/>
      <c r="I1066" s="5185"/>
      <c r="J1066" s="5186"/>
      <c r="K1066" s="5245"/>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6"/>
        <v>Byakko: Señor del oeste</v>
      </c>
      <c r="Z1066" s="2279">
        <f t="shared" si="127"/>
        <v>34</v>
      </c>
      <c r="AA1066" s="369" t="s">
        <v>969</v>
      </c>
      <c r="AB1066" s="213">
        <v>200</v>
      </c>
      <c r="AC1066" s="234">
        <v>240</v>
      </c>
    </row>
    <row r="1067" spans="1:29" ht="12.75" customHeight="1" x14ac:dyDescent="0.2">
      <c r="A1067" s="1928">
        <v>1067</v>
      </c>
      <c r="B1067" s="5335"/>
      <c r="C1067" s="522" t="s">
        <v>81</v>
      </c>
      <c r="D1067" s="523" t="s">
        <v>2033</v>
      </c>
      <c r="E1067" s="523" t="s">
        <v>2031</v>
      </c>
      <c r="F1067" s="523" t="s">
        <v>2029</v>
      </c>
      <c r="G1067" s="523" t="s">
        <v>1929</v>
      </c>
      <c r="H1067" s="523" t="s">
        <v>2024</v>
      </c>
      <c r="I1067" s="456" t="s">
        <v>1925</v>
      </c>
      <c r="J1067" s="392"/>
      <c r="K1067" s="2009" t="str">
        <f t="shared" ref="K1067:K1080" si="128">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6"/>
        <v>Caronte, Titiritero de Almas</v>
      </c>
      <c r="Z1067" s="2279">
        <f t="shared" si="127"/>
        <v>36</v>
      </c>
      <c r="AA1067" s="369" t="s">
        <v>970</v>
      </c>
      <c r="AB1067" s="213">
        <v>240</v>
      </c>
      <c r="AC1067" s="234">
        <v>400</v>
      </c>
    </row>
    <row r="1068" spans="1:29" ht="12.75" customHeight="1" x14ac:dyDescent="0.2">
      <c r="A1068" s="1928">
        <v>1068</v>
      </c>
      <c r="B1068" s="5335"/>
      <c r="C1068" s="524" t="s">
        <v>89</v>
      </c>
      <c r="D1068" s="523" t="s">
        <v>2027</v>
      </c>
      <c r="E1068" s="523" t="s">
        <v>2024</v>
      </c>
      <c r="F1068" s="523" t="s">
        <v>1929</v>
      </c>
      <c r="G1068" s="523" t="s">
        <v>2031</v>
      </c>
      <c r="H1068" s="523"/>
      <c r="I1068" s="456"/>
      <c r="J1068" s="392"/>
      <c r="K1068" s="2009" t="str">
        <f t="shared" si="128"/>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6"/>
        <v>Druaga</v>
      </c>
      <c r="Z1068" s="2279">
        <f t="shared" si="127"/>
        <v>25</v>
      </c>
      <c r="AA1068" s="369" t="s">
        <v>971</v>
      </c>
      <c r="AB1068" s="213">
        <v>260</v>
      </c>
      <c r="AC1068" s="234">
        <v>400</v>
      </c>
    </row>
    <row r="1069" spans="1:29" ht="12.75" customHeight="1" x14ac:dyDescent="0.2">
      <c r="A1069" s="1928">
        <v>1069</v>
      </c>
      <c r="B1069" s="5335"/>
      <c r="C1069" s="524" t="s">
        <v>82</v>
      </c>
      <c r="D1069" s="523" t="s">
        <v>2029</v>
      </c>
      <c r="E1069" s="523" t="s">
        <v>1922</v>
      </c>
      <c r="F1069" s="523" t="s">
        <v>2019</v>
      </c>
      <c r="G1069" s="523" t="s">
        <v>1925</v>
      </c>
      <c r="H1069" s="523" t="s">
        <v>2031</v>
      </c>
      <c r="I1069" s="456" t="s">
        <v>2026</v>
      </c>
      <c r="J1069" s="392"/>
      <c r="K1069" s="2009" t="str">
        <f t="shared" si="128"/>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6"/>
        <v>Druaga: Destructora de demonios</v>
      </c>
      <c r="Z1069" s="2279">
        <f t="shared" si="127"/>
        <v>47</v>
      </c>
      <c r="AA1069" s="369" t="s">
        <v>972</v>
      </c>
      <c r="AB1069" s="213">
        <v>180</v>
      </c>
      <c r="AC1069" s="234">
        <v>200</v>
      </c>
    </row>
    <row r="1070" spans="1:29" ht="12.75" customHeight="1" x14ac:dyDescent="0.2">
      <c r="A1070" s="1928">
        <v>1070</v>
      </c>
      <c r="B1070" s="5335"/>
      <c r="C1070" s="524" t="s">
        <v>83</v>
      </c>
      <c r="D1070" s="523" t="s">
        <v>2033</v>
      </c>
      <c r="E1070" s="523" t="s">
        <v>2027</v>
      </c>
      <c r="F1070" s="523" t="s">
        <v>2029</v>
      </c>
      <c r="G1070" s="523" t="s">
        <v>1929</v>
      </c>
      <c r="H1070" s="523" t="s">
        <v>1922</v>
      </c>
      <c r="I1070" s="456" t="s">
        <v>2024</v>
      </c>
      <c r="J1070" s="392"/>
      <c r="K1070" s="2009" t="str">
        <f t="shared" si="128"/>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6"/>
        <v>Druaga: Kali</v>
      </c>
      <c r="Z1070" s="2279">
        <f t="shared" si="127"/>
        <v>26</v>
      </c>
      <c r="AA1070" s="369" t="s">
        <v>973</v>
      </c>
      <c r="AB1070" s="213">
        <v>220</v>
      </c>
      <c r="AC1070" s="234">
        <v>350</v>
      </c>
    </row>
    <row r="1071" spans="1:29" ht="12.75" customHeight="1" x14ac:dyDescent="0.2">
      <c r="A1071" s="1928">
        <v>1071</v>
      </c>
      <c r="B1071" s="5335"/>
      <c r="C1071" s="524" t="s">
        <v>84</v>
      </c>
      <c r="D1071" s="523" t="s">
        <v>2026</v>
      </c>
      <c r="E1071" s="523" t="s">
        <v>2019</v>
      </c>
      <c r="F1071" s="523" t="s">
        <v>2029</v>
      </c>
      <c r="G1071" s="523" t="s">
        <v>2024</v>
      </c>
      <c r="H1071" s="523" t="s">
        <v>1925</v>
      </c>
      <c r="I1071" s="456" t="s">
        <v>1922</v>
      </c>
      <c r="J1071" s="392" t="s">
        <v>2031</v>
      </c>
      <c r="K1071" s="2009" t="str">
        <f t="shared" si="128"/>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6"/>
        <v>Eir, la Primera Valkyria</v>
      </c>
      <c r="Z1071" s="2279">
        <f t="shared" si="127"/>
        <v>50</v>
      </c>
      <c r="AA1071" s="369" t="s">
        <v>974</v>
      </c>
      <c r="AB1071" s="213">
        <v>220</v>
      </c>
      <c r="AC1071" s="234">
        <v>400</v>
      </c>
    </row>
    <row r="1072" spans="1:29" ht="12.75" customHeight="1" x14ac:dyDescent="0.2">
      <c r="A1072" s="1928">
        <v>1072</v>
      </c>
      <c r="B1072" s="5335"/>
      <c r="C1072" s="524" t="s">
        <v>85</v>
      </c>
      <c r="D1072" s="523" t="s">
        <v>2027</v>
      </c>
      <c r="E1072" s="523" t="s">
        <v>1929</v>
      </c>
      <c r="F1072" s="523" t="s">
        <v>2024</v>
      </c>
      <c r="G1072" s="523" t="s">
        <v>2033</v>
      </c>
      <c r="H1072" s="523"/>
      <c r="I1072" s="456"/>
      <c r="J1072" s="392"/>
      <c r="K1072" s="2009" t="str">
        <f t="shared" si="128"/>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6"/>
        <v>Eir: Einjear</v>
      </c>
      <c r="Z1072" s="2279">
        <f t="shared" si="127"/>
        <v>37</v>
      </c>
      <c r="AA1072" s="369" t="s">
        <v>975</v>
      </c>
      <c r="AB1072" s="213">
        <v>280</v>
      </c>
      <c r="AC1072" s="234">
        <v>500</v>
      </c>
    </row>
    <row r="1073" spans="1:36" ht="12.75" customHeight="1" x14ac:dyDescent="0.2">
      <c r="A1073" s="1928">
        <v>1073</v>
      </c>
      <c r="B1073" s="5335"/>
      <c r="C1073" s="524" t="s">
        <v>86</v>
      </c>
      <c r="D1073" s="523" t="s">
        <v>2026</v>
      </c>
      <c r="E1073" s="523" t="s">
        <v>2027</v>
      </c>
      <c r="F1073" s="523" t="s">
        <v>2029</v>
      </c>
      <c r="G1073" s="523" t="s">
        <v>1929</v>
      </c>
      <c r="H1073" s="523" t="s">
        <v>2033</v>
      </c>
      <c r="I1073" s="456"/>
      <c r="J1073" s="392"/>
      <c r="K1073" s="2009" t="str">
        <f t="shared" si="128"/>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6"/>
        <v>Eir: El ojo de la muerte</v>
      </c>
      <c r="Z1073" s="2279">
        <f t="shared" si="127"/>
        <v>39</v>
      </c>
      <c r="AA1073" s="369" t="s">
        <v>976</v>
      </c>
      <c r="AB1073" s="213">
        <v>240</v>
      </c>
      <c r="AC1073" s="234">
        <v>400</v>
      </c>
    </row>
    <row r="1074" spans="1:36" ht="12.75" customHeight="1" x14ac:dyDescent="0.2">
      <c r="A1074" s="1928">
        <v>1074</v>
      </c>
      <c r="B1074" s="5335"/>
      <c r="C1074" s="524" t="s">
        <v>87</v>
      </c>
      <c r="D1074" s="523" t="s">
        <v>2027</v>
      </c>
      <c r="E1074" s="523" t="s">
        <v>2020</v>
      </c>
      <c r="F1074" s="523" t="s">
        <v>1929</v>
      </c>
      <c r="G1074" s="523" t="s">
        <v>2033</v>
      </c>
      <c r="H1074" s="523" t="s">
        <v>2031</v>
      </c>
      <c r="I1074" s="456"/>
      <c r="J1074" s="392"/>
      <c r="K1074" s="2009" t="str">
        <f t="shared" si="128"/>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6"/>
        <v>El Vendedor</v>
      </c>
      <c r="Z1074" s="2279">
        <f t="shared" si="127"/>
        <v>38</v>
      </c>
      <c r="AA1074" s="369" t="s">
        <v>977</v>
      </c>
      <c r="AB1074" s="213">
        <v>280</v>
      </c>
      <c r="AC1074" s="234">
        <v>500</v>
      </c>
    </row>
    <row r="1075" spans="1:36" ht="12.75" customHeight="1" x14ac:dyDescent="0.2">
      <c r="A1075" s="1928">
        <v>1075</v>
      </c>
      <c r="B1075" s="5335"/>
      <c r="C1075" s="524" t="s">
        <v>88</v>
      </c>
      <c r="D1075" s="523" t="s">
        <v>2019</v>
      </c>
      <c r="E1075" s="523" t="s">
        <v>2029</v>
      </c>
      <c r="F1075" s="523" t="s">
        <v>2031</v>
      </c>
      <c r="G1075" s="523" t="s">
        <v>2024</v>
      </c>
      <c r="H1075" s="523" t="s">
        <v>1925</v>
      </c>
      <c r="I1075" s="456"/>
      <c r="J1075" s="392"/>
      <c r="K1075" s="2009" t="str">
        <f t="shared" si="128"/>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6"/>
        <v>Enamon</v>
      </c>
      <c r="Z1075" s="2279">
        <f t="shared" si="127"/>
        <v>19</v>
      </c>
      <c r="AA1075" s="369" t="s">
        <v>978</v>
      </c>
      <c r="AB1075" s="213">
        <v>280</v>
      </c>
      <c r="AC1075" s="234">
        <v>400</v>
      </c>
    </row>
    <row r="1076" spans="1:36" ht="12.75" customHeight="1" x14ac:dyDescent="0.2">
      <c r="A1076" s="1928">
        <v>1076</v>
      </c>
      <c r="B1076" s="5335"/>
      <c r="C1076" s="524" t="s">
        <v>90</v>
      </c>
      <c r="D1076" s="523" t="s">
        <v>2019</v>
      </c>
      <c r="E1076" s="523" t="s">
        <v>2031</v>
      </c>
      <c r="F1076" s="523" t="s">
        <v>1929</v>
      </c>
      <c r="G1076" s="523" t="s">
        <v>1922</v>
      </c>
      <c r="H1076" s="523" t="s">
        <v>2024</v>
      </c>
      <c r="I1076" s="456"/>
      <c r="J1076" s="392"/>
      <c r="K1076" s="2009" t="str">
        <f t="shared" si="128"/>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6"/>
        <v>Ethelthryth, Señora de los Nombres</v>
      </c>
      <c r="Z1076" s="2279">
        <f t="shared" si="127"/>
        <v>20</v>
      </c>
      <c r="AA1076" s="369" t="s">
        <v>979</v>
      </c>
      <c r="AB1076" s="213">
        <v>240</v>
      </c>
      <c r="AC1076" s="234">
        <v>350</v>
      </c>
      <c r="AJ1076" s="1665"/>
    </row>
    <row r="1077" spans="1:36" ht="12.75" customHeight="1" x14ac:dyDescent="0.2">
      <c r="A1077" s="1928">
        <v>1077</v>
      </c>
      <c r="B1077" s="5335"/>
      <c r="C1077" s="524" t="s">
        <v>91</v>
      </c>
      <c r="D1077" s="523" t="s">
        <v>2026</v>
      </c>
      <c r="E1077" s="523" t="s">
        <v>2027</v>
      </c>
      <c r="F1077" s="523" t="s">
        <v>1925</v>
      </c>
      <c r="G1077" s="523" t="s">
        <v>2024</v>
      </c>
      <c r="H1077" s="523" t="s">
        <v>1929</v>
      </c>
      <c r="I1077" s="456"/>
      <c r="J1077" s="392"/>
      <c r="K1077" s="2009" t="str">
        <f t="shared" si="128"/>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6"/>
        <v>Ethelthryth: In Nomine</v>
      </c>
      <c r="Z1077" s="2279">
        <f t="shared" si="127"/>
        <v>21</v>
      </c>
      <c r="AA1077" s="369" t="s">
        <v>980</v>
      </c>
      <c r="AB1077" s="213">
        <v>320</v>
      </c>
      <c r="AC1077" s="234">
        <v>450</v>
      </c>
    </row>
    <row r="1078" spans="1:36" ht="12.75" customHeight="1" x14ac:dyDescent="0.2">
      <c r="A1078" s="1928">
        <v>1078</v>
      </c>
      <c r="B1078" s="5335"/>
      <c r="C1078" s="524" t="s">
        <v>92</v>
      </c>
      <c r="D1078" s="523" t="s">
        <v>2033</v>
      </c>
      <c r="E1078" s="523" t="s">
        <v>1925</v>
      </c>
      <c r="F1078" s="523" t="s">
        <v>2024</v>
      </c>
      <c r="G1078" s="523" t="s">
        <v>1929</v>
      </c>
      <c r="H1078" s="523" t="s">
        <v>1922</v>
      </c>
      <c r="I1078" s="456" t="s">
        <v>2029</v>
      </c>
      <c r="J1078" s="392" t="s">
        <v>2031</v>
      </c>
      <c r="K1078" s="2009" t="str">
        <f t="shared" si="128"/>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6"/>
        <v>Ethelthryth: Ordinare</v>
      </c>
      <c r="Z1078" s="2279">
        <f t="shared" si="127"/>
        <v>14</v>
      </c>
      <c r="AA1078" s="369" t="s">
        <v>981</v>
      </c>
      <c r="AB1078" s="213">
        <v>280</v>
      </c>
      <c r="AC1078" s="234">
        <v>400</v>
      </c>
    </row>
    <row r="1079" spans="1:36" ht="12.75" customHeight="1" x14ac:dyDescent="0.2">
      <c r="A1079" s="1928">
        <v>1079</v>
      </c>
      <c r="B1079" s="5335"/>
      <c r="C1079" s="524" t="s">
        <v>2433</v>
      </c>
      <c r="D1079" s="523" t="s">
        <v>2019</v>
      </c>
      <c r="E1079" s="523" t="s">
        <v>2029</v>
      </c>
      <c r="F1079" s="523" t="s">
        <v>1925</v>
      </c>
      <c r="G1079" s="523" t="s">
        <v>2026</v>
      </c>
      <c r="H1079" s="523" t="s">
        <v>2027</v>
      </c>
      <c r="I1079" s="456"/>
      <c r="J1079" s="392"/>
      <c r="K1079" s="2009" t="str">
        <f t="shared" si="128"/>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6"/>
        <v>Forseti, Señor del Equilibrio</v>
      </c>
      <c r="Z1079" s="2279">
        <f t="shared" si="127"/>
        <v>16</v>
      </c>
      <c r="AA1079" s="369" t="s">
        <v>982</v>
      </c>
      <c r="AB1079" s="213">
        <v>200</v>
      </c>
      <c r="AC1079" s="234">
        <v>240</v>
      </c>
    </row>
    <row r="1080" spans="1:36" ht="12.75" customHeight="1" thickBot="1" x14ac:dyDescent="0.25">
      <c r="A1080" s="1928">
        <v>1080</v>
      </c>
      <c r="B1080" s="5335"/>
      <c r="C1080" s="525" t="s">
        <v>93</v>
      </c>
      <c r="D1080" s="526" t="s">
        <v>2019</v>
      </c>
      <c r="E1080" s="526" t="s">
        <v>2026</v>
      </c>
      <c r="F1080" s="526" t="s">
        <v>2024</v>
      </c>
      <c r="G1080" s="526" t="s">
        <v>1929</v>
      </c>
      <c r="H1080" s="526" t="s">
        <v>2029</v>
      </c>
      <c r="I1080" s="458" t="s">
        <v>2031</v>
      </c>
      <c r="J1080" s="398"/>
      <c r="K1080" s="2010" t="str">
        <f t="shared" si="128"/>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6"/>
        <v>Forseti: Equilibirum</v>
      </c>
      <c r="Z1080" s="2279">
        <f t="shared" si="127"/>
        <v>15</v>
      </c>
      <c r="AA1080" s="369" t="s">
        <v>983</v>
      </c>
      <c r="AB1080" s="213">
        <v>380</v>
      </c>
      <c r="AC1080" s="234">
        <v>800</v>
      </c>
    </row>
    <row r="1081" spans="1:36" ht="12.75" customHeight="1" x14ac:dyDescent="0.2">
      <c r="A1081" s="1928">
        <v>1081</v>
      </c>
      <c r="B1081" s="5335"/>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6"/>
        <v>Forseti: Equilibirum mundi</v>
      </c>
      <c r="Z1081" s="2279">
        <f t="shared" si="127"/>
        <v>68</v>
      </c>
      <c r="AA1081" s="369" t="s">
        <v>984</v>
      </c>
      <c r="AB1081" s="213">
        <v>240</v>
      </c>
      <c r="AC1081" s="234">
        <v>350</v>
      </c>
    </row>
    <row r="1082" spans="1:36" ht="12.75" customHeight="1" thickBot="1" x14ac:dyDescent="0.25">
      <c r="A1082" s="1928">
        <v>1082</v>
      </c>
      <c r="B1082" s="5335"/>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6"/>
        <v>Galgaliel, Ángel de los Dones</v>
      </c>
      <c r="Z1082" s="2279">
        <f t="shared" si="127"/>
        <v>67</v>
      </c>
      <c r="AA1082" s="369" t="s">
        <v>985</v>
      </c>
      <c r="AB1082" s="213">
        <v>240</v>
      </c>
      <c r="AC1082" s="234">
        <v>400</v>
      </c>
    </row>
    <row r="1083" spans="1:36" ht="12.75" customHeight="1" x14ac:dyDescent="0.2">
      <c r="A1083" s="1928">
        <v>1083</v>
      </c>
      <c r="B1083" s="5335"/>
      <c r="Y1083" s="1670" t="str">
        <f t="shared" si="126"/>
        <v>Garuda, Alas de Fuego</v>
      </c>
      <c r="Z1083" s="2279">
        <f t="shared" si="127"/>
        <v>10</v>
      </c>
      <c r="AA1083" s="369" t="s">
        <v>986</v>
      </c>
      <c r="AB1083" s="213">
        <v>340</v>
      </c>
      <c r="AC1083" s="234">
        <v>700</v>
      </c>
    </row>
    <row r="1084" spans="1:36" ht="12.75" customHeight="1" x14ac:dyDescent="0.2">
      <c r="A1084" s="1928">
        <v>1084</v>
      </c>
      <c r="B1084" s="5335"/>
      <c r="M1084" s="1854"/>
      <c r="N1084" s="1854"/>
      <c r="O1084" s="2029"/>
      <c r="P1084" s="1854"/>
      <c r="Q1084" s="1854"/>
      <c r="R1084" s="1854"/>
      <c r="S1084" s="1854"/>
      <c r="T1084" s="1854"/>
      <c r="U1084" s="1854"/>
      <c r="V1084" s="1854"/>
      <c r="W1084" s="1854"/>
      <c r="Y1084" s="1670" t="str">
        <f t="shared" si="126"/>
        <v>Genbu, la Tortuga Negra</v>
      </c>
      <c r="Z1084" s="2279">
        <f t="shared" si="127"/>
        <v>49</v>
      </c>
      <c r="AA1084" s="369" t="s">
        <v>987</v>
      </c>
      <c r="AB1084" s="213">
        <v>280</v>
      </c>
      <c r="AC1084" s="234">
        <v>500</v>
      </c>
    </row>
    <row r="1085" spans="1:36" ht="12.75" customHeight="1" x14ac:dyDescent="0.2">
      <c r="A1085" s="1928">
        <v>1085</v>
      </c>
      <c r="B1085" s="5335"/>
      <c r="N1085" s="2422"/>
      <c r="O1085" s="2011"/>
      <c r="Y1085" s="1670" t="str">
        <f t="shared" si="126"/>
        <v>Genbu: Amo de las entrañas de la tierra</v>
      </c>
      <c r="Z1085" s="2279">
        <f t="shared" si="127"/>
        <v>40</v>
      </c>
      <c r="AA1085" s="369" t="s">
        <v>988</v>
      </c>
      <c r="AB1085" s="213">
        <v>200</v>
      </c>
      <c r="AC1085" s="234">
        <v>350</v>
      </c>
    </row>
    <row r="1086" spans="1:36" ht="12.75" customHeight="1" x14ac:dyDescent="0.2">
      <c r="A1086" s="1928">
        <v>1086</v>
      </c>
      <c r="B1086" s="5335"/>
      <c r="Y1086" s="1670" t="str">
        <f t="shared" si="126"/>
        <v>Genbu: Clarividencia</v>
      </c>
      <c r="Z1086" s="2279">
        <f t="shared" si="127"/>
        <v>41</v>
      </c>
      <c r="AA1086" s="369" t="s">
        <v>989</v>
      </c>
      <c r="AB1086" s="213">
        <v>360</v>
      </c>
      <c r="AC1086" s="234">
        <v>650</v>
      </c>
    </row>
    <row r="1087" spans="1:36" ht="12.75" customHeight="1" x14ac:dyDescent="0.2">
      <c r="A1087" s="1928">
        <v>1087</v>
      </c>
      <c r="B1087" s="5335"/>
      <c r="Y1087" s="1670" t="str">
        <f t="shared" si="126"/>
        <v>Genbu: El escudo definitivo</v>
      </c>
      <c r="Z1087" s="2279">
        <f t="shared" si="127"/>
        <v>22</v>
      </c>
      <c r="AA1087" s="369" t="s">
        <v>990</v>
      </c>
      <c r="AB1087" s="213">
        <v>320</v>
      </c>
      <c r="AC1087" s="234">
        <v>600</v>
      </c>
    </row>
    <row r="1088" spans="1:36" ht="12.75" customHeight="1" thickBot="1" x14ac:dyDescent="0.25">
      <c r="A1088" s="1928">
        <v>1088</v>
      </c>
      <c r="B1088" s="5335"/>
      <c r="H1088" s="363"/>
      <c r="I1088" s="1665"/>
      <c r="N1088" s="363"/>
      <c r="O1088" s="2011"/>
      <c r="Y1088" s="1670" t="str">
        <f t="shared" si="126"/>
        <v>Genbu: Señor del norte</v>
      </c>
      <c r="Z1088" s="2279">
        <f t="shared" si="127"/>
        <v>23</v>
      </c>
      <c r="AA1088" s="369" t="s">
        <v>991</v>
      </c>
      <c r="AB1088" s="213">
        <v>280</v>
      </c>
      <c r="AC1088" s="234">
        <v>500</v>
      </c>
    </row>
    <row r="1089" spans="1:29" ht="12.75" customHeight="1" thickBot="1" x14ac:dyDescent="0.25">
      <c r="A1089" s="1928">
        <v>1089</v>
      </c>
      <c r="B1089" s="5335"/>
      <c r="C1089" s="5138" t="s">
        <v>30</v>
      </c>
      <c r="D1089" s="5138"/>
      <c r="E1089" s="5138"/>
      <c r="F1089" s="5138"/>
      <c r="G1089" s="5138"/>
      <c r="H1089" s="5138"/>
      <c r="I1089" s="5138"/>
      <c r="J1089" s="5138"/>
      <c r="K1089" s="5138"/>
      <c r="L1089" s="5138"/>
      <c r="M1089" s="5138"/>
      <c r="N1089" s="5138"/>
      <c r="O1089" s="5138"/>
      <c r="P1089" s="5138"/>
      <c r="Q1089" s="5138"/>
      <c r="R1089" s="5138"/>
      <c r="S1089" s="5138"/>
      <c r="T1089" s="5138"/>
      <c r="U1089" s="5138"/>
      <c r="V1089" s="5138"/>
      <c r="W1089" s="5138"/>
      <c r="Y1089" s="1670" t="str">
        <f t="shared" si="126"/>
        <v>Hermod, el Mensajero de los Dioses</v>
      </c>
      <c r="Z1089" s="2279">
        <f t="shared" si="127"/>
        <v>24</v>
      </c>
      <c r="AA1089" s="369" t="s">
        <v>992</v>
      </c>
      <c r="AB1089" s="213">
        <v>340</v>
      </c>
      <c r="AC1089" s="234">
        <v>700</v>
      </c>
    </row>
    <row r="1090" spans="1:29" ht="12.75" customHeight="1" x14ac:dyDescent="0.2">
      <c r="A1090" s="1928">
        <v>1090</v>
      </c>
      <c r="B1090" s="5335"/>
      <c r="C1090" s="5138"/>
      <c r="D1090" s="5138"/>
      <c r="E1090" s="5138"/>
      <c r="F1090" s="5138"/>
      <c r="G1090" s="5138"/>
      <c r="H1090" s="5138"/>
      <c r="I1090" s="5138"/>
      <c r="J1090" s="5138"/>
      <c r="K1090" s="5138"/>
      <c r="L1090" s="5138"/>
      <c r="M1090" s="5138"/>
      <c r="N1090" s="5138"/>
      <c r="O1090" s="5138"/>
      <c r="P1090" s="5138"/>
      <c r="Q1090" s="5138"/>
      <c r="R1090" s="5138"/>
      <c r="S1090" s="5138"/>
      <c r="T1090" s="5138"/>
      <c r="U1090" s="5138"/>
      <c r="V1090" s="5138"/>
      <c r="W1090" s="5138"/>
      <c r="Y1090" s="1670" t="str">
        <f t="shared" ref="Y1090:Y1121" si="129">VLOOKUP(A33,$Z$1058:$AA$1128,2,0)</f>
        <v>Huginn y Muninn, Ojos de Cuervo</v>
      </c>
      <c r="Z1090" s="2279">
        <f t="shared" ref="Z1090:Z1121" si="130">COUNTIF($AA$1058:$AA$1128,"&lt;="&amp;AA1090)</f>
        <v>11</v>
      </c>
      <c r="AA1090" s="369" t="s">
        <v>993</v>
      </c>
      <c r="AB1090" s="213">
        <v>320</v>
      </c>
      <c r="AC1090" s="234">
        <v>550</v>
      </c>
    </row>
    <row r="1091" spans="1:29" ht="12.75" customHeight="1" thickBot="1" x14ac:dyDescent="0.25">
      <c r="A1091" s="1928">
        <v>1091</v>
      </c>
      <c r="B1091" s="5335"/>
      <c r="C1091" s="5191" t="s">
        <v>31</v>
      </c>
      <c r="D1091" s="5191"/>
      <c r="E1091" s="401" t="s">
        <v>1801</v>
      </c>
      <c r="F1091" s="401" t="s">
        <v>2171</v>
      </c>
      <c r="G1091" s="517" t="s">
        <v>1861</v>
      </c>
      <c r="H1091" s="518"/>
      <c r="I1091" s="1734"/>
      <c r="J1091" s="5247" t="s">
        <v>1509</v>
      </c>
      <c r="K1091" s="5247"/>
      <c r="L1091" s="5247"/>
      <c r="M1091" s="5247"/>
      <c r="N1091" s="5247"/>
      <c r="O1091" s="5247"/>
      <c r="P1091" s="5247"/>
      <c r="Q1091" s="5247"/>
      <c r="R1091" s="5180" t="s">
        <v>1297</v>
      </c>
      <c r="S1091" s="5180"/>
      <c r="T1091" s="5180"/>
      <c r="U1091" s="5180"/>
      <c r="V1091" s="5180"/>
      <c r="W1091" s="5180"/>
      <c r="Y1091" s="1670" t="str">
        <f t="shared" si="129"/>
        <v>Huginn y Muninn: Ojo del mundo</v>
      </c>
      <c r="Z1091" s="2279">
        <f t="shared" si="130"/>
        <v>12</v>
      </c>
      <c r="AA1091" s="369" t="s">
        <v>994</v>
      </c>
      <c r="AB1091" s="213">
        <v>280</v>
      </c>
      <c r="AC1091" s="234">
        <v>400</v>
      </c>
    </row>
    <row r="1092" spans="1:29" ht="12.75" customHeight="1" x14ac:dyDescent="0.2">
      <c r="A1092" s="1928">
        <v>1092</v>
      </c>
      <c r="B1092" s="5335"/>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29"/>
        <v>Huginn y Muninn: Visión verdadera</v>
      </c>
      <c r="Z1092" s="2279">
        <f t="shared" si="130"/>
        <v>13</v>
      </c>
      <c r="AA1092" s="369" t="s">
        <v>995</v>
      </c>
      <c r="AB1092" s="213">
        <v>340</v>
      </c>
      <c r="AC1092" s="234">
        <v>700</v>
      </c>
    </row>
    <row r="1093" spans="1:29" ht="12.75" customHeight="1" x14ac:dyDescent="0.2">
      <c r="A1093" s="1928">
        <v>1093</v>
      </c>
      <c r="B1093" s="5335"/>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29"/>
        <v>Idea, Musa de la Locura</v>
      </c>
      <c r="Z1093" s="2279">
        <f t="shared" si="130"/>
        <v>2</v>
      </c>
      <c r="AA1093" s="369" t="s">
        <v>996</v>
      </c>
      <c r="AB1093" s="213">
        <v>280</v>
      </c>
      <c r="AC1093" s="234">
        <v>500</v>
      </c>
    </row>
    <row r="1094" spans="1:29" ht="12.75" customHeight="1" x14ac:dyDescent="0.2">
      <c r="A1094" s="1928">
        <v>1094</v>
      </c>
      <c r="B1094" s="5335"/>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29"/>
        <v>Idún, Señora de la Juventud Eterna</v>
      </c>
      <c r="Z1094" s="2279">
        <f t="shared" si="130"/>
        <v>3</v>
      </c>
      <c r="AA1094" s="369" t="s">
        <v>997</v>
      </c>
      <c r="AB1094" s="213">
        <v>240</v>
      </c>
      <c r="AC1094" s="234">
        <v>350</v>
      </c>
    </row>
    <row r="1095" spans="1:29" ht="12.75" customHeight="1" x14ac:dyDescent="0.2">
      <c r="A1095" s="1928">
        <v>1095</v>
      </c>
      <c r="B1095" s="5335"/>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29"/>
        <v>Idún: Envejecer</v>
      </c>
      <c r="Z1095" s="2279">
        <f t="shared" si="130"/>
        <v>4</v>
      </c>
      <c r="AA1095" s="369" t="s">
        <v>998</v>
      </c>
      <c r="AB1095" s="213">
        <v>380</v>
      </c>
      <c r="AC1095" s="234">
        <v>800</v>
      </c>
    </row>
    <row r="1096" spans="1:29" ht="12.75" customHeight="1" x14ac:dyDescent="0.2">
      <c r="A1096" s="1928">
        <v>1096</v>
      </c>
      <c r="B1096" s="5335"/>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29"/>
        <v>Idún: Rejuvenecer</v>
      </c>
      <c r="Z1096" s="2279">
        <f t="shared" si="130"/>
        <v>44</v>
      </c>
      <c r="AA1096" s="369" t="s">
        <v>999</v>
      </c>
      <c r="AB1096" s="213">
        <v>280</v>
      </c>
      <c r="AC1096" s="234">
        <v>500</v>
      </c>
    </row>
    <row r="1097" spans="1:29" ht="12.75" customHeight="1" x14ac:dyDescent="0.2">
      <c r="A1097" s="1928">
        <v>1097</v>
      </c>
      <c r="B1097" s="5335"/>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29"/>
        <v>Kagutsuchi: Hi no kodomo</v>
      </c>
      <c r="Z1097" s="2279">
        <f t="shared" si="130"/>
        <v>45</v>
      </c>
      <c r="AA1097" s="369" t="s">
        <v>1000</v>
      </c>
      <c r="AB1097" s="213">
        <v>240</v>
      </c>
      <c r="AC1097" s="234">
        <v>350</v>
      </c>
    </row>
    <row r="1098" spans="1:29" ht="12.75" customHeight="1" x14ac:dyDescent="0.2">
      <c r="A1098" s="1928">
        <v>1098</v>
      </c>
      <c r="B1098" s="5335"/>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29"/>
        <v>Kagutsuchi: Hi no tsubasa</v>
      </c>
      <c r="Z1098" s="2279">
        <f t="shared" si="130"/>
        <v>46</v>
      </c>
      <c r="AA1098" s="369" t="s">
        <v>1001</v>
      </c>
      <c r="AB1098" s="213">
        <v>380</v>
      </c>
      <c r="AC1098" s="234">
        <v>800</v>
      </c>
    </row>
    <row r="1099" spans="1:29" ht="12.75" customHeight="1" x14ac:dyDescent="0.2">
      <c r="A1099" s="1928">
        <v>1099</v>
      </c>
      <c r="B1099" s="5335"/>
      <c r="C1099" s="65"/>
      <c r="D1099" s="499" t="s">
        <v>59</v>
      </c>
      <c r="E1099" s="500">
        <v>10</v>
      </c>
      <c r="F1099" s="500">
        <v>10</v>
      </c>
      <c r="G1099" s="519" t="s">
        <v>60</v>
      </c>
      <c r="H1099" s="67"/>
      <c r="I1099" s="255"/>
      <c r="J1099" s="67" t="str">
        <f t="shared" ref="J1099:J1105" si="131">""</f>
        <v/>
      </c>
      <c r="K1099" s="67"/>
      <c r="L1099" s="67"/>
      <c r="M1099" s="67"/>
      <c r="N1099" s="67"/>
      <c r="O1099" s="255"/>
      <c r="P1099" s="67"/>
      <c r="Q1099" s="67"/>
      <c r="R1099" s="519" t="s">
        <v>61</v>
      </c>
      <c r="S1099" s="67"/>
      <c r="T1099" s="67"/>
      <c r="U1099" s="67"/>
      <c r="V1099" s="67"/>
      <c r="W1099" s="68"/>
      <c r="Y1099" s="1670" t="str">
        <f t="shared" si="129"/>
        <v>Kirin, el Centro</v>
      </c>
      <c r="Z1099" s="2279">
        <f t="shared" si="130"/>
        <v>69</v>
      </c>
      <c r="AA1099" s="369" t="s">
        <v>1002</v>
      </c>
      <c r="AB1099" s="213">
        <v>280</v>
      </c>
      <c r="AC1099" s="234">
        <v>500</v>
      </c>
    </row>
    <row r="1100" spans="1:29" ht="12.75" customHeight="1" x14ac:dyDescent="0.2">
      <c r="A1100" s="1928">
        <v>1100</v>
      </c>
      <c r="B1100" s="5335"/>
      <c r="C1100" s="65"/>
      <c r="D1100" s="499" t="s">
        <v>62</v>
      </c>
      <c r="E1100" s="500">
        <v>10</v>
      </c>
      <c r="F1100" s="500">
        <v>10</v>
      </c>
      <c r="G1100" s="519" t="s">
        <v>63</v>
      </c>
      <c r="H1100" s="67"/>
      <c r="I1100" s="255"/>
      <c r="J1100" s="67" t="str">
        <f t="shared" si="131"/>
        <v/>
      </c>
      <c r="K1100" s="67"/>
      <c r="L1100" s="67"/>
      <c r="M1100" s="67"/>
      <c r="N1100" s="67"/>
      <c r="O1100" s="255"/>
      <c r="P1100" s="67"/>
      <c r="Q1100" s="67"/>
      <c r="R1100" s="519" t="s">
        <v>64</v>
      </c>
      <c r="S1100" s="67"/>
      <c r="T1100" s="67"/>
      <c r="U1100" s="67"/>
      <c r="V1100" s="67"/>
      <c r="W1100" s="68"/>
      <c r="Y1100" s="1670" t="str">
        <f t="shared" si="129"/>
        <v>Kirin: Feng Shui</v>
      </c>
      <c r="Z1100" s="2279">
        <f t="shared" si="130"/>
        <v>70</v>
      </c>
      <c r="AA1100" s="369" t="s">
        <v>1003</v>
      </c>
      <c r="AB1100" s="213">
        <v>240</v>
      </c>
      <c r="AC1100" s="234">
        <v>350</v>
      </c>
    </row>
    <row r="1101" spans="1:29" ht="12.75" customHeight="1" x14ac:dyDescent="0.2">
      <c r="A1101" s="1928">
        <v>1101</v>
      </c>
      <c r="B1101" s="5335"/>
      <c r="C1101" s="65"/>
      <c r="D1101" s="499" t="s">
        <v>65</v>
      </c>
      <c r="E1101" s="500">
        <v>10</v>
      </c>
      <c r="F1101" s="500">
        <v>10</v>
      </c>
      <c r="G1101" s="519" t="s">
        <v>66</v>
      </c>
      <c r="H1101" s="67"/>
      <c r="I1101" s="255"/>
      <c r="J1101" s="67" t="str">
        <f t="shared" si="131"/>
        <v/>
      </c>
      <c r="K1101" s="67"/>
      <c r="L1101" s="67"/>
      <c r="M1101" s="67"/>
      <c r="N1101" s="67"/>
      <c r="O1101" s="255"/>
      <c r="P1101" s="67"/>
      <c r="Q1101" s="67"/>
      <c r="R1101" s="519" t="s">
        <v>67</v>
      </c>
      <c r="S1101" s="67"/>
      <c r="T1101" s="67"/>
      <c r="U1101" s="67"/>
      <c r="V1101" s="67"/>
      <c r="W1101" s="68"/>
      <c r="Y1101" s="1670" t="str">
        <f t="shared" si="129"/>
        <v>Leviathan, Señor de los Océanos</v>
      </c>
      <c r="Z1101" s="2279">
        <f t="shared" si="130"/>
        <v>71</v>
      </c>
      <c r="AA1101" s="369" t="s">
        <v>1004</v>
      </c>
      <c r="AB1101" s="213">
        <v>380</v>
      </c>
      <c r="AC1101" s="234">
        <v>800</v>
      </c>
    </row>
    <row r="1102" spans="1:29" ht="12.75" customHeight="1" x14ac:dyDescent="0.2">
      <c r="A1102" s="1928">
        <v>1102</v>
      </c>
      <c r="B1102" s="5335"/>
      <c r="C1102" s="65"/>
      <c r="D1102" s="499" t="s">
        <v>68</v>
      </c>
      <c r="E1102" s="500">
        <v>10</v>
      </c>
      <c r="F1102" s="500">
        <v>10</v>
      </c>
      <c r="G1102" s="519" t="s">
        <v>69</v>
      </c>
      <c r="H1102" s="67"/>
      <c r="I1102" s="255"/>
      <c r="J1102" s="67" t="str">
        <f t="shared" si="131"/>
        <v/>
      </c>
      <c r="K1102" s="67"/>
      <c r="L1102" s="67"/>
      <c r="M1102" s="67"/>
      <c r="N1102" s="67"/>
      <c r="O1102" s="255"/>
      <c r="P1102" s="67"/>
      <c r="Q1102" s="67"/>
      <c r="R1102" s="519" t="s">
        <v>70</v>
      </c>
      <c r="S1102" s="67"/>
      <c r="T1102" s="67"/>
      <c r="U1102" s="67"/>
      <c r="V1102" s="67"/>
      <c r="W1102" s="68"/>
      <c r="Y1102" s="1670" t="str">
        <f t="shared" si="129"/>
        <v>Leviathan: Comunión con el agua</v>
      </c>
      <c r="Z1102" s="2279">
        <f t="shared" si="130"/>
        <v>53</v>
      </c>
      <c r="AA1102" s="369" t="s">
        <v>1005</v>
      </c>
      <c r="AB1102" s="213">
        <v>400</v>
      </c>
      <c r="AC1102" s="234">
        <v>800</v>
      </c>
    </row>
    <row r="1103" spans="1:29" ht="12.75" customHeight="1" x14ac:dyDescent="0.2">
      <c r="A1103" s="1928">
        <v>1103</v>
      </c>
      <c r="B1103" s="5335"/>
      <c r="C1103" s="65"/>
      <c r="D1103" s="499" t="s">
        <v>71</v>
      </c>
      <c r="E1103" s="500">
        <v>10</v>
      </c>
      <c r="F1103" s="500">
        <v>10</v>
      </c>
      <c r="G1103" s="519" t="s">
        <v>72</v>
      </c>
      <c r="H1103" s="67"/>
      <c r="I1103" s="255"/>
      <c r="J1103" s="67" t="str">
        <f t="shared" si="131"/>
        <v/>
      </c>
      <c r="K1103" s="67"/>
      <c r="L1103" s="67"/>
      <c r="M1103" s="67"/>
      <c r="N1103" s="67"/>
      <c r="O1103" s="255"/>
      <c r="P1103" s="67"/>
      <c r="Q1103" s="67"/>
      <c r="R1103" s="519" t="s">
        <v>73</v>
      </c>
      <c r="S1103" s="67"/>
      <c r="T1103" s="67"/>
      <c r="U1103" s="67"/>
      <c r="V1103" s="67"/>
      <c r="W1103" s="68"/>
      <c r="Y1103" s="1670" t="str">
        <f t="shared" si="129"/>
        <v>Leviathan: Señor de las aguas</v>
      </c>
      <c r="Z1103" s="2279">
        <f t="shared" si="130"/>
        <v>57</v>
      </c>
      <c r="AA1103" s="369" t="s">
        <v>1006</v>
      </c>
      <c r="AB1103" s="213">
        <v>220</v>
      </c>
      <c r="AC1103" s="234">
        <v>300</v>
      </c>
    </row>
    <row r="1104" spans="1:29" ht="12.75" customHeight="1" x14ac:dyDescent="0.2">
      <c r="A1104" s="1928">
        <v>1104</v>
      </c>
      <c r="B1104" s="5335"/>
      <c r="C1104" s="65"/>
      <c r="D1104" s="499" t="s">
        <v>74</v>
      </c>
      <c r="E1104" s="500">
        <v>10</v>
      </c>
      <c r="F1104" s="500">
        <v>10</v>
      </c>
      <c r="G1104" s="519" t="s">
        <v>75</v>
      </c>
      <c r="H1104" s="67"/>
      <c r="I1104" s="255"/>
      <c r="J1104" s="67" t="str">
        <f t="shared" si="131"/>
        <v/>
      </c>
      <c r="K1104" s="67"/>
      <c r="L1104" s="67"/>
      <c r="M1104" s="67"/>
      <c r="N1104" s="67"/>
      <c r="O1104" s="255"/>
      <c r="P1104" s="67"/>
      <c r="Q1104" s="67"/>
      <c r="R1104" s="519" t="s">
        <v>76</v>
      </c>
      <c r="S1104" s="67"/>
      <c r="T1104" s="67"/>
      <c r="U1104" s="67"/>
      <c r="V1104" s="67"/>
      <c r="W1104" s="68"/>
      <c r="Y1104" s="1670" t="str">
        <f t="shared" si="129"/>
        <v>Lix Tetrax</v>
      </c>
      <c r="Z1104" s="2279">
        <f t="shared" si="130"/>
        <v>55</v>
      </c>
      <c r="AA1104" s="369" t="s">
        <v>1007</v>
      </c>
      <c r="AB1104" s="213">
        <v>280</v>
      </c>
      <c r="AC1104" s="234">
        <v>500</v>
      </c>
    </row>
    <row r="1105" spans="1:29" ht="12.75" customHeight="1" x14ac:dyDescent="0.2">
      <c r="A1105" s="1928">
        <v>1105</v>
      </c>
      <c r="B1105" s="5335"/>
      <c r="C1105" s="65"/>
      <c r="D1105" s="499" t="s">
        <v>77</v>
      </c>
      <c r="E1105" s="500">
        <v>10</v>
      </c>
      <c r="F1105" s="500">
        <v>10</v>
      </c>
      <c r="G1105" s="519" t="s">
        <v>78</v>
      </c>
      <c r="H1105" s="67"/>
      <c r="I1105" s="255"/>
      <c r="J1105" s="67" t="str">
        <f t="shared" si="131"/>
        <v/>
      </c>
      <c r="K1105" s="67"/>
      <c r="L1105" s="67"/>
      <c r="M1105" s="67"/>
      <c r="N1105" s="67"/>
      <c r="O1105" s="255"/>
      <c r="P1105" s="67"/>
      <c r="Q1105" s="67"/>
      <c r="R1105" s="519" t="s">
        <v>79</v>
      </c>
      <c r="S1105" s="67"/>
      <c r="T1105" s="67"/>
      <c r="U1105" s="67"/>
      <c r="V1105" s="67"/>
      <c r="W1105" s="68"/>
      <c r="Y1105" s="1670" t="str">
        <f t="shared" si="129"/>
        <v>Naaga, Madre de los Venenos</v>
      </c>
      <c r="Z1105" s="2279">
        <f t="shared" si="130"/>
        <v>56</v>
      </c>
      <c r="AA1105" s="369" t="s">
        <v>1008</v>
      </c>
      <c r="AB1105" s="213">
        <v>340</v>
      </c>
      <c r="AC1105" s="234">
        <v>660</v>
      </c>
    </row>
    <row r="1106" spans="1:29" ht="12.75" customHeight="1" x14ac:dyDescent="0.2">
      <c r="A1106" s="1928">
        <v>1106</v>
      </c>
      <c r="B1106" s="5335"/>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29"/>
        <v>Pandora, el Castigo Divino</v>
      </c>
      <c r="Z1106" s="2279">
        <f t="shared" si="130"/>
        <v>54</v>
      </c>
      <c r="AA1106" s="369" t="s">
        <v>1009</v>
      </c>
      <c r="AB1106" s="213">
        <v>400</v>
      </c>
      <c r="AC1106" s="234">
        <v>880</v>
      </c>
    </row>
    <row r="1107" spans="1:29" ht="12.75" customHeight="1" thickBot="1" x14ac:dyDescent="0.25">
      <c r="A1107" s="1928">
        <v>1107</v>
      </c>
      <c r="B1107" s="5335"/>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29"/>
        <v>Raksasha</v>
      </c>
      <c r="Z1107" s="2279">
        <f t="shared" si="130"/>
        <v>27</v>
      </c>
      <c r="AA1107" s="369" t="s">
        <v>1010</v>
      </c>
      <c r="AB1107" s="213">
        <v>400</v>
      </c>
      <c r="AC1107" s="234">
        <v>800</v>
      </c>
    </row>
    <row r="1108" spans="1:29" ht="12.75" customHeight="1" thickBot="1" x14ac:dyDescent="0.25">
      <c r="A1108" s="1928">
        <v>1108</v>
      </c>
      <c r="B1108" s="5335"/>
      <c r="H1108" s="363"/>
      <c r="I1108" s="1665"/>
      <c r="N1108" s="363"/>
      <c r="O1108" s="2011"/>
      <c r="Y1108" s="1670" t="str">
        <f t="shared" si="129"/>
        <v>Rudraskha: Exodus void nova</v>
      </c>
      <c r="Z1108" s="2279">
        <f t="shared" si="130"/>
        <v>29</v>
      </c>
      <c r="AA1108" s="369" t="s">
        <v>1011</v>
      </c>
      <c r="AB1108" s="213">
        <v>220</v>
      </c>
      <c r="AC1108" s="234">
        <v>300</v>
      </c>
    </row>
    <row r="1109" spans="1:29" ht="12.75" customHeight="1" thickBot="1" x14ac:dyDescent="0.25">
      <c r="A1109" s="1928">
        <v>1109</v>
      </c>
      <c r="B1109" s="5335"/>
      <c r="C1109" s="3471" t="s">
        <v>2114</v>
      </c>
      <c r="D1109" s="3472"/>
      <c r="E1109" s="3472"/>
      <c r="F1109" s="3472"/>
      <c r="G1109" s="3472"/>
      <c r="H1109" s="3472"/>
      <c r="I1109" s="3472"/>
      <c r="J1109" s="3472"/>
      <c r="K1109" s="3472"/>
      <c r="L1109" s="3472"/>
      <c r="M1109" s="3472"/>
      <c r="N1109" s="3473"/>
      <c r="P1109" s="3172" t="s">
        <v>98</v>
      </c>
      <c r="Q1109" s="3172"/>
      <c r="R1109" s="3172"/>
      <c r="S1109" s="3172"/>
      <c r="T1109" s="3172"/>
      <c r="U1109" s="3172"/>
      <c r="V1109" s="3172"/>
      <c r="W1109" s="3172"/>
      <c r="Y1109" s="1670" t="str">
        <f t="shared" si="129"/>
        <v>Rudraskha: Void nova</v>
      </c>
      <c r="Z1109" s="2279">
        <f t="shared" si="130"/>
        <v>30</v>
      </c>
      <c r="AA1109" s="369" t="s">
        <v>1012</v>
      </c>
      <c r="AB1109" s="213">
        <v>280</v>
      </c>
      <c r="AC1109" s="234">
        <v>500</v>
      </c>
    </row>
    <row r="1110" spans="1:29" ht="12.75" customHeight="1" thickBot="1" x14ac:dyDescent="0.25">
      <c r="A1110" s="1928">
        <v>1110</v>
      </c>
      <c r="B1110" s="5335"/>
      <c r="C1110" s="5330"/>
      <c r="D1110" s="5331"/>
      <c r="E1110" s="5331"/>
      <c r="F1110" s="5331"/>
      <c r="G1110" s="5331"/>
      <c r="H1110" s="5331"/>
      <c r="I1110" s="5331"/>
      <c r="J1110" s="5331"/>
      <c r="K1110" s="5331"/>
      <c r="L1110" s="5331"/>
      <c r="M1110" s="5331"/>
      <c r="N1110" s="5332"/>
      <c r="P1110" s="3172"/>
      <c r="Q1110" s="3172"/>
      <c r="R1110" s="3172"/>
      <c r="S1110" s="3172"/>
      <c r="T1110" s="3172"/>
      <c r="U1110" s="3172"/>
      <c r="V1110" s="3172"/>
      <c r="W1110" s="3172"/>
      <c r="Y1110" s="1670" t="str">
        <f t="shared" si="129"/>
        <v>Seiryu, el Dragón Celeste</v>
      </c>
      <c r="Z1110" s="2279">
        <f t="shared" si="130"/>
        <v>31</v>
      </c>
      <c r="AA1110" s="369" t="s">
        <v>1013</v>
      </c>
      <c r="AB1110" s="213">
        <v>340</v>
      </c>
      <c r="AC1110" s="234">
        <v>660</v>
      </c>
    </row>
    <row r="1111" spans="1:29" ht="12.75" customHeight="1" x14ac:dyDescent="0.2">
      <c r="A1111" s="1928">
        <v>1111</v>
      </c>
      <c r="B1111" s="5335"/>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29"/>
        <v>Seiryu: La furia de la última tormenta</v>
      </c>
      <c r="Z1111" s="2279">
        <f t="shared" si="130"/>
        <v>28</v>
      </c>
      <c r="AA1111" s="369" t="s">
        <v>1014</v>
      </c>
      <c r="AB1111" s="213">
        <v>400</v>
      </c>
      <c r="AC1111" s="234">
        <v>880</v>
      </c>
    </row>
    <row r="1112" spans="1:29" ht="12.75" customHeight="1" x14ac:dyDescent="0.2">
      <c r="A1112" s="1928">
        <v>1112</v>
      </c>
      <c r="B1112" s="5335"/>
      <c r="C1112" s="1703"/>
      <c r="D1112" s="2622" t="s">
        <v>105</v>
      </c>
      <c r="E1112" s="2644" t="s">
        <v>106</v>
      </c>
      <c r="F1112" s="67"/>
      <c r="G1112" s="67"/>
      <c r="H1112" s="67"/>
      <c r="I1112" s="255"/>
      <c r="J1112" s="67"/>
      <c r="K1112" s="67"/>
      <c r="L1112" s="67"/>
      <c r="M1112" s="67"/>
      <c r="N1112" s="1710"/>
      <c r="P1112" s="528">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29"/>
        <v>Seiryu: Rayo</v>
      </c>
      <c r="Z1112" s="2279">
        <f t="shared" si="130"/>
        <v>58</v>
      </c>
      <c r="AA1112" s="369" t="s">
        <v>1015</v>
      </c>
      <c r="AB1112" s="213">
        <v>400</v>
      </c>
      <c r="AC1112" s="234">
        <v>800</v>
      </c>
    </row>
    <row r="1113" spans="1:29" ht="12.75" customHeight="1" x14ac:dyDescent="0.2">
      <c r="A1113" s="1928">
        <v>1113</v>
      </c>
      <c r="B1113" s="5335"/>
      <c r="C1113" s="1703"/>
      <c r="D1113" s="2622" t="s">
        <v>108</v>
      </c>
      <c r="E1113" s="2644" t="s">
        <v>102</v>
      </c>
      <c r="F1113" s="67"/>
      <c r="G1113" s="67"/>
      <c r="H1113" s="67"/>
      <c r="I1113" s="255"/>
      <c r="J1113" s="67"/>
      <c r="K1113" s="67"/>
      <c r="L1113" s="67"/>
      <c r="M1113" s="67"/>
      <c r="N1113" s="1710"/>
      <c r="P1113" s="528">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29"/>
        <v>Seiryu: Señor del este</v>
      </c>
      <c r="Z1113" s="2279">
        <f t="shared" si="130"/>
        <v>62</v>
      </c>
      <c r="AA1113" s="369" t="s">
        <v>1016</v>
      </c>
      <c r="AB1113" s="213">
        <v>220</v>
      </c>
      <c r="AC1113" s="234">
        <v>300</v>
      </c>
    </row>
    <row r="1114" spans="1:29" ht="12.75" customHeight="1" x14ac:dyDescent="0.2">
      <c r="A1114" s="1928">
        <v>1114</v>
      </c>
      <c r="B1114" s="5335"/>
      <c r="C1114" s="1703"/>
      <c r="D1114" s="2622" t="s">
        <v>114</v>
      </c>
      <c r="E1114" s="2644" t="s">
        <v>115</v>
      </c>
      <c r="F1114" s="67"/>
      <c r="G1114" s="67"/>
      <c r="H1114" s="67"/>
      <c r="I1114" s="255"/>
      <c r="J1114" s="67"/>
      <c r="K1114" s="67"/>
      <c r="L1114" s="67"/>
      <c r="M1114" s="67"/>
      <c r="N1114" s="1710"/>
      <c r="P1114" s="528">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29"/>
        <v>Seiryu: Tormenta</v>
      </c>
      <c r="Z1114" s="2279">
        <f t="shared" si="130"/>
        <v>59</v>
      </c>
      <c r="AA1114" s="369" t="s">
        <v>1017</v>
      </c>
      <c r="AB1114" s="213">
        <v>280</v>
      </c>
      <c r="AC1114" s="234">
        <v>500</v>
      </c>
    </row>
    <row r="1115" spans="1:29" ht="12.75" customHeight="1" x14ac:dyDescent="0.2">
      <c r="A1115" s="1928">
        <v>1115</v>
      </c>
      <c r="B1115" s="5335"/>
      <c r="C1115" s="1703"/>
      <c r="D1115" s="2622" t="s">
        <v>117</v>
      </c>
      <c r="E1115" s="2644" t="s">
        <v>118</v>
      </c>
      <c r="F1115" s="67"/>
      <c r="G1115" s="67"/>
      <c r="H1115" s="67"/>
      <c r="I1115" s="255"/>
      <c r="J1115" s="67"/>
      <c r="K1115" s="67"/>
      <c r="L1115" s="67"/>
      <c r="M1115" s="67"/>
      <c r="N1115" s="1710"/>
      <c r="P1115" s="528">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29"/>
        <v>Suzaku, el Fénix</v>
      </c>
      <c r="Z1115" s="2279">
        <f t="shared" si="130"/>
        <v>61</v>
      </c>
      <c r="AA1115" s="369" t="s">
        <v>1018</v>
      </c>
      <c r="AB1115" s="213">
        <v>340</v>
      </c>
      <c r="AC1115" s="234">
        <v>660</v>
      </c>
    </row>
    <row r="1116" spans="1:29" ht="12.75" customHeight="1" x14ac:dyDescent="0.2">
      <c r="A1116" s="1928">
        <v>1116</v>
      </c>
      <c r="B1116" s="5335"/>
      <c r="C1116" s="1703"/>
      <c r="D1116" s="2622" t="s">
        <v>107</v>
      </c>
      <c r="E1116" s="2644" t="s">
        <v>102</v>
      </c>
      <c r="F1116" s="67"/>
      <c r="G1116" s="67"/>
      <c r="H1116" s="67"/>
      <c r="I1116" s="255"/>
      <c r="J1116" s="67"/>
      <c r="K1116" s="67"/>
      <c r="L1116" s="67"/>
      <c r="M1116" s="67"/>
      <c r="N1116" s="1710"/>
      <c r="P1116" s="528">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29"/>
        <v>Suzaku: Calamidad</v>
      </c>
      <c r="Z1116" s="2279">
        <f t="shared" si="130"/>
        <v>60</v>
      </c>
      <c r="AA1116" s="369" t="s">
        <v>1019</v>
      </c>
      <c r="AB1116" s="213">
        <v>400</v>
      </c>
      <c r="AC1116" s="234">
        <v>880</v>
      </c>
    </row>
    <row r="1117" spans="1:29" ht="12.75" customHeight="1" x14ac:dyDescent="0.2">
      <c r="A1117" s="1928">
        <v>1117</v>
      </c>
      <c r="B1117" s="5335"/>
      <c r="C1117" s="1703"/>
      <c r="D1117" s="2622" t="s">
        <v>2019</v>
      </c>
      <c r="E1117" s="2644" t="s">
        <v>102</v>
      </c>
      <c r="F1117" s="67"/>
      <c r="G1117" s="67"/>
      <c r="H1117" s="67"/>
      <c r="I1117" s="255"/>
      <c r="J1117" s="67"/>
      <c r="K1117" s="67"/>
      <c r="L1117" s="67"/>
      <c r="M1117" s="67"/>
      <c r="N1117" s="1710"/>
      <c r="P1117" s="528">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29"/>
        <v>Suzaku: El elegido del sol</v>
      </c>
      <c r="Z1117" s="2279">
        <f t="shared" si="130"/>
        <v>5</v>
      </c>
      <c r="AA1117" s="369" t="s">
        <v>1020</v>
      </c>
      <c r="AB1117" s="213">
        <v>400</v>
      </c>
      <c r="AC1117" s="234">
        <v>800</v>
      </c>
    </row>
    <row r="1118" spans="1:29" ht="12.75" customHeight="1" x14ac:dyDescent="0.2">
      <c r="A1118" s="1928">
        <v>1118</v>
      </c>
      <c r="B1118" s="5335"/>
      <c r="C1118" s="1703"/>
      <c r="D1118" s="2622" t="s">
        <v>103</v>
      </c>
      <c r="E1118" s="2644" t="s">
        <v>104</v>
      </c>
      <c r="F1118" s="67"/>
      <c r="G1118" s="67"/>
      <c r="H1118" s="67"/>
      <c r="I1118" s="255"/>
      <c r="J1118" s="67"/>
      <c r="K1118" s="67"/>
      <c r="L1118" s="67"/>
      <c r="M1118" s="67"/>
      <c r="N1118" s="1710"/>
      <c r="P1118" s="528">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29"/>
        <v>Suzaku: Señor del sur</v>
      </c>
      <c r="Z1118" s="2279">
        <f t="shared" si="130"/>
        <v>8</v>
      </c>
      <c r="AA1118" s="369" t="s">
        <v>1021</v>
      </c>
      <c r="AB1118" s="213">
        <v>220</v>
      </c>
      <c r="AC1118" s="234">
        <v>300</v>
      </c>
    </row>
    <row r="1119" spans="1:29" ht="12.75" customHeight="1" x14ac:dyDescent="0.2">
      <c r="A1119" s="1928">
        <v>1119</v>
      </c>
      <c r="B1119" s="5335"/>
      <c r="C1119" s="1703"/>
      <c r="D1119" s="2622" t="s">
        <v>111</v>
      </c>
      <c r="E1119" s="2644" t="s">
        <v>112</v>
      </c>
      <c r="F1119" s="67"/>
      <c r="G1119" s="67"/>
      <c r="H1119" s="67"/>
      <c r="I1119" s="255"/>
      <c r="J1119" s="67"/>
      <c r="K1119" s="67"/>
      <c r="L1119" s="67"/>
      <c r="M1119" s="67"/>
      <c r="N1119" s="1710"/>
      <c r="P1119" s="528">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29"/>
        <v>Suzaku: uena fortuna</v>
      </c>
      <c r="Z1119" s="2279">
        <f t="shared" si="130"/>
        <v>7</v>
      </c>
      <c r="AA1119" s="369" t="s">
        <v>1022</v>
      </c>
      <c r="AB1119" s="213">
        <v>280</v>
      </c>
      <c r="AC1119" s="234">
        <v>500</v>
      </c>
    </row>
    <row r="1120" spans="1:29" ht="12.75" customHeight="1" x14ac:dyDescent="0.2">
      <c r="A1120" s="1928">
        <v>1120</v>
      </c>
      <c r="B1120" s="5335"/>
      <c r="C1120" s="1703"/>
      <c r="D1120" s="2622" t="s">
        <v>109</v>
      </c>
      <c r="E1120" s="2644" t="s">
        <v>110</v>
      </c>
      <c r="F1120" s="67"/>
      <c r="G1120" s="67"/>
      <c r="H1120" s="67"/>
      <c r="I1120" s="255"/>
      <c r="J1120" s="67"/>
      <c r="K1120" s="67"/>
      <c r="L1120" s="67"/>
      <c r="M1120" s="67"/>
      <c r="N1120" s="1710"/>
      <c r="P1120" s="528">
        <f t="shared" si="132"/>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29"/>
        <v>Tawil At-U'mr, Señor de las Puertas</v>
      </c>
      <c r="Z1120" s="2279">
        <f t="shared" si="130"/>
        <v>9</v>
      </c>
      <c r="AA1120" s="369" t="s">
        <v>1023</v>
      </c>
      <c r="AB1120" s="213">
        <v>340</v>
      </c>
      <c r="AC1120" s="234">
        <v>660</v>
      </c>
    </row>
    <row r="1121" spans="1:29" ht="12.75" customHeight="1" x14ac:dyDescent="0.2">
      <c r="A1121" s="1928">
        <v>1121</v>
      </c>
      <c r="B1121" s="5335"/>
      <c r="C1121" s="1703"/>
      <c r="D1121" s="2622" t="s">
        <v>99</v>
      </c>
      <c r="E1121" s="2644" t="s">
        <v>100</v>
      </c>
      <c r="F1121" s="67"/>
      <c r="G1121" s="67"/>
      <c r="H1121" s="67"/>
      <c r="I1121" s="255"/>
      <c r="J1121" s="67"/>
      <c r="K1121" s="67"/>
      <c r="L1121" s="67"/>
      <c r="M1121" s="67"/>
      <c r="N1121" s="1710"/>
      <c r="P1121" s="528">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29"/>
        <v>Tawil At-U'mr: Compresión del tiempo</v>
      </c>
      <c r="Z1121" s="2279">
        <f t="shared" si="130"/>
        <v>6</v>
      </c>
      <c r="AA1121" s="369" t="s">
        <v>1024</v>
      </c>
      <c r="AB1121" s="213">
        <v>400</v>
      </c>
      <c r="AC1121" s="234">
        <v>880</v>
      </c>
    </row>
    <row r="1122" spans="1:29" ht="12.75" customHeight="1" x14ac:dyDescent="0.2">
      <c r="A1122" s="1928">
        <v>1122</v>
      </c>
      <c r="B1122" s="5335"/>
      <c r="C1122" s="1703"/>
      <c r="D1122" s="2622" t="s">
        <v>101</v>
      </c>
      <c r="E1122" s="2644" t="s">
        <v>102</v>
      </c>
      <c r="F1122" s="67"/>
      <c r="G1122" s="67"/>
      <c r="H1122" s="67"/>
      <c r="I1122" s="255"/>
      <c r="J1122" s="67"/>
      <c r="K1122" s="67"/>
      <c r="L1122" s="67"/>
      <c r="M1122" s="67"/>
      <c r="N1122" s="1710"/>
      <c r="P1122" s="528">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33">VLOOKUP(A65,$Z$1058:$AA$1128,2,0)</f>
        <v>Tawil At-U'mr: La puerta</v>
      </c>
      <c r="Z1122" s="2279">
        <f t="shared" ref="Z1122:Z1128" si="134">COUNTIF($AA$1058:$AA$1128,"&lt;="&amp;AA1122)</f>
        <v>42</v>
      </c>
      <c r="AA1122" s="369" t="s">
        <v>1025</v>
      </c>
      <c r="AB1122" s="213">
        <v>440</v>
      </c>
      <c r="AC1122" s="234">
        <v>800</v>
      </c>
    </row>
    <row r="1123" spans="1:29" ht="12.75" customHeight="1" thickBot="1" x14ac:dyDescent="0.25">
      <c r="A1123" s="1928">
        <v>1123</v>
      </c>
      <c r="B1123" s="5335"/>
      <c r="C1123" s="1704"/>
      <c r="D1123" s="2645" t="s">
        <v>116</v>
      </c>
      <c r="E1123" s="2646" t="s">
        <v>102</v>
      </c>
      <c r="F1123" s="1705"/>
      <c r="G1123" s="1705"/>
      <c r="H1123" s="1705"/>
      <c r="I1123" s="2647"/>
      <c r="J1123" s="1705"/>
      <c r="K1123" s="1705"/>
      <c r="L1123" s="1705"/>
      <c r="M1123" s="1705"/>
      <c r="N1123" s="1711"/>
      <c r="P1123" s="528">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33"/>
        <v>Tawil At-U'mr: Más allá del tiempo y el espacio</v>
      </c>
      <c r="Z1123" s="2279">
        <f t="shared" si="134"/>
        <v>43</v>
      </c>
      <c r="AA1123" s="369" t="s">
        <v>1026</v>
      </c>
      <c r="AB1123" s="213">
        <v>440</v>
      </c>
      <c r="AC1123" s="234">
        <v>1000</v>
      </c>
    </row>
    <row r="1124" spans="1:29" ht="12.75" customHeight="1" x14ac:dyDescent="0.2">
      <c r="A1124" s="1928">
        <v>1124</v>
      </c>
      <c r="B1124" s="5335"/>
      <c r="F1124" s="2011"/>
      <c r="H1124" s="363"/>
      <c r="N1124" s="363"/>
      <c r="P1124" s="528">
        <f t="shared" si="132"/>
        <v>0</v>
      </c>
      <c r="Q1124" s="19" t="str">
        <f>IF(Metamagia!F37=1,"Metamagister: Doble daño","")</f>
        <v/>
      </c>
      <c r="R1124" s="19"/>
      <c r="S1124" s="19" t="str">
        <f>IF(Metamagia!F37=1,"El Daño Base de los conjuros ofensivos se dobla","")</f>
        <v/>
      </c>
      <c r="T1124" s="19"/>
      <c r="U1124" s="19"/>
      <c r="V1124" s="456"/>
      <c r="W1124" s="11"/>
      <c r="Y1124" s="1670" t="str">
        <f t="shared" si="133"/>
        <v>Thanathos</v>
      </c>
      <c r="Z1124" s="2279">
        <f t="shared" si="134"/>
        <v>17</v>
      </c>
      <c r="AA1124" s="369" t="s">
        <v>1027</v>
      </c>
      <c r="AB1124" s="213">
        <v>240</v>
      </c>
      <c r="AC1124" s="234">
        <v>800</v>
      </c>
    </row>
    <row r="1125" spans="1:29" ht="12.75" customHeight="1" x14ac:dyDescent="0.2">
      <c r="A1125" s="1928">
        <v>1125</v>
      </c>
      <c r="B1125" s="5335"/>
      <c r="F1125" s="2011"/>
      <c r="H1125" s="363"/>
      <c r="N1125" s="363"/>
      <c r="P1125" s="528">
        <f t="shared" si="132"/>
        <v>0</v>
      </c>
      <c r="Q1125" s="19" t="str">
        <f>IF(Metamagia!C54=1,"Sentir la magia","")</f>
        <v/>
      </c>
      <c r="R1125" s="67"/>
      <c r="S1125" s="19" t="str">
        <f>IF(Metamagia!C54=1,"Mejora un Grado los resultados en Valoración Mágica. Ver","")</f>
        <v/>
      </c>
      <c r="T1125" s="67"/>
      <c r="U1125" s="67"/>
      <c r="V1125" s="255"/>
      <c r="W1125" s="68"/>
      <c r="Y1125" s="1670" t="str">
        <f t="shared" si="133"/>
        <v>Veles, el Poder de la Magia</v>
      </c>
      <c r="Z1125" s="2279">
        <f t="shared" si="134"/>
        <v>63</v>
      </c>
      <c r="AA1125" s="369" t="s">
        <v>1028</v>
      </c>
      <c r="AB1125" s="213">
        <v>400</v>
      </c>
      <c r="AC1125" s="234">
        <v>800</v>
      </c>
    </row>
    <row r="1126" spans="1:29" ht="12.75" customHeight="1" x14ac:dyDescent="0.2">
      <c r="A1126" s="1928">
        <v>1126</v>
      </c>
      <c r="B1126" s="5335"/>
      <c r="C1126" s="3000" t="s">
        <v>255</v>
      </c>
      <c r="D1126" s="3000"/>
      <c r="E1126" s="3000"/>
      <c r="F1126" s="3000"/>
      <c r="G1126" s="3000"/>
      <c r="H1126" s="363"/>
      <c r="I1126" s="3000"/>
      <c r="J1126" s="3000"/>
      <c r="K1126" s="3000"/>
      <c r="L1126" s="3000"/>
      <c r="M1126" s="3000"/>
      <c r="N1126" s="363"/>
      <c r="P1126" s="528">
        <f t="shared" si="132"/>
        <v>0</v>
      </c>
      <c r="Q1126" s="19" t="str">
        <f>IF(Metamagia!F48=1,"Control del espacio","")</f>
        <v/>
      </c>
      <c r="R1126" s="67"/>
      <c r="S1126" s="19" t="str">
        <f>IF(Metamagia!F48=1,"Permite seleccionar blancos en todos los conjuros de área","")</f>
        <v/>
      </c>
      <c r="T1126" s="67"/>
      <c r="U1126" s="67"/>
      <c r="V1126" s="255"/>
      <c r="W1126" s="68"/>
      <c r="Y1126" s="1670" t="str">
        <f t="shared" si="133"/>
        <v>Ziz, Señor de los Cielos</v>
      </c>
      <c r="Z1126" s="2279">
        <f t="shared" si="134"/>
        <v>64</v>
      </c>
      <c r="AA1126" s="369" t="s">
        <v>1029</v>
      </c>
      <c r="AB1126" s="213">
        <v>280</v>
      </c>
      <c r="AC1126" s="234">
        <v>500</v>
      </c>
    </row>
    <row r="1127" spans="1:29" ht="12.75" customHeight="1" x14ac:dyDescent="0.2">
      <c r="A1127" s="1928">
        <v>1127</v>
      </c>
      <c r="B1127" s="5335"/>
      <c r="C1127" s="3000"/>
      <c r="D1127" s="3000"/>
      <c r="E1127" s="3000"/>
      <c r="F1127" s="3000"/>
      <c r="G1127" s="3000"/>
      <c r="H1127" s="363"/>
      <c r="I1127" s="3000"/>
      <c r="J1127" s="3000"/>
      <c r="K1127" s="3000"/>
      <c r="L1127" s="3000"/>
      <c r="M1127" s="3000"/>
      <c r="N1127" s="363"/>
      <c r="P1127" s="528">
        <f t="shared" si="132"/>
        <v>0</v>
      </c>
      <c r="Q1127" s="19" t="str">
        <f>IF(Metamagia!F54=1,"Transmisión de magia","")</f>
        <v/>
      </c>
      <c r="R1127" s="67"/>
      <c r="S1127" s="19" t="str">
        <f>IF(Metamagia!F54=1,"Permite la transferencia de Zeón a distancia (Presencia en metros)","")</f>
        <v/>
      </c>
      <c r="T1127" s="67"/>
      <c r="U1127" s="67"/>
      <c r="V1127" s="255"/>
      <c r="W1127" s="68"/>
      <c r="Y1127" s="1670" t="str">
        <f t="shared" si="133"/>
        <v>Ziz: Comunión con el viento</v>
      </c>
      <c r="Z1127" s="2279">
        <f t="shared" si="134"/>
        <v>65</v>
      </c>
      <c r="AA1127" s="369" t="s">
        <v>1030</v>
      </c>
      <c r="AB1127" s="213">
        <v>400</v>
      </c>
      <c r="AC1127" s="234">
        <v>900</v>
      </c>
    </row>
    <row r="1128" spans="1:29" ht="12.75" customHeight="1" x14ac:dyDescent="0.2">
      <c r="A1128" s="1928">
        <v>1128</v>
      </c>
      <c r="B1128" s="5335"/>
      <c r="C1128" s="3000"/>
      <c r="D1128" s="3000"/>
      <c r="E1128" s="3000"/>
      <c r="F1128" s="3000"/>
      <c r="G1128" s="3000"/>
      <c r="H1128" s="363"/>
      <c r="I1128" s="1105"/>
      <c r="J1128" s="1105"/>
      <c r="K1128" s="1105"/>
      <c r="L1128" s="2984"/>
      <c r="M1128" s="2984"/>
      <c r="N1128" s="363"/>
      <c r="P1128" s="528">
        <f t="shared" si="132"/>
        <v>0</v>
      </c>
      <c r="Q1128" s="19" t="str">
        <f>IF(Metamagia!F63=1,"Seguridad defensiva","")</f>
        <v/>
      </c>
      <c r="R1128" s="67"/>
      <c r="S1128" s="19" t="str">
        <f>IF(Metamagia!F63=1,"Con Pifia al proyectar un escudo se sigue activando el conjuro","")</f>
        <v/>
      </c>
      <c r="T1128" s="67"/>
      <c r="U1128" s="67"/>
      <c r="V1128" s="255"/>
      <c r="W1128" s="68"/>
      <c r="Y1128" s="1670" t="str">
        <f t="shared" si="133"/>
        <v>Ziz: Señor del viento</v>
      </c>
      <c r="Z1128" s="2279">
        <f t="shared" si="134"/>
        <v>66</v>
      </c>
      <c r="AA1128" s="369" t="s">
        <v>1031</v>
      </c>
      <c r="AB1128" s="213">
        <v>500</v>
      </c>
      <c r="AC1128" s="234">
        <v>1200</v>
      </c>
    </row>
    <row r="1129" spans="1:29" ht="12.75" customHeight="1" x14ac:dyDescent="0.2">
      <c r="A1129" s="1928">
        <v>1129</v>
      </c>
      <c r="B1129" s="5335"/>
      <c r="C1129" s="3000"/>
      <c r="D1129" s="3000"/>
      <c r="E1129" s="3000"/>
      <c r="F1129" s="3000"/>
      <c r="G1129" s="3000"/>
      <c r="H1129" s="363"/>
      <c r="I1129" s="428"/>
      <c r="J1129" s="428"/>
      <c r="K1129" s="428"/>
      <c r="L1129" s="3001"/>
      <c r="M1129" s="535"/>
      <c r="N1129" s="363"/>
      <c r="P1129" s="528">
        <f t="shared" si="132"/>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35">VLOOKUP(A1,$Z$1129:$AA$1174,2,0)</f>
        <v>&gt; ENCARNACIONES</v>
      </c>
      <c r="Z1129" s="2279">
        <f t="shared" ref="Z1129:Z1174" si="136">COUNTIF($AA$1129:$AA$1174,"&lt;="&amp;AA1129)</f>
        <v>1</v>
      </c>
      <c r="AA1129" s="369" t="s">
        <v>1032</v>
      </c>
      <c r="AB1129" s="213"/>
      <c r="AC1129" s="234"/>
    </row>
    <row r="1130" spans="1:29" ht="12.75" customHeight="1" x14ac:dyDescent="0.2">
      <c r="A1130" s="1928">
        <v>1130</v>
      </c>
      <c r="B1130" s="5335"/>
      <c r="C1130" s="3000"/>
      <c r="D1130" s="3000"/>
      <c r="E1130" s="3000"/>
      <c r="F1130" s="3000"/>
      <c r="G1130" s="3000"/>
      <c r="H1130" s="363"/>
      <c r="I1130" s="428"/>
      <c r="J1130" s="428"/>
      <c r="K1130" s="428"/>
      <c r="L1130" s="537"/>
      <c r="M1130" s="535"/>
      <c r="N1130" s="363"/>
      <c r="P1130" s="528">
        <f t="shared" si="132"/>
        <v>0</v>
      </c>
      <c r="Q1130" s="19" t="str">
        <f>IF(Metamagia!I44=1,"Doble conjuro innato","")</f>
        <v/>
      </c>
      <c r="R1130" s="67"/>
      <c r="S1130" s="19" t="str">
        <f>IF(Metamagia!I44=1,"Permite realizar 2 conjuros innatos distintos por asalto","")</f>
        <v/>
      </c>
      <c r="T1130" s="67"/>
      <c r="U1130" s="67"/>
      <c r="V1130" s="255"/>
      <c r="W1130" s="68"/>
      <c r="Y1130" s="1670" t="str">
        <f t="shared" si="135"/>
        <v>Aeriel, el Caballero de Argenta (Nv 12)</v>
      </c>
      <c r="Z1130" s="2279">
        <f t="shared" si="136"/>
        <v>30</v>
      </c>
      <c r="AA1130" s="369" t="s">
        <v>1033</v>
      </c>
      <c r="AB1130" s="213">
        <v>260</v>
      </c>
      <c r="AC1130" s="234">
        <v>400</v>
      </c>
    </row>
    <row r="1131" spans="1:29" ht="12.75" customHeight="1" x14ac:dyDescent="0.2">
      <c r="A1131" s="1928">
        <v>1131</v>
      </c>
      <c r="B1131" s="5335"/>
      <c r="C1131" s="3000"/>
      <c r="D1131" s="3000"/>
      <c r="E1131" s="3000"/>
      <c r="F1131" s="3000"/>
      <c r="G1131" s="3000"/>
      <c r="H1131" s="363"/>
      <c r="I1131" s="428"/>
      <c r="J1131" s="428"/>
      <c r="K1131" s="428"/>
      <c r="L1131" s="537"/>
      <c r="M1131" s="535"/>
      <c r="N1131" s="363"/>
      <c r="P1131" s="528">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35"/>
        <v>Aeriel, el Caballero de Argenta (Nv 6)</v>
      </c>
      <c r="Z1131" s="2279">
        <f t="shared" si="136"/>
        <v>31</v>
      </c>
      <c r="AA1131" s="369" t="s">
        <v>1034</v>
      </c>
      <c r="AB1131" s="213">
        <v>300</v>
      </c>
      <c r="AC1131" s="234">
        <v>600</v>
      </c>
    </row>
    <row r="1132" spans="1:29" ht="12.75" customHeight="1" x14ac:dyDescent="0.2">
      <c r="A1132" s="1928">
        <v>1132</v>
      </c>
      <c r="B1132" s="5335"/>
      <c r="C1132" s="3000"/>
      <c r="D1132" s="3000"/>
      <c r="E1132" s="3000"/>
      <c r="F1132" s="3000"/>
      <c r="G1132" s="3000"/>
      <c r="H1132" s="363"/>
      <c r="I1132" s="428"/>
      <c r="J1132" s="428"/>
      <c r="K1132" s="428"/>
      <c r="L1132" s="537"/>
      <c r="M1132" s="535"/>
      <c r="N1132" s="363"/>
      <c r="P1132" s="528">
        <f t="shared" si="132"/>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35"/>
        <v>Aeriel, el Caballero de Argenta (Nv 9)</v>
      </c>
      <c r="Z1132" s="2279">
        <f t="shared" si="136"/>
        <v>29</v>
      </c>
      <c r="AA1132" s="369" t="s">
        <v>1035</v>
      </c>
      <c r="AB1132" s="213">
        <v>380</v>
      </c>
      <c r="AC1132" s="234">
        <v>900</v>
      </c>
    </row>
    <row r="1133" spans="1:29" ht="12.75" customHeight="1" x14ac:dyDescent="0.2">
      <c r="A1133" s="1928">
        <v>1133</v>
      </c>
      <c r="B1133" s="5335"/>
      <c r="C1133" s="3000"/>
      <c r="D1133" s="3000"/>
      <c r="E1133" s="3000"/>
      <c r="F1133" s="3000"/>
      <c r="G1133" s="3000"/>
      <c r="H1133" s="363"/>
      <c r="I1133" s="428"/>
      <c r="J1133" s="428"/>
      <c r="K1133" s="428"/>
      <c r="L1133" s="537"/>
      <c r="M1133" s="535"/>
      <c r="N1133" s="363"/>
      <c r="P1133" s="528">
        <f t="shared" si="132"/>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35"/>
        <v>Ambrose Magus, el Hechicero (Nv 4)</v>
      </c>
      <c r="Z1133" s="2279">
        <f t="shared" si="136"/>
        <v>36</v>
      </c>
      <c r="AA1133" s="369" t="s">
        <v>1036</v>
      </c>
      <c r="AB1133" s="213">
        <v>280</v>
      </c>
      <c r="AC1133" s="234">
        <v>350</v>
      </c>
    </row>
    <row r="1134" spans="1:29" ht="12.75" customHeight="1" x14ac:dyDescent="0.2">
      <c r="A1134" s="1928">
        <v>1134</v>
      </c>
      <c r="B1134" s="5335"/>
      <c r="C1134" s="3000"/>
      <c r="D1134" s="3000"/>
      <c r="E1134" s="3000"/>
      <c r="F1134" s="3000"/>
      <c r="G1134" s="3000"/>
      <c r="H1134" s="363"/>
      <c r="I1134" s="428"/>
      <c r="J1134" s="428"/>
      <c r="K1134" s="428"/>
      <c r="L1134" s="537"/>
      <c r="M1134" s="535"/>
      <c r="N1134" s="363"/>
      <c r="P1134" s="528">
        <f t="shared" si="132"/>
        <v>0</v>
      </c>
      <c r="Q1134" s="19" t="str">
        <f>IF(Metamagia!X54=1,"Magia combinada","")</f>
        <v/>
      </c>
      <c r="R1134" s="67"/>
      <c r="S1134" s="19" t="str">
        <f>IF(Metamagia!X54=1,"Permite a varios hechiceros combinarse para lanzar un conjuro. Ver","")</f>
        <v/>
      </c>
      <c r="T1134" s="67"/>
      <c r="U1134" s="67"/>
      <c r="V1134" s="255"/>
      <c r="W1134" s="68"/>
      <c r="Y1134" s="1670" t="str">
        <f t="shared" si="135"/>
        <v>Ambrose Magus, el Hechicero (Nv 6)</v>
      </c>
      <c r="Z1134" s="2279">
        <f t="shared" si="136"/>
        <v>37</v>
      </c>
      <c r="AA1134" s="369" t="s">
        <v>1037</v>
      </c>
      <c r="AB1134" s="213">
        <v>340</v>
      </c>
      <c r="AC1134" s="234">
        <v>700</v>
      </c>
    </row>
    <row r="1135" spans="1:29" ht="12.75" customHeight="1" x14ac:dyDescent="0.2">
      <c r="A1135" s="1928">
        <v>1135</v>
      </c>
      <c r="B1135" s="5335"/>
      <c r="C1135" s="3000"/>
      <c r="D1135" s="3000"/>
      <c r="E1135" s="3000"/>
      <c r="F1135" s="3000"/>
      <c r="G1135" s="3000"/>
      <c r="H1135" s="363"/>
      <c r="I1135" s="428"/>
      <c r="J1135" s="428"/>
      <c r="K1135" s="428"/>
      <c r="L1135" s="537"/>
      <c r="M1135" s="535"/>
      <c r="N1135" s="363"/>
      <c r="P1135" s="528">
        <f t="shared" si="132"/>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35"/>
        <v>Ambrose Magus, el Hechicero (Nv 8)</v>
      </c>
      <c r="Z1135" s="2279">
        <f t="shared" si="136"/>
        <v>35</v>
      </c>
      <c r="AA1135" s="369" t="s">
        <v>1038</v>
      </c>
      <c r="AB1135" s="213">
        <v>400</v>
      </c>
      <c r="AC1135" s="234">
        <v>900</v>
      </c>
    </row>
    <row r="1136" spans="1:29" ht="12.75" customHeight="1" x14ac:dyDescent="0.2">
      <c r="A1136" s="1928">
        <v>1136</v>
      </c>
      <c r="B1136" s="5335"/>
      <c r="C1136" s="3000"/>
      <c r="D1136" s="3000"/>
      <c r="E1136" s="3000"/>
      <c r="F1136" s="3000"/>
      <c r="G1136" s="3000"/>
      <c r="H1136" s="363"/>
      <c r="I1136" s="428"/>
      <c r="J1136" s="428"/>
      <c r="K1136" s="428"/>
      <c r="L1136" s="537"/>
      <c r="M1136" s="535"/>
      <c r="N1136" s="363"/>
      <c r="P1136" s="528">
        <f t="shared" si="132"/>
        <v>0</v>
      </c>
      <c r="Q1136" s="19" t="str">
        <f>IF(Metamagia!AA49=1,"Elevación","")</f>
        <v/>
      </c>
      <c r="R1136" s="67"/>
      <c r="S1136" s="19" t="str">
        <f>IF(Metamagia!AA49=1,"Permite entrar en un trance cuya duración cuenta doble para recuperar Zeón","")</f>
        <v/>
      </c>
      <c r="T1136" s="67"/>
      <c r="U1136" s="67"/>
      <c r="V1136" s="255"/>
      <c r="W1136" s="68"/>
      <c r="Y1136" s="1670" t="str">
        <f t="shared" si="135"/>
        <v>Anassilish, el Sin Rostro (Nv 2)</v>
      </c>
      <c r="Z1136" s="2279">
        <f t="shared" si="136"/>
        <v>14</v>
      </c>
      <c r="AA1136" s="369" t="s">
        <v>1039</v>
      </c>
      <c r="AB1136" s="213">
        <v>220</v>
      </c>
      <c r="AC1136" s="234">
        <v>200</v>
      </c>
    </row>
    <row r="1137" spans="1:29" ht="12.75" customHeight="1" x14ac:dyDescent="0.2">
      <c r="A1137" s="1928">
        <v>1137</v>
      </c>
      <c r="B1137" s="5335"/>
      <c r="C1137" s="3000"/>
      <c r="D1137" s="3000"/>
      <c r="E1137" s="3000"/>
      <c r="F1137" s="3000"/>
      <c r="G1137" s="3000"/>
      <c r="H1137" s="363"/>
      <c r="I1137" s="428"/>
      <c r="J1137" s="428"/>
      <c r="K1137" s="428"/>
      <c r="L1137" s="537"/>
      <c r="M1137" s="535"/>
      <c r="N1137" s="363"/>
      <c r="P1137" s="528">
        <f t="shared" si="132"/>
        <v>0</v>
      </c>
      <c r="Q1137" s="19" t="str">
        <f>IF(Metamagia!AA44=1,"Avatar","")</f>
        <v/>
      </c>
      <c r="R1137" s="67"/>
      <c r="S1137" s="19" t="str">
        <f>IF(Metamagia!AA44=1,"El personaje puede convertirse en un Avatar de Magia. Ver","")</f>
        <v/>
      </c>
      <c r="T1137" s="67"/>
      <c r="U1137" s="67"/>
      <c r="V1137" s="255"/>
      <c r="W1137" s="68"/>
      <c r="Y1137" s="1670" t="str">
        <f t="shared" si="135"/>
        <v>Anassilish, el Sin Rostro (Nv 5)</v>
      </c>
      <c r="Z1137" s="2279">
        <f t="shared" si="136"/>
        <v>15</v>
      </c>
      <c r="AA1137" s="369" t="s">
        <v>1040</v>
      </c>
      <c r="AB1137" s="213">
        <v>300</v>
      </c>
      <c r="AC1137" s="234">
        <v>480</v>
      </c>
    </row>
    <row r="1138" spans="1:29" ht="12.75" customHeight="1" x14ac:dyDescent="0.2">
      <c r="A1138" s="1928">
        <v>1138</v>
      </c>
      <c r="B1138" s="5335"/>
      <c r="C1138" s="3000"/>
      <c r="D1138" s="3000"/>
      <c r="E1138" s="3000"/>
      <c r="F1138" s="3000"/>
      <c r="G1138" s="3000"/>
      <c r="H1138" s="363"/>
      <c r="I1138" s="428"/>
      <c r="J1138" s="428"/>
      <c r="K1138" s="428"/>
      <c r="L1138" s="537"/>
      <c r="M1138" s="535"/>
      <c r="N1138" s="363"/>
      <c r="P1138" s="528">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35"/>
        <v>Anassilish, el Sin Rostro (Nv 8)</v>
      </c>
      <c r="Z1138" s="2279">
        <f t="shared" si="136"/>
        <v>16</v>
      </c>
      <c r="AA1138" s="369" t="s">
        <v>1041</v>
      </c>
      <c r="AB1138" s="213">
        <v>360</v>
      </c>
      <c r="AC1138" s="234">
        <v>600</v>
      </c>
    </row>
    <row r="1139" spans="1:29" ht="12.75" customHeight="1" x14ac:dyDescent="0.2">
      <c r="A1139" s="1928">
        <v>1139</v>
      </c>
      <c r="B1139" s="5335"/>
      <c r="C1139" s="3000"/>
      <c r="D1139" s="3000"/>
      <c r="E1139" s="3000"/>
      <c r="F1139" s="3000"/>
      <c r="G1139" s="3000"/>
      <c r="H1139" s="363"/>
      <c r="I1139" s="428"/>
      <c r="J1139" s="428"/>
      <c r="K1139" s="428"/>
      <c r="L1139" s="537"/>
      <c r="M1139" s="535"/>
      <c r="N1139" s="363"/>
      <c r="P1139" s="528">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35"/>
        <v>Arturia, el León Blanco (Nv 1)</v>
      </c>
      <c r="Z1139" s="2279">
        <f t="shared" si="136"/>
        <v>38</v>
      </c>
      <c r="AA1139" s="369" t="s">
        <v>1042</v>
      </c>
      <c r="AB1139" s="213">
        <v>200</v>
      </c>
      <c r="AC1139" s="234">
        <v>150</v>
      </c>
    </row>
    <row r="1140" spans="1:29" ht="12.75" customHeight="1" x14ac:dyDescent="0.2">
      <c r="A1140" s="1928">
        <v>1140</v>
      </c>
      <c r="B1140" s="5335"/>
      <c r="C1140" s="3000"/>
      <c r="D1140" s="3000"/>
      <c r="E1140" s="3000"/>
      <c r="F1140" s="3000"/>
      <c r="G1140" s="3000"/>
      <c r="H1140" s="363"/>
      <c r="I1140" s="428"/>
      <c r="J1140" s="428"/>
      <c r="K1140" s="428"/>
      <c r="L1140" s="537"/>
      <c r="M1140" s="535"/>
      <c r="N1140" s="363"/>
      <c r="P1140" s="528">
        <f t="shared" si="132"/>
        <v>0</v>
      </c>
      <c r="Q1140" s="19" t="str">
        <f>IF(Metamagia!AD30=1,"Enlazar conjuros","")</f>
        <v/>
      </c>
      <c r="R1140" s="67"/>
      <c r="S1140" s="19" t="str">
        <f>IF(Metamagia!AD30=1,"Permite mezclar dos conjuros en uno solo. Ver","")</f>
        <v/>
      </c>
      <c r="T1140" s="67"/>
      <c r="U1140" s="67"/>
      <c r="V1140" s="255"/>
      <c r="W1140" s="68"/>
      <c r="Y1140" s="1670" t="str">
        <f t="shared" si="135"/>
        <v>Arturia, el León Blanco (Nv 3)</v>
      </c>
      <c r="Z1140" s="2279">
        <f t="shared" si="136"/>
        <v>39</v>
      </c>
      <c r="AA1140" s="369" t="s">
        <v>1043</v>
      </c>
      <c r="AB1140" s="213">
        <v>240</v>
      </c>
      <c r="AC1140" s="234">
        <v>300</v>
      </c>
    </row>
    <row r="1141" spans="1:29" ht="12.75" customHeight="1" x14ac:dyDescent="0.2">
      <c r="A1141" s="1928">
        <v>1141</v>
      </c>
      <c r="B1141" s="5335"/>
      <c r="C1141" s="3000"/>
      <c r="D1141" s="3000"/>
      <c r="E1141" s="3000"/>
      <c r="F1141" s="3000"/>
      <c r="G1141" s="3000"/>
      <c r="H1141" s="363"/>
      <c r="I1141" s="428"/>
      <c r="J1141" s="428"/>
      <c r="K1141" s="428"/>
      <c r="L1141" s="537"/>
      <c r="M1141" s="535"/>
      <c r="N1141" s="363"/>
      <c r="P1141" s="528">
        <f t="shared" si="132"/>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35"/>
        <v>Arturia, el León Blanco (Nv 6)</v>
      </c>
      <c r="Z1141" s="2279">
        <f t="shared" si="136"/>
        <v>40</v>
      </c>
      <c r="AA1141" s="369" t="s">
        <v>1044</v>
      </c>
      <c r="AB1141" s="213">
        <v>260</v>
      </c>
      <c r="AC1141" s="234">
        <v>450</v>
      </c>
    </row>
    <row r="1142" spans="1:29" ht="12.75" customHeight="1" x14ac:dyDescent="0.2">
      <c r="A1142" s="1928">
        <v>1142</v>
      </c>
      <c r="B1142" s="5335"/>
      <c r="C1142" s="3000"/>
      <c r="D1142" s="3000"/>
      <c r="E1142" s="3000"/>
      <c r="F1142" s="3000"/>
      <c r="G1142" s="3000"/>
      <c r="H1142" s="363"/>
      <c r="I1142" s="428"/>
      <c r="J1142" s="428"/>
      <c r="K1142" s="428"/>
      <c r="L1142" s="537"/>
      <c r="M1142" s="535"/>
      <c r="N1142" s="363"/>
      <c r="P1142" s="528">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35"/>
        <v>Eiko, la princesa Oni (Nv 3)</v>
      </c>
      <c r="Z1142" s="2279">
        <f t="shared" si="136"/>
        <v>18</v>
      </c>
      <c r="AA1142" s="369" t="s">
        <v>1045</v>
      </c>
      <c r="AB1142" s="213">
        <v>270</v>
      </c>
      <c r="AC1142" s="234">
        <v>390</v>
      </c>
    </row>
    <row r="1143" spans="1:29" ht="12.75" customHeight="1" x14ac:dyDescent="0.2">
      <c r="A1143" s="1928">
        <v>1143</v>
      </c>
      <c r="B1143" s="5335"/>
      <c r="C1143" s="3000"/>
      <c r="D1143" s="3000"/>
      <c r="E1143" s="3000"/>
      <c r="F1143" s="3000"/>
      <c r="G1143" s="3000"/>
      <c r="H1143" s="363"/>
      <c r="I1143" s="428"/>
      <c r="J1143" s="428"/>
      <c r="K1143" s="428"/>
      <c r="L1143" s="537"/>
      <c r="M1143" s="535"/>
      <c r="N1143" s="363"/>
      <c r="P1143" s="528">
        <f t="shared" si="132"/>
        <v>0</v>
      </c>
      <c r="Q1143" s="19" t="str">
        <f>IF(Metamagia!X30=1,"Doble conjuro","")</f>
        <v/>
      </c>
      <c r="R1143" s="67"/>
      <c r="S1143" s="19" t="str">
        <f>IF(Metamagia!X30=1,"Permite lanzar dos conjuros con la ACT doblada. Ver","")</f>
        <v/>
      </c>
      <c r="T1143" s="67"/>
      <c r="U1143" s="67"/>
      <c r="V1143" s="255"/>
      <c r="W1143" s="68"/>
      <c r="Y1143" s="1670" t="str">
        <f t="shared" si="135"/>
        <v>Eiko, la princesa Oni (Nv 6)</v>
      </c>
      <c r="Z1143" s="2279">
        <f t="shared" si="136"/>
        <v>19</v>
      </c>
      <c r="AA1143" s="369" t="s">
        <v>1046</v>
      </c>
      <c r="AB1143" s="213">
        <v>380</v>
      </c>
      <c r="AC1143" s="234">
        <v>750</v>
      </c>
    </row>
    <row r="1144" spans="1:29" ht="12.75" customHeight="1" x14ac:dyDescent="0.2">
      <c r="A1144" s="1928">
        <v>1144</v>
      </c>
      <c r="B1144" s="5335"/>
      <c r="C1144" s="3000"/>
      <c r="D1144" s="3000"/>
      <c r="E1144" s="3000"/>
      <c r="F1144" s="3000"/>
      <c r="G1144" s="3000"/>
      <c r="H1144" s="363"/>
      <c r="I1144" s="428"/>
      <c r="J1144" s="428"/>
      <c r="K1144" s="428"/>
      <c r="L1144" s="537"/>
      <c r="M1144" s="535"/>
      <c r="N1144" s="363"/>
      <c r="P1144" s="528">
        <f t="shared" si="132"/>
        <v>0</v>
      </c>
      <c r="Q1144" s="19" t="str">
        <f>IF(Metamagia!AA34=1,"Conjuro innato superior","")</f>
        <v/>
      </c>
      <c r="R1144" s="67"/>
      <c r="S1144" s="19" t="str">
        <f>IF(Metamagia!AA34=1,"Permite acumular magia mientras se lanzan conjuros innatos","")</f>
        <v/>
      </c>
      <c r="T1144" s="67"/>
      <c r="U1144" s="67"/>
      <c r="V1144" s="255"/>
      <c r="W1144" s="68"/>
      <c r="Y1144" s="1670" t="str">
        <f t="shared" si="135"/>
        <v>Eiko, la princesa Oni (Nv 9)</v>
      </c>
      <c r="Z1144" s="2279">
        <f t="shared" si="136"/>
        <v>17</v>
      </c>
      <c r="AA1144" s="369" t="s">
        <v>1047</v>
      </c>
      <c r="AB1144" s="213">
        <v>490</v>
      </c>
      <c r="AC1144" s="234">
        <v>1400</v>
      </c>
    </row>
    <row r="1145" spans="1:29" ht="12.75" customHeight="1" x14ac:dyDescent="0.2">
      <c r="A1145" s="1928">
        <v>1145</v>
      </c>
      <c r="B1145" s="5335"/>
      <c r="C1145" s="3000"/>
      <c r="D1145" s="3000"/>
      <c r="E1145" s="3000"/>
      <c r="F1145" s="3000"/>
      <c r="G1145" s="3000"/>
      <c r="H1145" s="363"/>
      <c r="I1145" s="428"/>
      <c r="J1145" s="428"/>
      <c r="K1145" s="428"/>
      <c r="L1145" s="537"/>
      <c r="M1145" s="535"/>
      <c r="N1145" s="363"/>
      <c r="P1145" s="528">
        <f t="shared" si="132"/>
        <v>0</v>
      </c>
      <c r="Q1145" s="19" t="str">
        <f>IF(Metamagia!X37=1,"Metamagister: Alta Magia","")</f>
        <v/>
      </c>
      <c r="R1145" s="67"/>
      <c r="S1145" s="19" t="str">
        <f>IF(Metamagia!X37=1,"Permite lanzar conjuros de Alta Magia sin Gnosis 25. Ver","")</f>
        <v/>
      </c>
      <c r="T1145" s="67"/>
      <c r="U1145" s="67"/>
      <c r="V1145" s="255"/>
      <c r="W1145" s="68"/>
      <c r="Y1145" s="1670" t="str">
        <f t="shared" si="135"/>
        <v>Gygjur, Asesino de Dragones (Nv 13)</v>
      </c>
      <c r="Z1145" s="2279">
        <f t="shared" si="136"/>
        <v>11</v>
      </c>
      <c r="AA1145" s="369" t="s">
        <v>1048</v>
      </c>
      <c r="AB1145" s="213">
        <v>160</v>
      </c>
      <c r="AC1145" s="234">
        <v>180</v>
      </c>
    </row>
    <row r="1146" spans="1:29" ht="12.75" customHeight="1" x14ac:dyDescent="0.2">
      <c r="A1146" s="1928">
        <v>1146</v>
      </c>
      <c r="B1146" s="5335"/>
      <c r="C1146" s="3000"/>
      <c r="D1146" s="3000"/>
      <c r="E1146" s="3000"/>
      <c r="F1146" s="3000"/>
      <c r="G1146" s="3000"/>
      <c r="H1146" s="363"/>
      <c r="I1146" s="428"/>
      <c r="J1146" s="428"/>
      <c r="K1146" s="428"/>
      <c r="L1146" s="537"/>
      <c r="M1146" s="535"/>
      <c r="N1146" s="363"/>
      <c r="P1146" s="528">
        <f t="shared" si="132"/>
        <v>0</v>
      </c>
      <c r="Q1146" s="19" t="str">
        <f>IF(Metamagia!X15=1,"Conjuro especializado Nv 30","")</f>
        <v/>
      </c>
      <c r="R1146" s="67"/>
      <c r="S1146" s="19" t="str">
        <f>IF(Metamagia!X15=1,"+10 ACT, +1 INT para Requisitos de conjuro: "&amp;Personalización!AF60,"")</f>
        <v/>
      </c>
      <c r="T1146" s="67"/>
      <c r="U1146" s="67"/>
      <c r="V1146" s="255"/>
      <c r="W1146" s="68"/>
      <c r="Y1146" s="1670" t="str">
        <f t="shared" si="135"/>
        <v>Gygjur, Asesino de Dragones (Nv 5)</v>
      </c>
      <c r="Z1146" s="2279">
        <f t="shared" si="136"/>
        <v>12</v>
      </c>
      <c r="AA1146" s="369" t="s">
        <v>1049</v>
      </c>
      <c r="AB1146" s="213">
        <v>200</v>
      </c>
      <c r="AC1146" s="234">
        <v>300</v>
      </c>
    </row>
    <row r="1147" spans="1:29" ht="12.75" customHeight="1" x14ac:dyDescent="0.2">
      <c r="A1147" s="1928">
        <v>1147</v>
      </c>
      <c r="B1147" s="5335"/>
      <c r="C1147" s="3000"/>
      <c r="D1147" s="3000"/>
      <c r="E1147" s="3000"/>
      <c r="F1147" s="3000"/>
      <c r="G1147" s="3000"/>
      <c r="H1147" s="363"/>
      <c r="I1147" s="428"/>
      <c r="J1147" s="428"/>
      <c r="K1147" s="428"/>
      <c r="L1147" s="537"/>
      <c r="M1147" s="535"/>
      <c r="N1147" s="363"/>
      <c r="P1147" s="528">
        <f t="shared" si="132"/>
        <v>0</v>
      </c>
      <c r="Q1147" s="19" t="str">
        <f>IF(Metamagia!AD15=1,"Conjuro especializado Nv 30","")</f>
        <v/>
      </c>
      <c r="R1147" s="67"/>
      <c r="S1147" s="19" t="str">
        <f>IF(Metamagia!AD15=1,"+10 ACT, +1 INT para Requisitos de conjuro: "&amp;Personalización!AF61,"")</f>
        <v/>
      </c>
      <c r="T1147" s="67"/>
      <c r="U1147" s="67"/>
      <c r="V1147" s="255"/>
      <c r="W1147" s="68"/>
      <c r="Y1147" s="1670" t="str">
        <f t="shared" si="135"/>
        <v>Gygjur, Asesino de Dragones (Nv 9)</v>
      </c>
      <c r="Z1147" s="2279">
        <f t="shared" si="136"/>
        <v>13</v>
      </c>
      <c r="AA1147" s="369" t="s">
        <v>1050</v>
      </c>
      <c r="AB1147" s="213">
        <v>280</v>
      </c>
      <c r="AC1147" s="234">
        <v>400</v>
      </c>
    </row>
    <row r="1148" spans="1:29" ht="12.75" customHeight="1" x14ac:dyDescent="0.2">
      <c r="A1148" s="1928">
        <v>1148</v>
      </c>
      <c r="B1148" s="5335"/>
      <c r="C1148" s="3000"/>
      <c r="D1148" s="3000"/>
      <c r="E1148" s="3000"/>
      <c r="F1148" s="3000"/>
      <c r="G1148" s="3000"/>
      <c r="H1148" s="363"/>
      <c r="I1148" s="428"/>
      <c r="J1148" s="428"/>
      <c r="K1148" s="428"/>
      <c r="L1148" s="537"/>
      <c r="M1148" s="535"/>
      <c r="N1148" s="363"/>
      <c r="P1148" s="528">
        <f t="shared" si="132"/>
        <v>0</v>
      </c>
      <c r="Q1148" s="19" t="str">
        <f>IF(Metamagia!R29=1,"Conjuro especializado Nv 50","")</f>
        <v/>
      </c>
      <c r="R1148" s="67"/>
      <c r="S1148" s="19" t="str">
        <f>IF(Metamagia!R29=1,"+10 ACT, +1 INT para Requisitos de conjuro: "&amp;Personalización!AF62,"")</f>
        <v/>
      </c>
      <c r="T1148" s="67"/>
      <c r="U1148" s="67"/>
      <c r="V1148" s="255"/>
      <c r="W1148" s="68"/>
      <c r="Y1148" s="1670" t="str">
        <f t="shared" si="135"/>
        <v>Holst, Rey de Héroes (Nv 12)</v>
      </c>
      <c r="Z1148" s="2279">
        <f t="shared" si="136"/>
        <v>23</v>
      </c>
      <c r="AA1148" s="369" t="s">
        <v>1051</v>
      </c>
      <c r="AB1148" s="213">
        <v>230</v>
      </c>
      <c r="AC1148" s="234">
        <v>200</v>
      </c>
    </row>
    <row r="1149" spans="1:29" ht="12.75" customHeight="1" x14ac:dyDescent="0.2">
      <c r="A1149" s="1928">
        <v>1149</v>
      </c>
      <c r="B1149" s="5335"/>
      <c r="C1149" s="3000"/>
      <c r="D1149" s="3000"/>
      <c r="E1149" s="3000"/>
      <c r="F1149" s="3000"/>
      <c r="G1149" s="3000"/>
      <c r="H1149" s="363"/>
      <c r="I1149" s="428"/>
      <c r="J1149" s="428"/>
      <c r="K1149" s="428"/>
      <c r="L1149" s="537"/>
      <c r="M1149" s="535"/>
      <c r="N1149" s="363"/>
      <c r="P1149" s="528">
        <f t="shared" si="132"/>
        <v>0</v>
      </c>
      <c r="Q1149" s="19" t="str">
        <f>IF(Metamagia!X24=1,"Conjuro especializado Nv 60","")</f>
        <v/>
      </c>
      <c r="R1149" s="67"/>
      <c r="S1149" s="19" t="str">
        <f>IF(Metamagia!X24=1,"+10 ACT, +1 INT para Requisitos de conjuro: "&amp;Personalización!AF64,"")</f>
        <v/>
      </c>
      <c r="T1149" s="67"/>
      <c r="U1149" s="67"/>
      <c r="V1149" s="255"/>
      <c r="W1149" s="68"/>
      <c r="Y1149" s="1670" t="str">
        <f t="shared" si="135"/>
        <v>Holst, Rey de Héroes (Nv 15)</v>
      </c>
      <c r="Z1149" s="2279">
        <f t="shared" si="136"/>
        <v>24</v>
      </c>
      <c r="AA1149" s="369" t="s">
        <v>1052</v>
      </c>
      <c r="AB1149" s="213">
        <v>280</v>
      </c>
      <c r="AC1149" s="234">
        <v>450</v>
      </c>
    </row>
    <row r="1150" spans="1:29" ht="12.75" customHeight="1" x14ac:dyDescent="0.2">
      <c r="A1150" s="1928">
        <v>1150</v>
      </c>
      <c r="B1150" s="5335"/>
      <c r="C1150" s="3000"/>
      <c r="D1150" s="3000"/>
      <c r="E1150" s="3000"/>
      <c r="F1150" s="3000"/>
      <c r="G1150" s="3000"/>
      <c r="H1150" s="363"/>
      <c r="I1150" s="428"/>
      <c r="J1150" s="428"/>
      <c r="K1150" s="428"/>
      <c r="L1150" s="537"/>
      <c r="M1150" s="535"/>
      <c r="N1150" s="363"/>
      <c r="P1150" s="528">
        <f t="shared" si="132"/>
        <v>0</v>
      </c>
      <c r="Q1150" s="19" t="str">
        <f>IF(Metamagia!AG24=1,"Conjuro especializado Nv 60","")</f>
        <v/>
      </c>
      <c r="R1150" s="67"/>
      <c r="S1150" s="19" t="str">
        <f>IF(Metamagia!AG24=1,"+10 ACT, +1 INT para Requisitos de conjuro: "&amp;Personalización!AF63,"")</f>
        <v/>
      </c>
      <c r="T1150" s="67"/>
      <c r="U1150" s="67"/>
      <c r="V1150" s="255"/>
      <c r="W1150" s="68"/>
      <c r="Y1150" s="1670" t="str">
        <f t="shared" si="135"/>
        <v>Holst, Rey de Héroes (Nv 8)</v>
      </c>
      <c r="Z1150" s="2279">
        <f t="shared" si="136"/>
        <v>25</v>
      </c>
      <c r="AA1150" s="369" t="s">
        <v>1053</v>
      </c>
      <c r="AB1150" s="213">
        <v>320</v>
      </c>
      <c r="AC1150" s="234">
        <v>550</v>
      </c>
    </row>
    <row r="1151" spans="1:29" ht="12.75" customHeight="1" x14ac:dyDescent="0.2">
      <c r="A1151" s="1928">
        <v>1151</v>
      </c>
      <c r="B1151" s="5335"/>
      <c r="C1151" s="3000"/>
      <c r="D1151" s="3000"/>
      <c r="E1151" s="3000"/>
      <c r="F1151" s="3000"/>
      <c r="G1151" s="3000"/>
      <c r="H1151" s="363"/>
      <c r="I1151" s="428"/>
      <c r="J1151" s="428"/>
      <c r="K1151" s="428"/>
      <c r="L1151" s="537"/>
      <c r="M1151" s="535"/>
      <c r="N1151" s="363"/>
      <c r="P1151" s="528">
        <f t="shared" si="132"/>
        <v>0</v>
      </c>
      <c r="Q1151" s="19" t="str">
        <f>IF(Metamagia!AG39=1,"Conjuro especializado Nv 70","")</f>
        <v/>
      </c>
      <c r="R1151" s="67"/>
      <c r="S1151" s="19" t="str">
        <f>IF(Metamagia!AG39=1,"+10 ACT, +1 INT para Requisitos de conjuro: "&amp;Personalización!AF65,"")</f>
        <v/>
      </c>
      <c r="T1151" s="67"/>
      <c r="U1151" s="67"/>
      <c r="V1151" s="255"/>
      <c r="W1151" s="68"/>
      <c r="Y1151" s="1670" t="str">
        <f t="shared" si="135"/>
        <v>Kha-nefer, el Sacerdote Impío (Nv 3)</v>
      </c>
      <c r="Z1151" s="2279">
        <f t="shared" si="136"/>
        <v>8</v>
      </c>
      <c r="AA1151" s="369" t="s">
        <v>1054</v>
      </c>
      <c r="AB1151" s="213">
        <v>180</v>
      </c>
      <c r="AC1151" s="234">
        <v>150</v>
      </c>
    </row>
    <row r="1152" spans="1:29" ht="12.75" customHeight="1" thickBot="1" x14ac:dyDescent="0.25">
      <c r="A1152" s="1928">
        <v>1152</v>
      </c>
      <c r="B1152" s="5335"/>
      <c r="C1152" s="3000"/>
      <c r="D1152" s="3000"/>
      <c r="E1152" s="3000"/>
      <c r="F1152" s="3000"/>
      <c r="G1152" s="3000"/>
      <c r="H1152" s="363"/>
      <c r="I1152" s="428"/>
      <c r="J1152" s="428"/>
      <c r="K1152" s="428"/>
      <c r="L1152" s="537"/>
      <c r="M1152" s="535"/>
      <c r="N1152" s="363"/>
      <c r="P1152" s="530">
        <f t="shared" si="132"/>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35"/>
        <v>Kha-nefer, el Sacerdote Impío (Nv 6)</v>
      </c>
      <c r="Z1152" s="2279">
        <f t="shared" si="136"/>
        <v>9</v>
      </c>
      <c r="AA1152" s="369" t="s">
        <v>1055</v>
      </c>
      <c r="AB1152" s="213">
        <v>280</v>
      </c>
      <c r="AC1152" s="234">
        <v>400</v>
      </c>
    </row>
    <row r="1153" spans="1:29" ht="12.75" customHeight="1" x14ac:dyDescent="0.2">
      <c r="A1153" s="1928">
        <v>1153</v>
      </c>
      <c r="B1153" s="5335"/>
      <c r="C1153" s="3000"/>
      <c r="D1153" s="3000"/>
      <c r="E1153" s="3000"/>
      <c r="F1153" s="3000"/>
      <c r="G1153" s="3000"/>
      <c r="H1153" s="363"/>
      <c r="I1153" s="428"/>
      <c r="J1153" s="428"/>
      <c r="K1153" s="428"/>
      <c r="L1153" s="537"/>
      <c r="M1153" s="535"/>
      <c r="N1153" s="363"/>
      <c r="T1153" s="1927"/>
      <c r="Y1153" s="1670" t="str">
        <f t="shared" si="135"/>
        <v>Kha-nefer, el Sacerdote Impío (Nv 9)</v>
      </c>
      <c r="Z1153" s="2279">
        <f t="shared" si="136"/>
        <v>10</v>
      </c>
      <c r="AA1153" s="369" t="s">
        <v>1056</v>
      </c>
      <c r="AB1153" s="213">
        <v>300</v>
      </c>
      <c r="AC1153" s="234">
        <v>600</v>
      </c>
    </row>
    <row r="1154" spans="1:29" ht="12.75" customHeight="1" x14ac:dyDescent="0.2">
      <c r="A1154" s="1928">
        <v>1154</v>
      </c>
      <c r="B1154" s="5335"/>
      <c r="C1154" s="3000"/>
      <c r="D1154" s="3000"/>
      <c r="E1154" s="3000"/>
      <c r="F1154" s="3000"/>
      <c r="G1154" s="3000"/>
      <c r="H1154" s="363"/>
      <c r="I1154" s="428"/>
      <c r="J1154" s="428"/>
      <c r="K1154" s="428"/>
      <c r="L1154" s="537"/>
      <c r="M1154" s="535"/>
      <c r="N1154" s="363"/>
      <c r="Y1154" s="1670" t="str">
        <f t="shared" si="135"/>
        <v>Kristoff, el Rey Pirata (Nv 11)</v>
      </c>
      <c r="Z1154" s="2279">
        <f t="shared" si="136"/>
        <v>5</v>
      </c>
      <c r="AA1154" s="369" t="s">
        <v>1057</v>
      </c>
      <c r="AB1154" s="213">
        <v>240</v>
      </c>
      <c r="AC1154" s="234">
        <v>200</v>
      </c>
    </row>
    <row r="1155" spans="1:29" ht="12.75" customHeight="1" x14ac:dyDescent="0.2">
      <c r="A1155" s="1928">
        <v>1155</v>
      </c>
      <c r="B1155" s="5335"/>
      <c r="C1155" s="3000"/>
      <c r="D1155" s="3000"/>
      <c r="E1155" s="3000"/>
      <c r="F1155" s="3000"/>
      <c r="G1155" s="3000"/>
      <c r="H1155" s="363"/>
      <c r="I1155" s="428"/>
      <c r="J1155" s="428"/>
      <c r="K1155" s="428"/>
      <c r="L1155" s="537"/>
      <c r="M1155" s="535"/>
      <c r="N1155" s="363"/>
      <c r="Y1155" s="1670" t="str">
        <f t="shared" si="135"/>
        <v>Kristoff, el Rey Pirata (Nv 4)</v>
      </c>
      <c r="Z1155" s="2279">
        <f t="shared" si="136"/>
        <v>6</v>
      </c>
      <c r="AA1155" s="369" t="s">
        <v>1058</v>
      </c>
      <c r="AB1155" s="213">
        <v>260</v>
      </c>
      <c r="AC1155" s="234">
        <v>350</v>
      </c>
    </row>
    <row r="1156" spans="1:29" ht="12.75" customHeight="1" x14ac:dyDescent="0.2">
      <c r="A1156" s="1928">
        <v>1156</v>
      </c>
      <c r="B1156" s="5335"/>
      <c r="C1156" s="3000"/>
      <c r="D1156" s="3000"/>
      <c r="E1156" s="3000"/>
      <c r="F1156" s="3000"/>
      <c r="G1156" s="3000"/>
      <c r="H1156" s="363"/>
      <c r="I1156" s="428"/>
      <c r="J1156" s="428"/>
      <c r="K1156" s="428"/>
      <c r="L1156" s="537"/>
      <c r="M1156" s="535"/>
      <c r="N1156" s="363"/>
      <c r="Y1156" s="1670" t="str">
        <f t="shared" si="135"/>
        <v>Kristoff, el Rey Pirata (Nv 8)</v>
      </c>
      <c r="Z1156" s="2279">
        <f t="shared" si="136"/>
        <v>7</v>
      </c>
      <c r="AA1156" s="369" t="s">
        <v>1059</v>
      </c>
      <c r="AB1156" s="213">
        <v>280</v>
      </c>
      <c r="AC1156" s="234">
        <v>500</v>
      </c>
    </row>
    <row r="1157" spans="1:29" ht="12.75" customHeight="1" x14ac:dyDescent="0.2">
      <c r="A1157" s="1928">
        <v>1157</v>
      </c>
      <c r="B1157" s="5335"/>
      <c r="C1157" s="3000"/>
      <c r="D1157" s="3000"/>
      <c r="E1157" s="3000"/>
      <c r="F1157" s="3000"/>
      <c r="G1157" s="3000"/>
      <c r="H1157" s="363"/>
      <c r="I1157" s="428"/>
      <c r="J1157" s="428"/>
      <c r="K1157" s="428"/>
      <c r="L1157" s="537"/>
      <c r="M1157" s="535"/>
      <c r="N1157" s="363"/>
      <c r="Y1157" s="1670" t="str">
        <f t="shared" si="135"/>
        <v>Linx Kazte Hex, la Sombra de la Muerte (Nv 12)</v>
      </c>
      <c r="Z1157" s="2279">
        <f t="shared" si="136"/>
        <v>42</v>
      </c>
      <c r="AA1157" s="369" t="s">
        <v>1060</v>
      </c>
      <c r="AB1157" s="213">
        <v>280</v>
      </c>
      <c r="AC1157" s="234">
        <v>450</v>
      </c>
    </row>
    <row r="1158" spans="1:29" ht="12.75" customHeight="1" x14ac:dyDescent="0.2">
      <c r="A1158" s="1928">
        <v>1158</v>
      </c>
      <c r="B1158" s="5335"/>
      <c r="C1158" s="3000"/>
      <c r="D1158" s="3000"/>
      <c r="E1158" s="3000"/>
      <c r="F1158" s="3000"/>
      <c r="G1158" s="3000"/>
      <c r="H1158" s="363"/>
      <c r="I1158" s="428"/>
      <c r="J1158" s="428"/>
      <c r="K1158" s="428"/>
      <c r="L1158" s="537"/>
      <c r="M1158" s="535"/>
      <c r="N1158" s="363"/>
      <c r="Y1158" s="1670" t="str">
        <f t="shared" si="135"/>
        <v>Linx Kazte Hex, la Sombra de la Muerte (Nv 4)</v>
      </c>
      <c r="Z1158" s="2279">
        <f t="shared" si="136"/>
        <v>43</v>
      </c>
      <c r="AA1158" s="369" t="s">
        <v>1061</v>
      </c>
      <c r="AB1158" s="213">
        <v>360</v>
      </c>
      <c r="AC1158" s="234">
        <v>750</v>
      </c>
    </row>
    <row r="1159" spans="1:29" ht="12.75" customHeight="1" x14ac:dyDescent="0.2">
      <c r="A1159" s="1928">
        <v>1159</v>
      </c>
      <c r="B1159" s="5335"/>
      <c r="C1159" s="3000"/>
      <c r="D1159" s="3000"/>
      <c r="E1159" s="3000"/>
      <c r="F1159" s="3000"/>
      <c r="G1159" s="3000"/>
      <c r="H1159" s="363"/>
      <c r="I1159" s="428"/>
      <c r="J1159" s="428"/>
      <c r="K1159" s="428"/>
      <c r="L1159" s="537"/>
      <c r="M1159" s="535"/>
      <c r="N1159" s="363"/>
      <c r="Y1159" s="1670" t="str">
        <f t="shared" si="135"/>
        <v>Linx Kazte Hex, la Sombra de la Muerte (Nv 8)</v>
      </c>
      <c r="Z1159" s="2279">
        <f t="shared" si="136"/>
        <v>41</v>
      </c>
      <c r="AA1159" s="369" t="s">
        <v>1062</v>
      </c>
      <c r="AB1159" s="213">
        <v>460</v>
      </c>
      <c r="AC1159" s="234">
        <v>1000</v>
      </c>
    </row>
    <row r="1160" spans="1:29" ht="12.75" customHeight="1" x14ac:dyDescent="0.2">
      <c r="A1160" s="1928">
        <v>1160</v>
      </c>
      <c r="B1160" s="5335"/>
      <c r="C1160" s="3000"/>
      <c r="D1160" s="3000"/>
      <c r="E1160" s="3000"/>
      <c r="F1160" s="3000"/>
      <c r="G1160" s="3000"/>
      <c r="H1160" s="363"/>
      <c r="I1160" s="428"/>
      <c r="J1160" s="428"/>
      <c r="K1160" s="428"/>
      <c r="L1160" s="537"/>
      <c r="M1160" s="535"/>
      <c r="N1160" s="363"/>
      <c r="Y1160" s="1670" t="str">
        <f t="shared" si="135"/>
        <v>Loly Ann (Nv 1)</v>
      </c>
      <c r="Z1160" s="2279">
        <f t="shared" si="136"/>
        <v>27</v>
      </c>
      <c r="AA1160" s="369" t="s">
        <v>1063</v>
      </c>
      <c r="AB1160" s="213">
        <v>250</v>
      </c>
      <c r="AC1160" s="234">
        <v>350</v>
      </c>
    </row>
    <row r="1161" spans="1:29" ht="12.75" customHeight="1" x14ac:dyDescent="0.2">
      <c r="A1161" s="1928">
        <v>1161</v>
      </c>
      <c r="B1161" s="5335"/>
      <c r="C1161" s="3000"/>
      <c r="D1161" s="3000"/>
      <c r="E1161" s="3000"/>
      <c r="F1161" s="3000"/>
      <c r="G1161" s="3000"/>
      <c r="H1161" s="363"/>
      <c r="I1161" s="428"/>
      <c r="J1161" s="428"/>
      <c r="K1161" s="428"/>
      <c r="L1161" s="537"/>
      <c r="M1161" s="535"/>
      <c r="N1161" s="363"/>
      <c r="Y1161" s="1670" t="str">
        <f t="shared" si="135"/>
        <v>Loly Ann (Nv 3)</v>
      </c>
      <c r="Z1161" s="2279">
        <f t="shared" si="136"/>
        <v>28</v>
      </c>
      <c r="AA1161" s="369" t="s">
        <v>1064</v>
      </c>
      <c r="AB1161" s="213">
        <v>300</v>
      </c>
      <c r="AC1161" s="234">
        <v>500</v>
      </c>
    </row>
    <row r="1162" spans="1:29" ht="12.75" customHeight="1" x14ac:dyDescent="0.2">
      <c r="A1162" s="1928">
        <v>1162</v>
      </c>
      <c r="B1162" s="5335"/>
      <c r="C1162" s="3000"/>
      <c r="D1162" s="3000"/>
      <c r="E1162" s="3000"/>
      <c r="F1162" s="3000"/>
      <c r="G1162" s="3000"/>
      <c r="H1162" s="363"/>
      <c r="I1162" s="428"/>
      <c r="J1162" s="428"/>
      <c r="K1162" s="428"/>
      <c r="L1162" s="537"/>
      <c r="M1162" s="535"/>
      <c r="N1162" s="363"/>
      <c r="Y1162" s="1670" t="str">
        <f t="shared" si="135"/>
        <v>Loly Ann (Nv 5)</v>
      </c>
      <c r="Z1162" s="2279">
        <f t="shared" si="136"/>
        <v>26</v>
      </c>
      <c r="AA1162" s="369" t="s">
        <v>1065</v>
      </c>
      <c r="AB1162" s="213">
        <v>380</v>
      </c>
      <c r="AC1162" s="234">
        <v>800</v>
      </c>
    </row>
    <row r="1163" spans="1:29" ht="12.75" customHeight="1" x14ac:dyDescent="0.2">
      <c r="A1163" s="1928">
        <v>1163</v>
      </c>
      <c r="B1163" s="5335"/>
      <c r="C1163" s="3000"/>
      <c r="D1163" s="3000"/>
      <c r="E1163" s="3000"/>
      <c r="F1163" s="3000"/>
      <c r="G1163" s="3000"/>
      <c r="H1163" s="363"/>
      <c r="I1163" s="428"/>
      <c r="J1163" s="428"/>
      <c r="K1163" s="428"/>
      <c r="L1163" s="537"/>
      <c r="M1163" s="535"/>
      <c r="N1163" s="363"/>
      <c r="Y1163" s="1670" t="str">
        <f t="shared" si="135"/>
        <v>Nerval, Defensor de los Perdidos (Nv 11)</v>
      </c>
      <c r="Z1163" s="2279">
        <f t="shared" si="136"/>
        <v>32</v>
      </c>
      <c r="AA1163" s="369" t="s">
        <v>1066</v>
      </c>
      <c r="AB1163" s="213">
        <v>180</v>
      </c>
      <c r="AC1163" s="234">
        <v>150</v>
      </c>
    </row>
    <row r="1164" spans="1:29" ht="12.75" customHeight="1" x14ac:dyDescent="0.2">
      <c r="A1164" s="1928">
        <v>1164</v>
      </c>
      <c r="B1164" s="5335"/>
      <c r="C1164" s="3000"/>
      <c r="D1164" s="3000"/>
      <c r="E1164" s="3000"/>
      <c r="F1164" s="3000"/>
      <c r="G1164" s="3000"/>
      <c r="H1164" s="363"/>
      <c r="I1164" s="428"/>
      <c r="J1164" s="428"/>
      <c r="K1164" s="428"/>
      <c r="L1164" s="537"/>
      <c r="M1164" s="535"/>
      <c r="N1164" s="363"/>
      <c r="Y1164" s="1670" t="str">
        <f t="shared" si="135"/>
        <v>Nerval, Defensor de los Perdidos (Nv 4)</v>
      </c>
      <c r="Z1164" s="2279">
        <f t="shared" si="136"/>
        <v>33</v>
      </c>
      <c r="AA1164" s="369" t="s">
        <v>1067</v>
      </c>
      <c r="AB1164" s="213">
        <v>220</v>
      </c>
      <c r="AC1164" s="234">
        <v>250</v>
      </c>
    </row>
    <row r="1165" spans="1:29" ht="12.75" customHeight="1" x14ac:dyDescent="0.2">
      <c r="A1165" s="1928">
        <v>1165</v>
      </c>
      <c r="B1165" s="5335"/>
      <c r="C1165" s="3000"/>
      <c r="D1165" s="3000"/>
      <c r="E1165" s="3000"/>
      <c r="F1165" s="3000"/>
      <c r="G1165" s="3000"/>
      <c r="H1165" s="363"/>
      <c r="I1165" s="428"/>
      <c r="J1165" s="428"/>
      <c r="K1165" s="428"/>
      <c r="L1165" s="537"/>
      <c r="M1165" s="535"/>
      <c r="N1165" s="363"/>
      <c r="Y1165" s="1670" t="str">
        <f t="shared" si="135"/>
        <v>Nerval, Defensor de los Perdidos (Nv 7)</v>
      </c>
      <c r="Z1165" s="2279">
        <f t="shared" si="136"/>
        <v>34</v>
      </c>
      <c r="AA1165" s="369" t="s">
        <v>1068</v>
      </c>
      <c r="AB1165" s="213">
        <v>280</v>
      </c>
      <c r="AC1165" s="234">
        <v>400</v>
      </c>
    </row>
    <row r="1166" spans="1:29" ht="12.75" customHeight="1" x14ac:dyDescent="0.2">
      <c r="A1166" s="1928">
        <v>1166</v>
      </c>
      <c r="B1166" s="5335"/>
      <c r="C1166" s="3000"/>
      <c r="D1166" s="3000"/>
      <c r="E1166" s="3000"/>
      <c r="F1166" s="3000"/>
      <c r="G1166" s="3000"/>
      <c r="H1166" s="363"/>
      <c r="I1166" s="428"/>
      <c r="J1166" s="428"/>
      <c r="K1166" s="428"/>
      <c r="L1166" s="537"/>
      <c r="M1166" s="535"/>
      <c r="N1166" s="363"/>
      <c r="Y1166" s="1670" t="str">
        <f t="shared" si="135"/>
        <v>Quezcatli, Hijo del Sol (Nv 2)</v>
      </c>
      <c r="Z1166" s="2279">
        <f t="shared" si="136"/>
        <v>3</v>
      </c>
      <c r="AA1166" s="369" t="s">
        <v>1069</v>
      </c>
      <c r="AB1166" s="213">
        <v>290</v>
      </c>
      <c r="AC1166" s="234">
        <v>450</v>
      </c>
    </row>
    <row r="1167" spans="1:29" ht="12.75" customHeight="1" x14ac:dyDescent="0.2">
      <c r="A1167" s="1928">
        <v>1167</v>
      </c>
      <c r="B1167" s="5335"/>
      <c r="C1167" s="3000"/>
      <c r="D1167" s="3000"/>
      <c r="E1167" s="3000"/>
      <c r="F1167" s="3000"/>
      <c r="G1167" s="3000"/>
      <c r="H1167" s="363"/>
      <c r="I1167" s="428"/>
      <c r="J1167" s="428"/>
      <c r="K1167" s="428"/>
      <c r="L1167" s="537"/>
      <c r="M1167" s="535"/>
      <c r="N1167" s="363"/>
      <c r="Y1167" s="1670" t="str">
        <f t="shared" si="135"/>
        <v>Quezcatli, Hijo del Sol (Nv 4)</v>
      </c>
      <c r="Z1167" s="2279">
        <f t="shared" si="136"/>
        <v>4</v>
      </c>
      <c r="AA1167" s="369" t="s">
        <v>1070</v>
      </c>
      <c r="AB1167" s="213">
        <v>380</v>
      </c>
      <c r="AC1167" s="234">
        <v>750</v>
      </c>
    </row>
    <row r="1168" spans="1:29" ht="12.75" customHeight="1" x14ac:dyDescent="0.2">
      <c r="A1168" s="1928">
        <v>1168</v>
      </c>
      <c r="B1168" s="5335"/>
      <c r="C1168" s="3000"/>
      <c r="D1168" s="3000"/>
      <c r="E1168" s="3000"/>
      <c r="F1168" s="3000"/>
      <c r="G1168" s="3000"/>
      <c r="H1168" s="363"/>
      <c r="I1168" s="428"/>
      <c r="J1168" s="428"/>
      <c r="K1168" s="428"/>
      <c r="L1168" s="537"/>
      <c r="M1168" s="535"/>
      <c r="N1168" s="363"/>
      <c r="Y1168" s="1670" t="str">
        <f t="shared" si="135"/>
        <v>Quezcatli, Hijo del Sol (Nv 6)</v>
      </c>
      <c r="Z1168" s="2279">
        <f t="shared" si="136"/>
        <v>2</v>
      </c>
      <c r="AA1168" s="369" t="s">
        <v>1071</v>
      </c>
      <c r="AB1168" s="213">
        <v>460</v>
      </c>
      <c r="AC1168" s="234">
        <v>1250</v>
      </c>
    </row>
    <row r="1169" spans="1:79" ht="12.75" customHeight="1" x14ac:dyDescent="0.2">
      <c r="A1169" s="1928">
        <v>1169</v>
      </c>
      <c r="B1169" s="5335"/>
      <c r="C1169" s="3000"/>
      <c r="D1169" s="3000"/>
      <c r="E1169" s="3000"/>
      <c r="F1169" s="3000"/>
      <c r="G1169" s="3000"/>
      <c r="H1169" s="363"/>
      <c r="I1169" s="428"/>
      <c r="J1169" s="428"/>
      <c r="K1169" s="428"/>
      <c r="L1169" s="537"/>
      <c r="M1169" s="535"/>
      <c r="N1169" s="363"/>
      <c r="Y1169" s="1670" t="str">
        <f t="shared" si="135"/>
        <v>Ruatha Synn (Nv 12)</v>
      </c>
      <c r="Z1169" s="2279">
        <f t="shared" si="136"/>
        <v>45</v>
      </c>
      <c r="AA1169" s="369" t="s">
        <v>1072</v>
      </c>
      <c r="AB1169" s="213">
        <v>260</v>
      </c>
      <c r="AC1169" s="234">
        <v>400</v>
      </c>
    </row>
    <row r="1170" spans="1:79" ht="12.75" customHeight="1" x14ac:dyDescent="0.2">
      <c r="A1170" s="1928">
        <v>1170</v>
      </c>
      <c r="B1170" s="5335"/>
      <c r="C1170" s="3000"/>
      <c r="D1170" s="3000"/>
      <c r="E1170" s="3000"/>
      <c r="F1170" s="3000"/>
      <c r="G1170" s="3000"/>
      <c r="H1170" s="363"/>
      <c r="I1170" s="428"/>
      <c r="J1170" s="428"/>
      <c r="K1170" s="428"/>
      <c r="L1170" s="537"/>
      <c r="M1170" s="535"/>
      <c r="N1170" s="363"/>
      <c r="Y1170" s="1670" t="str">
        <f t="shared" si="135"/>
        <v>Ruatha Synn (Nv 4)</v>
      </c>
      <c r="Z1170" s="2279">
        <f t="shared" si="136"/>
        <v>46</v>
      </c>
      <c r="AA1170" s="369" t="s">
        <v>1073</v>
      </c>
      <c r="AB1170" s="213">
        <v>300</v>
      </c>
      <c r="AC1170" s="234">
        <v>600</v>
      </c>
    </row>
    <row r="1171" spans="1:79" ht="12.75" customHeight="1" x14ac:dyDescent="0.2">
      <c r="A1171" s="1928">
        <v>1171</v>
      </c>
      <c r="B1171" s="5335"/>
      <c r="C1171" s="3000"/>
      <c r="D1171" s="3000"/>
      <c r="E1171" s="3000"/>
      <c r="F1171" s="3000"/>
      <c r="G1171" s="3000"/>
      <c r="H1171" s="363"/>
      <c r="I1171" s="428"/>
      <c r="J1171" s="428"/>
      <c r="K1171" s="428"/>
      <c r="L1171" s="537"/>
      <c r="M1171" s="535"/>
      <c r="N1171" s="363"/>
      <c r="Y1171" s="1670" t="str">
        <f t="shared" si="135"/>
        <v>Ruatha Synn (Nv 8)</v>
      </c>
      <c r="Z1171" s="2279">
        <f t="shared" si="136"/>
        <v>44</v>
      </c>
      <c r="AA1171" s="369" t="s">
        <v>1074</v>
      </c>
      <c r="AB1171" s="213">
        <v>500</v>
      </c>
      <c r="AC1171" s="234">
        <v>1200</v>
      </c>
    </row>
    <row r="1172" spans="1:79" ht="12.75" customHeight="1" x14ac:dyDescent="0.2">
      <c r="A1172" s="1928">
        <v>1172</v>
      </c>
      <c r="B1172" s="5335"/>
      <c r="C1172" s="3000"/>
      <c r="D1172" s="3000"/>
      <c r="E1172" s="3000"/>
      <c r="F1172" s="3000"/>
      <c r="G1172" s="3000"/>
      <c r="H1172" s="363"/>
      <c r="I1172" s="428"/>
      <c r="J1172" s="428"/>
      <c r="K1172" s="428"/>
      <c r="L1172" s="537"/>
      <c r="M1172" s="535"/>
      <c r="N1172" s="363"/>
      <c r="Y1172" s="1670" t="str">
        <f t="shared" si="135"/>
        <v>Wang Shou Bo (Nv 13)</v>
      </c>
      <c r="Z1172" s="2279">
        <f t="shared" si="136"/>
        <v>22</v>
      </c>
      <c r="AA1172" s="369" t="s">
        <v>1075</v>
      </c>
      <c r="AB1172" s="213">
        <v>360</v>
      </c>
      <c r="AC1172" s="234">
        <v>750</v>
      </c>
    </row>
    <row r="1173" spans="1:79" ht="12.75" customHeight="1" x14ac:dyDescent="0.2">
      <c r="A1173" s="1928">
        <v>1173</v>
      </c>
      <c r="B1173" s="5335"/>
      <c r="C1173" s="3000"/>
      <c r="D1173" s="3000"/>
      <c r="E1173" s="3000"/>
      <c r="F1173" s="3000"/>
      <c r="G1173" s="3000"/>
      <c r="H1173" s="363"/>
      <c r="I1173" s="428"/>
      <c r="J1173" s="428"/>
      <c r="K1173" s="428"/>
      <c r="L1173" s="537"/>
      <c r="M1173" s="535"/>
      <c r="N1173" s="363"/>
      <c r="Y1173" s="1670" t="str">
        <f t="shared" si="135"/>
        <v>Wang Shou Bo (Nv 5)</v>
      </c>
      <c r="Z1173" s="2279">
        <f t="shared" si="136"/>
        <v>20</v>
      </c>
      <c r="AA1173" s="369" t="s">
        <v>1076</v>
      </c>
      <c r="AB1173" s="213">
        <v>440</v>
      </c>
      <c r="AC1173" s="234">
        <v>1200</v>
      </c>
    </row>
    <row r="1174" spans="1:79" ht="12.75" customHeight="1" x14ac:dyDescent="0.2">
      <c r="A1174" s="1928">
        <v>1174</v>
      </c>
      <c r="B1174" s="5335"/>
      <c r="C1174" s="3000"/>
      <c r="D1174" s="3000"/>
      <c r="E1174" s="3000"/>
      <c r="F1174" s="3000"/>
      <c r="G1174" s="3000"/>
      <c r="H1174" s="363"/>
      <c r="I1174" s="428"/>
      <c r="J1174" s="428"/>
      <c r="K1174" s="428"/>
      <c r="L1174" s="537"/>
      <c r="M1174" s="535"/>
      <c r="N1174" s="363"/>
      <c r="Y1174" s="1670" t="str">
        <f t="shared" si="135"/>
        <v>Wang Shou Bo (Nv 9)</v>
      </c>
      <c r="Z1174" s="2279">
        <f t="shared" si="136"/>
        <v>21</v>
      </c>
      <c r="AA1174" s="369" t="s">
        <v>1077</v>
      </c>
      <c r="AB1174" s="213">
        <v>520</v>
      </c>
      <c r="AC1174" s="234">
        <v>1500</v>
      </c>
    </row>
    <row r="1175" spans="1:79" ht="12.75" customHeight="1" x14ac:dyDescent="0.2">
      <c r="A1175" s="1928">
        <v>1175</v>
      </c>
      <c r="B1175" s="5335"/>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335"/>
      <c r="C1176" s="3000"/>
      <c r="D1176" s="3000"/>
      <c r="E1176" s="3000"/>
      <c r="F1176" s="3000"/>
      <c r="G1176" s="3000"/>
      <c r="H1176" s="363"/>
      <c r="I1176" s="428"/>
      <c r="J1176" s="428"/>
      <c r="K1176" s="428"/>
      <c r="L1176" s="537"/>
      <c r="M1176" s="535"/>
      <c r="N1176" s="363"/>
      <c r="Y1176" s="1670" t="str">
        <f t="shared" ref="Y1176:Y1181" si="137">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335"/>
      <c r="C1177" s="3000"/>
      <c r="D1177" s="3000"/>
      <c r="E1177" s="3000"/>
      <c r="F1177" s="3000"/>
      <c r="G1177" s="3000"/>
      <c r="H1177" s="363"/>
      <c r="I1177" s="428"/>
      <c r="J1177" s="428"/>
      <c r="K1177" s="428"/>
      <c r="L1177" s="537"/>
      <c r="M1177" s="535"/>
      <c r="N1177" s="363"/>
      <c r="Y1177" s="1670" t="str">
        <f t="shared" si="137"/>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335"/>
      <c r="C1178" s="3000"/>
      <c r="D1178" s="3000"/>
      <c r="E1178" s="3000"/>
      <c r="F1178" s="3000"/>
      <c r="G1178" s="3000"/>
      <c r="H1178" s="363"/>
      <c r="I1178" s="428"/>
      <c r="J1178" s="428"/>
      <c r="K1178" s="428"/>
      <c r="L1178" s="537"/>
      <c r="M1178" s="535"/>
      <c r="N1178" s="363"/>
      <c r="Y1178" s="1670" t="str">
        <f t="shared" si="137"/>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335"/>
      <c r="C1179" s="3000"/>
      <c r="D1179" s="3000"/>
      <c r="E1179" s="3000"/>
      <c r="F1179" s="3000"/>
      <c r="G1179" s="3000"/>
      <c r="H1179" s="363"/>
      <c r="I1179" s="428"/>
      <c r="J1179" s="428"/>
      <c r="K1179" s="428"/>
      <c r="L1179" s="537"/>
      <c r="M1179" s="535"/>
      <c r="N1179" s="363"/>
      <c r="Y1179" s="1670" t="str">
        <f t="shared" si="137"/>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335"/>
      <c r="C1180" s="3000"/>
      <c r="D1180" s="3000"/>
      <c r="E1180" s="3000"/>
      <c r="F1180" s="3000"/>
      <c r="G1180" s="3000"/>
      <c r="H1180" s="363"/>
      <c r="I1180" s="428"/>
      <c r="J1180" s="428"/>
      <c r="K1180" s="428"/>
      <c r="L1180" s="537"/>
      <c r="M1180" s="535"/>
      <c r="N1180" s="363"/>
      <c r="Y1180" s="1670" t="str">
        <f t="shared" si="137"/>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335"/>
      <c r="C1181" s="3000"/>
      <c r="D1181" s="3000"/>
      <c r="E1181" s="3000"/>
      <c r="F1181" s="3000"/>
      <c r="G1181" s="3000"/>
      <c r="H1181" s="363"/>
      <c r="I1181" s="428"/>
      <c r="J1181" s="428"/>
      <c r="K1181" s="428"/>
      <c r="L1181" s="537"/>
      <c r="M1181" s="535"/>
      <c r="N1181" s="363"/>
      <c r="Y1181" s="1670" t="str">
        <f t="shared" si="137"/>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335"/>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335"/>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108"/>
      <c r="C1184" s="5107" t="s">
        <v>8941</v>
      </c>
      <c r="D1184" s="5107"/>
      <c r="E1184" s="5107"/>
      <c r="F1184" s="5107"/>
      <c r="G1184" s="5107"/>
      <c r="H1184" s="5107"/>
      <c r="I1184" s="5107"/>
      <c r="J1184" s="5107"/>
      <c r="K1184" s="5107"/>
      <c r="L1184" s="5107"/>
      <c r="M1184" s="5107"/>
      <c r="N1184" s="5107"/>
      <c r="O1184" s="5107"/>
      <c r="P1184" s="5107"/>
      <c r="Q1184" s="5107"/>
      <c r="R1184" s="5107"/>
      <c r="S1184" s="5107"/>
      <c r="T1184" s="5107"/>
      <c r="U1184" s="5107"/>
      <c r="V1184" s="5107"/>
      <c r="W1184" s="5107"/>
      <c r="X1184" s="5107"/>
      <c r="Y1184" s="5107"/>
      <c r="Z1184" s="5107"/>
      <c r="AA1184" s="5107"/>
      <c r="AB1184" s="5107"/>
      <c r="AC1184" s="5107"/>
      <c r="AD1184" s="5107"/>
      <c r="AE1184" s="5107"/>
      <c r="AF1184" s="5107"/>
      <c r="AG1184" s="5107"/>
      <c r="AH1184" s="5107"/>
      <c r="AI1184" s="5107"/>
      <c r="AJ1184" s="5107"/>
      <c r="AK1184" s="5107"/>
      <c r="AL1184" s="5107"/>
      <c r="AM1184" s="5107"/>
      <c r="AN1184" s="5107"/>
      <c r="AO1184" s="5107"/>
      <c r="AP1184" s="5107"/>
      <c r="AQ1184" s="5107"/>
      <c r="AR1184" s="5107"/>
      <c r="AS1184" s="5107"/>
      <c r="AT1184" s="5107"/>
      <c r="AU1184" s="5107"/>
      <c r="AV1184" s="5107"/>
      <c r="AW1184" s="5107"/>
      <c r="AX1184" s="5107"/>
      <c r="AY1184" s="5107"/>
      <c r="AZ1184" s="5107"/>
      <c r="BA1184" s="5107"/>
      <c r="BB1184" s="5107"/>
      <c r="BC1184" s="5107"/>
      <c r="BD1184" s="5107"/>
      <c r="BE1184" s="5107"/>
      <c r="BF1184" s="5107"/>
      <c r="BG1184" s="5107"/>
      <c r="BH1184" s="5107"/>
      <c r="BI1184" s="5107"/>
      <c r="BJ1184" s="5107"/>
      <c r="BK1184" s="5107"/>
      <c r="BL1184" s="5107"/>
      <c r="BM1184" s="5107"/>
      <c r="BN1184" s="5107"/>
      <c r="BO1184" s="5107"/>
      <c r="BP1184" s="5107"/>
      <c r="BQ1184" s="5107"/>
      <c r="BR1184" s="5107"/>
      <c r="BS1184" s="5107"/>
      <c r="BT1184" s="5107"/>
      <c r="BU1184" s="5107"/>
      <c r="BV1184" s="5107"/>
      <c r="BW1184" s="5107"/>
      <c r="BX1184" s="5107"/>
      <c r="BY1184" s="5107"/>
      <c r="BZ1184" s="5107"/>
      <c r="CA1184" s="5107"/>
    </row>
    <row r="1185" spans="1:79" ht="12.75" customHeight="1" x14ac:dyDescent="0.2">
      <c r="A1185" s="1928">
        <v>1185</v>
      </c>
      <c r="B1185" s="5108"/>
      <c r="C1185" s="5107"/>
      <c r="D1185" s="5107"/>
      <c r="E1185" s="5107"/>
      <c r="F1185" s="5107"/>
      <c r="G1185" s="5107"/>
      <c r="H1185" s="5107"/>
      <c r="I1185" s="5107"/>
      <c r="J1185" s="5107"/>
      <c r="K1185" s="5107"/>
      <c r="L1185" s="5107"/>
      <c r="M1185" s="5107"/>
      <c r="N1185" s="5107"/>
      <c r="O1185" s="5107"/>
      <c r="P1185" s="5107"/>
      <c r="Q1185" s="5107"/>
      <c r="R1185" s="5107"/>
      <c r="S1185" s="5107"/>
      <c r="T1185" s="5107"/>
      <c r="U1185" s="5107"/>
      <c r="V1185" s="5107"/>
      <c r="W1185" s="5107"/>
      <c r="X1185" s="5107"/>
      <c r="Y1185" s="5107"/>
      <c r="Z1185" s="5107"/>
      <c r="AA1185" s="5107"/>
      <c r="AB1185" s="5107"/>
      <c r="AC1185" s="5107"/>
      <c r="AD1185" s="5107"/>
      <c r="AE1185" s="5107"/>
      <c r="AF1185" s="5107"/>
      <c r="AG1185" s="5107"/>
      <c r="AH1185" s="5107"/>
      <c r="AI1185" s="5107"/>
      <c r="AJ1185" s="5107"/>
      <c r="AK1185" s="5107"/>
      <c r="AL1185" s="5107"/>
      <c r="AM1185" s="5107"/>
      <c r="AN1185" s="5107"/>
      <c r="AO1185" s="5107"/>
      <c r="AP1185" s="5107"/>
      <c r="AQ1185" s="5107"/>
      <c r="AR1185" s="5107"/>
      <c r="AS1185" s="5107"/>
      <c r="AT1185" s="5107"/>
      <c r="AU1185" s="5107"/>
      <c r="AV1185" s="5107"/>
      <c r="AW1185" s="5107"/>
      <c r="AX1185" s="5107"/>
      <c r="AY1185" s="5107"/>
      <c r="AZ1185" s="5107"/>
      <c r="BA1185" s="5107"/>
      <c r="BB1185" s="5107"/>
      <c r="BC1185" s="5107"/>
      <c r="BD1185" s="5107"/>
      <c r="BE1185" s="5107"/>
      <c r="BF1185" s="5107"/>
      <c r="BG1185" s="5107"/>
      <c r="BH1185" s="5107"/>
      <c r="BI1185" s="5107"/>
      <c r="BJ1185" s="5107"/>
      <c r="BK1185" s="5107"/>
      <c r="BL1185" s="5107"/>
      <c r="BM1185" s="5107"/>
      <c r="BN1185" s="5107"/>
      <c r="BO1185" s="5107"/>
      <c r="BP1185" s="5107"/>
      <c r="BQ1185" s="5107"/>
      <c r="BR1185" s="5107"/>
      <c r="BS1185" s="5107"/>
      <c r="BT1185" s="5107"/>
      <c r="BU1185" s="5107"/>
      <c r="BV1185" s="5107"/>
      <c r="BW1185" s="5107"/>
      <c r="BX1185" s="5107"/>
      <c r="BY1185" s="5107"/>
      <c r="BZ1185" s="5107"/>
      <c r="CA1185" s="5107"/>
    </row>
    <row r="1186" spans="1:79" ht="12.75" customHeight="1" x14ac:dyDescent="0.2">
      <c r="A1186" s="1928">
        <v>1186</v>
      </c>
      <c r="B1186" s="5108"/>
      <c r="C1186" s="5107"/>
      <c r="D1186" s="5107"/>
      <c r="E1186" s="5107"/>
      <c r="F1186" s="5107"/>
      <c r="G1186" s="5107"/>
      <c r="H1186" s="5107"/>
      <c r="I1186" s="5107"/>
      <c r="J1186" s="5107"/>
      <c r="K1186" s="5107"/>
      <c r="L1186" s="5107"/>
      <c r="M1186" s="5107"/>
      <c r="N1186" s="5107"/>
      <c r="O1186" s="5107"/>
      <c r="P1186" s="5107"/>
      <c r="Q1186" s="5107"/>
      <c r="R1186" s="5107"/>
      <c r="S1186" s="5107"/>
      <c r="T1186" s="5107"/>
      <c r="U1186" s="5107"/>
      <c r="V1186" s="5107"/>
      <c r="W1186" s="5107"/>
      <c r="X1186" s="5107"/>
      <c r="Y1186" s="5107"/>
      <c r="Z1186" s="5107"/>
      <c r="AA1186" s="5107"/>
      <c r="AB1186" s="5107"/>
      <c r="AC1186" s="5107"/>
      <c r="AD1186" s="5107"/>
      <c r="AE1186" s="5107"/>
      <c r="AF1186" s="5107"/>
      <c r="AG1186" s="5107"/>
      <c r="AH1186" s="5107"/>
      <c r="AI1186" s="5107"/>
      <c r="AJ1186" s="5107"/>
      <c r="AK1186" s="5107"/>
      <c r="AL1186" s="5107"/>
      <c r="AM1186" s="5107"/>
      <c r="AN1186" s="5107"/>
      <c r="AO1186" s="5107"/>
      <c r="AP1186" s="5107"/>
      <c r="AQ1186" s="5107"/>
      <c r="AR1186" s="5107"/>
      <c r="AS1186" s="5107"/>
      <c r="AT1186" s="5107"/>
      <c r="AU1186" s="5107"/>
      <c r="AV1186" s="5107"/>
      <c r="AW1186" s="5107"/>
      <c r="AX1186" s="5107"/>
      <c r="AY1186" s="5107"/>
      <c r="AZ1186" s="5107"/>
      <c r="BA1186" s="5107"/>
      <c r="BB1186" s="5107"/>
      <c r="BC1186" s="5107"/>
      <c r="BD1186" s="5107"/>
      <c r="BE1186" s="5107"/>
      <c r="BF1186" s="5107"/>
      <c r="BG1186" s="5107"/>
      <c r="BH1186" s="5107"/>
      <c r="BI1186" s="5107"/>
      <c r="BJ1186" s="5107"/>
      <c r="BK1186" s="5107"/>
      <c r="BL1186" s="5107"/>
      <c r="BM1186" s="5107"/>
      <c r="BN1186" s="5107"/>
      <c r="BO1186" s="5107"/>
      <c r="BP1186" s="5107"/>
      <c r="BQ1186" s="5107"/>
      <c r="BR1186" s="5107"/>
      <c r="BS1186" s="5107"/>
      <c r="BT1186" s="5107"/>
      <c r="BU1186" s="5107"/>
      <c r="BV1186" s="5107"/>
      <c r="BW1186" s="5107"/>
      <c r="BX1186" s="5107"/>
      <c r="BY1186" s="5107"/>
      <c r="BZ1186" s="5107"/>
      <c r="CA1186" s="5107"/>
    </row>
    <row r="1187" spans="1:79" ht="12.75" customHeight="1" thickBot="1" x14ac:dyDescent="0.25">
      <c r="A1187" s="1928">
        <v>1187</v>
      </c>
      <c r="B1187" s="5108"/>
      <c r="H1187" s="363"/>
      <c r="I1187" s="1665"/>
      <c r="N1187" s="363"/>
      <c r="O1187" s="2011"/>
      <c r="AB1187" s="363"/>
      <c r="AC1187" s="2577"/>
    </row>
    <row r="1188" spans="1:79" ht="12.75" customHeight="1" x14ac:dyDescent="0.2">
      <c r="A1188" s="1928">
        <v>1188</v>
      </c>
      <c r="B1188" s="5108"/>
      <c r="C1188" s="5112" t="s">
        <v>1549</v>
      </c>
      <c r="D1188" s="5113"/>
      <c r="E1188" s="5113"/>
      <c r="F1188" s="5113"/>
      <c r="G1188" s="5113"/>
      <c r="H1188" s="5113"/>
      <c r="I1188" s="5113"/>
      <c r="J1188" s="5113"/>
      <c r="K1188" s="5114"/>
      <c r="M1188" s="4071" t="s">
        <v>1749</v>
      </c>
      <c r="N1188" s="4072"/>
      <c r="O1188" s="4072"/>
      <c r="P1188" s="4072"/>
      <c r="Q1188" s="4072"/>
      <c r="R1188" s="4072"/>
      <c r="S1188" s="4072"/>
      <c r="T1188" s="4073"/>
      <c r="V1188" s="5120" t="s">
        <v>1751</v>
      </c>
      <c r="W1188" s="4087"/>
      <c r="X1188" s="5118" t="s">
        <v>8952</v>
      </c>
      <c r="Y1188" s="5123" t="s">
        <v>8957</v>
      </c>
      <c r="Z1188" s="5118"/>
      <c r="AA1188" s="5118"/>
      <c r="AB1188" s="5118"/>
      <c r="AC1188" s="5118"/>
      <c r="AD1188" s="5118"/>
      <c r="AE1188" s="5118"/>
      <c r="AF1188" s="5118"/>
      <c r="AG1188" s="5118"/>
      <c r="AH1188" s="5118"/>
      <c r="AI1188" s="5118"/>
      <c r="AJ1188" s="5118"/>
      <c r="AK1188" s="5118"/>
      <c r="AL1188" s="5118"/>
      <c r="AM1188" s="5118"/>
      <c r="AN1188" s="5118"/>
      <c r="AO1188" s="5118"/>
      <c r="AP1188" s="5118"/>
      <c r="AQ1188" s="5118"/>
      <c r="AR1188" s="5118"/>
      <c r="AS1188" s="5118"/>
      <c r="AT1188" s="5118"/>
      <c r="AU1188" s="5118"/>
      <c r="AV1188" s="5118"/>
      <c r="AW1188" s="5118"/>
      <c r="AX1188" s="5118"/>
      <c r="AY1188" s="5118"/>
      <c r="AZ1188" s="5118"/>
      <c r="BA1188" s="5118"/>
      <c r="BB1188" s="5118"/>
      <c r="BC1188" s="5118"/>
      <c r="BD1188" s="5118"/>
      <c r="BE1188" s="5118"/>
      <c r="BF1188" s="5118"/>
      <c r="BG1188" s="5118"/>
      <c r="BH1188" s="5118"/>
      <c r="BI1188" s="5118"/>
      <c r="BJ1188" s="5118"/>
      <c r="BK1188" s="5118"/>
      <c r="BL1188" s="5118"/>
      <c r="BM1188" s="5118"/>
      <c r="BN1188" s="5118"/>
      <c r="BO1188" s="5118"/>
      <c r="BP1188" s="5118"/>
      <c r="BQ1188" s="5118"/>
      <c r="BR1188" s="5118"/>
      <c r="BS1188" s="5118"/>
      <c r="BT1188" s="5118"/>
      <c r="BU1188" s="5118"/>
      <c r="BV1188" s="5118"/>
      <c r="BW1188" s="5118"/>
      <c r="BX1188" s="5118"/>
      <c r="BY1188" s="5118"/>
      <c r="BZ1188" s="5118"/>
      <c r="CA1188" s="5124"/>
    </row>
    <row r="1189" spans="1:79" ht="12.75" customHeight="1" x14ac:dyDescent="0.2">
      <c r="A1189" s="1928">
        <v>1189</v>
      </c>
      <c r="B1189" s="5108"/>
      <c r="C1189" s="5115"/>
      <c r="D1189" s="5116"/>
      <c r="E1189" s="5116"/>
      <c r="F1189" s="5116"/>
      <c r="G1189" s="5116"/>
      <c r="H1189" s="5116"/>
      <c r="I1189" s="5116"/>
      <c r="J1189" s="5116"/>
      <c r="K1189" s="5117"/>
      <c r="M1189" s="5109"/>
      <c r="N1189" s="5110"/>
      <c r="O1189" s="5110"/>
      <c r="P1189" s="5110"/>
      <c r="Q1189" s="5110"/>
      <c r="R1189" s="5110"/>
      <c r="S1189" s="5110"/>
      <c r="T1189" s="5111"/>
      <c r="V1189" s="5121"/>
      <c r="W1189" s="4055"/>
      <c r="X1189" s="5119"/>
      <c r="Y1189" s="5125"/>
      <c r="Z1189" s="5119"/>
      <c r="AA1189" s="5119"/>
      <c r="AB1189" s="5119"/>
      <c r="AC1189" s="5119"/>
      <c r="AD1189" s="5119"/>
      <c r="AE1189" s="5119"/>
      <c r="AF1189" s="5119"/>
      <c r="AG1189" s="5119"/>
      <c r="AH1189" s="5119"/>
      <c r="AI1189" s="5119"/>
      <c r="AJ1189" s="5119"/>
      <c r="AK1189" s="5119"/>
      <c r="AL1189" s="5119"/>
      <c r="AM1189" s="5119"/>
      <c r="AN1189" s="5119"/>
      <c r="AO1189" s="5119"/>
      <c r="AP1189" s="5119"/>
      <c r="AQ1189" s="5119"/>
      <c r="AR1189" s="5119"/>
      <c r="AS1189" s="5119"/>
      <c r="AT1189" s="5119"/>
      <c r="AU1189" s="5119"/>
      <c r="AV1189" s="5119"/>
      <c r="AW1189" s="5119"/>
      <c r="AX1189" s="5119"/>
      <c r="AY1189" s="5119"/>
      <c r="AZ1189" s="5119"/>
      <c r="BA1189" s="5119"/>
      <c r="BB1189" s="5119"/>
      <c r="BC1189" s="5119"/>
      <c r="BD1189" s="5119"/>
      <c r="BE1189" s="5119"/>
      <c r="BF1189" s="5119"/>
      <c r="BG1189" s="5119"/>
      <c r="BH1189" s="5119"/>
      <c r="BI1189" s="5119"/>
      <c r="BJ1189" s="5119"/>
      <c r="BK1189" s="5119"/>
      <c r="BL1189" s="5119"/>
      <c r="BM1189" s="5119"/>
      <c r="BN1189" s="5119"/>
      <c r="BO1189" s="5119"/>
      <c r="BP1189" s="5119"/>
      <c r="BQ1189" s="5119"/>
      <c r="BR1189" s="5119"/>
      <c r="BS1189" s="5119"/>
      <c r="BT1189" s="5119"/>
      <c r="BU1189" s="5119"/>
      <c r="BV1189" s="5119"/>
      <c r="BW1189" s="5119"/>
      <c r="BX1189" s="5119"/>
      <c r="BY1189" s="5119"/>
      <c r="BZ1189" s="5119"/>
      <c r="CA1189" s="5122"/>
    </row>
    <row r="1190" spans="1:79" ht="12.75" customHeight="1" x14ac:dyDescent="0.2">
      <c r="A1190" s="1928">
        <v>1190</v>
      </c>
      <c r="B1190" s="5108"/>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108"/>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108"/>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38">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108"/>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38"/>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108"/>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38"/>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108"/>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38"/>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108"/>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38"/>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108"/>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38"/>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108"/>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108"/>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108"/>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108"/>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108"/>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108"/>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108"/>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108"/>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108"/>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108"/>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39">"+"&amp;A1</f>
        <v>+1</v>
      </c>
      <c r="Z1207" s="2633" t="str">
        <f t="shared" si="139"/>
        <v>+2</v>
      </c>
      <c r="AA1207" s="2633" t="str">
        <f t="shared" si="139"/>
        <v>+3</v>
      </c>
      <c r="AB1207" s="2633" t="str">
        <f t="shared" si="139"/>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108"/>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108"/>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108"/>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108"/>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108"/>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108"/>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108"/>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108"/>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108"/>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108"/>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40">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108"/>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40"/>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108"/>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40"/>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108"/>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40"/>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108"/>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40"/>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108"/>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40"/>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108"/>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40"/>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108"/>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40"/>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108"/>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40"/>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108"/>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40"/>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108"/>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40"/>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108"/>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40"/>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108"/>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40"/>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108"/>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40"/>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108"/>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40"/>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108"/>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40"/>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108"/>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40"/>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108"/>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40"/>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108"/>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40"/>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108"/>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40"/>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108"/>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40"/>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108"/>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40"/>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108"/>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40"/>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108"/>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40"/>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108"/>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40"/>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108"/>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40"/>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108"/>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40"/>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108"/>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40"/>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108"/>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40"/>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108"/>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40"/>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108"/>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40"/>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108"/>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40"/>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108"/>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41">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108"/>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41"/>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108"/>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41"/>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108"/>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41"/>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108"/>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41"/>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108"/>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41"/>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108"/>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41"/>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108"/>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41"/>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108"/>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41"/>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108"/>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41"/>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108"/>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41"/>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108"/>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41"/>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108"/>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41"/>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108"/>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41"/>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108"/>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41"/>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108"/>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41"/>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108"/>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41"/>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108"/>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41"/>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108"/>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41"/>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108"/>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41"/>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108"/>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108"/>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42">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108"/>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42"/>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108"/>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42"/>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108"/>
      <c r="C1273" s="2594"/>
      <c r="D1273" s="210"/>
      <c r="E1273" s="2597" t="s">
        <v>9807</v>
      </c>
      <c r="F1273" s="195">
        <v>10</v>
      </c>
      <c r="G1273" s="195">
        <v>10</v>
      </c>
      <c r="H1273" s="195">
        <f>COUNTIF(HabilidadesEsenciales_Adquiridas,Tablas!E1273)</f>
        <v>0</v>
      </c>
      <c r="I1273" s="2599">
        <v>1</v>
      </c>
      <c r="J1273" s="370">
        <f t="array" ref="J1273">MAX($H$1273:$H$1327*IF(ISNUMBER(SEARCH(K1273,$E$1273:$E$1327)),VALUE(RIGHT($E$1273:$E$1327,2)),0))</f>
        <v>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42"/>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108"/>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42"/>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108"/>
      <c r="C1275" s="2594"/>
      <c r="D1275" s="210"/>
      <c r="E1275" s="2597" t="s">
        <v>9809</v>
      </c>
      <c r="F1275" s="195">
        <v>20</v>
      </c>
      <c r="G1275" s="195">
        <v>30</v>
      </c>
      <c r="H1275" s="195">
        <f>COUNTIF(HabilidadesEsenciales_Adquiridas,Tablas!E1275)</f>
        <v>0</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42"/>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108"/>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42"/>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108"/>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42"/>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108"/>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42"/>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108"/>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42"/>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108"/>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119"/>
      <c r="BK1280" s="5119"/>
      <c r="BL1280" s="5119"/>
      <c r="BM1280" s="5119"/>
      <c r="BN1280" s="5119"/>
      <c r="BO1280" s="5119"/>
      <c r="BP1280" s="5119"/>
      <c r="BQ1280" s="5119"/>
      <c r="BR1280" s="5119"/>
      <c r="BS1280" s="5119"/>
      <c r="BT1280" s="5119"/>
      <c r="BU1280" s="5119"/>
      <c r="BV1280" s="5119"/>
      <c r="BW1280" s="5119"/>
      <c r="BX1280" s="5119"/>
      <c r="BY1280" s="5119"/>
      <c r="BZ1280" s="5119"/>
      <c r="CA1280" s="5122"/>
    </row>
    <row r="1281" spans="1:79" ht="12.75" customHeight="1" x14ac:dyDescent="0.2">
      <c r="A1281" s="1928">
        <v>1281</v>
      </c>
      <c r="B1281" s="5108"/>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108"/>
      <c r="C1282" s="2594"/>
      <c r="D1282" s="210"/>
      <c r="E1282" s="2597" t="s">
        <v>9816</v>
      </c>
      <c r="F1282" s="195">
        <v>30</v>
      </c>
      <c r="G1282" s="195">
        <v>50</v>
      </c>
      <c r="H1282" s="195">
        <f>COUNTIF(HabilidadesEsenciales_Adquiridas,Tablas!E1282)</f>
        <v>0</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43">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108"/>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43"/>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108"/>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43"/>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108"/>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43"/>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108"/>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43"/>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108"/>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43"/>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108"/>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43"/>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108"/>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43"/>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108"/>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43"/>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108"/>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43"/>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108"/>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43"/>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108"/>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108"/>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44">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108"/>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44"/>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108"/>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44"/>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108"/>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44"/>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108"/>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44"/>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108"/>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44"/>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108"/>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44"/>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108"/>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44"/>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108"/>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44"/>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108"/>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44"/>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108"/>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44"/>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108"/>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44"/>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108"/>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44"/>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108"/>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44"/>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108"/>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44"/>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108"/>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44"/>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108"/>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44"/>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108"/>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108"/>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108"/>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108"/>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108"/>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108"/>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45">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108"/>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45"/>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108"/>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45"/>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108"/>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45"/>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108"/>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45"/>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108"/>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45"/>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108"/>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108"/>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108"/>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108"/>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6">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108"/>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6"/>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108"/>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6"/>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108"/>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6"/>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108"/>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6"/>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108"/>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6"/>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108"/>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6"/>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108"/>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6"/>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108"/>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6"/>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108"/>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6"/>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108"/>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108"/>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6"/>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108"/>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6"/>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108"/>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6"/>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108"/>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6"/>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108"/>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6"/>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108"/>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6"/>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108"/>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6"/>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108"/>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6"/>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108"/>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6"/>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108"/>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6"/>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108"/>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6"/>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108"/>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6"/>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108"/>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6"/>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108"/>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6"/>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108"/>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6"/>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108"/>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6"/>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108"/>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6"/>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108"/>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6"/>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108"/>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6"/>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108"/>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6"/>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108"/>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6"/>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108"/>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6"/>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108"/>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6"/>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108"/>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6"/>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108"/>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6"/>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108"/>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6"/>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108"/>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6"/>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108"/>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108"/>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108"/>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108"/>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108"/>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108"/>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108"/>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108"/>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108"/>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108"/>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108"/>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108"/>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108"/>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108"/>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108"/>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108"/>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108"/>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108"/>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108"/>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108"/>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108"/>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108"/>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108"/>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108"/>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108"/>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108"/>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108"/>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108"/>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108"/>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108"/>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108"/>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108"/>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108"/>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108"/>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108"/>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108"/>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108"/>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108"/>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108"/>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108"/>
      <c r="C1402" s="2011"/>
      <c r="H1402" s="363"/>
      <c r="M1402" s="1859"/>
      <c r="N1402" s="96"/>
      <c r="O1402" s="413" t="s">
        <v>1622</v>
      </c>
      <c r="P1402" s="2592"/>
      <c r="Q1402" s="515"/>
      <c r="R1402" s="2599"/>
      <c r="S1402" s="370"/>
      <c r="T1402" s="2590"/>
      <c r="U1402" s="516"/>
    </row>
    <row r="1403" spans="1:21" ht="12.75" customHeight="1" x14ac:dyDescent="0.2">
      <c r="A1403" s="1928">
        <v>1403</v>
      </c>
      <c r="B1403" s="5108"/>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108"/>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108"/>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108"/>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108"/>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108"/>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108"/>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108"/>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108"/>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108"/>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108"/>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108"/>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108"/>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108"/>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108"/>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108"/>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108"/>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108"/>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108"/>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108"/>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108"/>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108"/>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108"/>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108"/>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108"/>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108"/>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108"/>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108"/>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108"/>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108"/>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108"/>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108"/>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108"/>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108"/>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108"/>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108"/>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108"/>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108"/>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108"/>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108"/>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108"/>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108"/>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108"/>
      <c r="C1445" s="2011"/>
      <c r="H1445" s="363"/>
      <c r="M1445" s="1859"/>
      <c r="N1445" s="96"/>
      <c r="O1445" s="413" t="s">
        <v>1623</v>
      </c>
      <c r="P1445" s="2592"/>
      <c r="Q1445" s="515"/>
      <c r="R1445" s="2599"/>
      <c r="S1445" s="370"/>
      <c r="T1445" s="2590"/>
    </row>
    <row r="1446" spans="1:21" ht="12.75" customHeight="1" x14ac:dyDescent="0.2">
      <c r="A1446" s="1928">
        <v>1446</v>
      </c>
      <c r="B1446" s="5108"/>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108"/>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108"/>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108"/>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108"/>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108"/>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108"/>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108"/>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108"/>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108"/>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108"/>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108"/>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108"/>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108"/>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108"/>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108"/>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108"/>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108"/>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108"/>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108"/>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108"/>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108"/>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108"/>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108"/>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108"/>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108"/>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108"/>
      <c r="C1472" s="2011"/>
      <c r="H1472" s="363"/>
      <c r="M1472" s="1859"/>
      <c r="N1472" s="96"/>
      <c r="O1472" s="413" t="s">
        <v>1624</v>
      </c>
      <c r="P1472" s="2592"/>
      <c r="Q1472" s="515"/>
      <c r="R1472" s="2599"/>
      <c r="S1472" s="370"/>
      <c r="T1472" s="2590"/>
      <c r="U1472" s="516"/>
    </row>
    <row r="1473" spans="1:21" ht="12.75" customHeight="1" x14ac:dyDescent="0.2">
      <c r="A1473" s="1928">
        <v>1473</v>
      </c>
      <c r="B1473" s="5108"/>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108"/>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108"/>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108"/>
      <c r="C1476" s="2011"/>
      <c r="H1476" s="363"/>
      <c r="M1476" s="1859"/>
      <c r="N1476" s="96"/>
      <c r="O1476" s="413" t="s">
        <v>0</v>
      </c>
      <c r="P1476" s="2592"/>
      <c r="Q1476" s="515"/>
      <c r="R1476" s="2599"/>
      <c r="S1476" s="370"/>
      <c r="T1476" s="2590"/>
      <c r="U1476" s="516"/>
    </row>
    <row r="1477" spans="1:21" ht="12.75" customHeight="1" x14ac:dyDescent="0.2">
      <c r="A1477" s="1928">
        <v>1477</v>
      </c>
      <c r="B1477" s="5108"/>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108"/>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108"/>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108"/>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108"/>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108"/>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108"/>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108"/>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108"/>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108"/>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108"/>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108"/>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108"/>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108"/>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108"/>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108"/>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108"/>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108"/>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108"/>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108"/>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108"/>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108"/>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108"/>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108"/>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108"/>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108"/>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108"/>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108"/>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108"/>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108"/>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108"/>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108"/>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108"/>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108"/>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108"/>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108"/>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108"/>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108"/>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108"/>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108"/>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108"/>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108"/>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108"/>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108"/>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108"/>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108"/>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108"/>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108"/>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108"/>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108"/>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108"/>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108"/>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108"/>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108"/>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108"/>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108"/>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108"/>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108"/>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108"/>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108"/>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108"/>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108"/>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108"/>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108"/>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108"/>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108"/>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108"/>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108"/>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108"/>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108"/>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108"/>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108"/>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108"/>
      <c r="C1549" s="2011"/>
      <c r="H1549" s="363"/>
      <c r="M1549" s="1859"/>
      <c r="N1549" s="96"/>
      <c r="O1549" s="413" t="s">
        <v>5</v>
      </c>
      <c r="P1549" s="2608"/>
      <c r="Q1549" s="2486"/>
      <c r="R1549" s="2599">
        <f>COUNTIF(PoderesDeCriatura_Adquiridos,Tablas!O1549)</f>
        <v>0</v>
      </c>
      <c r="S1549" s="370"/>
      <c r="T1549" s="2590"/>
      <c r="U1549" s="516"/>
      <c r="Y1549" s="2011"/>
      <c r="AB1549" s="363"/>
      <c r="AC1549" s="2577"/>
    </row>
    <row r="1550" spans="1:29" ht="12.75" customHeight="1" x14ac:dyDescent="0.2">
      <c r="A1550" s="1928">
        <v>1550</v>
      </c>
      <c r="B1550" s="5108"/>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108"/>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108"/>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108"/>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108"/>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108"/>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108"/>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108"/>
      <c r="C1557" s="2422" t="str">
        <f t="shared" ref="C1557" si="147">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108"/>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108"/>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108"/>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108"/>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108"/>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108"/>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108"/>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108"/>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108"/>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108"/>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108"/>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108"/>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108"/>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108"/>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108"/>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108"/>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108"/>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108"/>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108"/>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108"/>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108"/>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108"/>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108"/>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108"/>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108"/>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108"/>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108"/>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108"/>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108"/>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108"/>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108"/>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108"/>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108"/>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108"/>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108"/>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108"/>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108"/>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108"/>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108"/>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108"/>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108"/>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108"/>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108"/>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108"/>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108"/>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108"/>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108"/>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108"/>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108"/>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108"/>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108"/>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108"/>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108"/>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108"/>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108"/>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108"/>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108"/>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108"/>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108"/>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108"/>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108"/>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108"/>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108"/>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108"/>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108"/>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108"/>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108"/>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108"/>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108"/>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108"/>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108"/>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108"/>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108"/>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108"/>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108"/>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108"/>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108"/>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108"/>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108"/>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108"/>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108"/>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108"/>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108"/>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108"/>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108"/>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108"/>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108"/>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108"/>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108"/>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108"/>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108"/>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108"/>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108"/>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108"/>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108"/>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108"/>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108"/>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108"/>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108"/>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108"/>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108"/>
      <c r="C1658" s="2011"/>
      <c r="H1658" s="363"/>
      <c r="M1658" s="1859"/>
      <c r="N1658" s="96"/>
      <c r="O1658" s="413" t="s">
        <v>9759</v>
      </c>
      <c r="P1658" s="2592">
        <v>20</v>
      </c>
      <c r="Q1658" s="515">
        <v>40</v>
      </c>
      <c r="R1658" s="2599">
        <f>COUNTIF(PoderesDeCriatura_Adquiridos,Tablas!O1658)</f>
        <v>0</v>
      </c>
      <c r="S1658" s="370"/>
      <c r="T1658" s="2590"/>
      <c r="AB1658" s="363"/>
      <c r="AC1658" s="2577"/>
    </row>
    <row r="1659" spans="1:29" ht="12.75" customHeight="1" x14ac:dyDescent="0.2">
      <c r="A1659" s="1928">
        <v>1659</v>
      </c>
      <c r="B1659" s="5108"/>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108"/>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108"/>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108"/>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108"/>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108"/>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108"/>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108"/>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108"/>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108"/>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108"/>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108"/>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108"/>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108"/>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108"/>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108"/>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108"/>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108"/>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108"/>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108"/>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108"/>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108"/>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108"/>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108"/>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108"/>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108"/>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108"/>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108"/>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108"/>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108"/>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108"/>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108"/>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108"/>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108"/>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108"/>
      <c r="H1693" s="363"/>
      <c r="I1693" s="1665"/>
      <c r="N1693" s="363"/>
      <c r="O1693" s="2011"/>
      <c r="AB1693" s="363"/>
      <c r="AC1693" s="2577"/>
    </row>
    <row r="1694" spans="1:29" ht="12.75" customHeight="1" x14ac:dyDescent="0.2">
      <c r="A1694" s="1928">
        <v>1694</v>
      </c>
      <c r="B1694" s="5108"/>
      <c r="C1694" s="5107" t="s">
        <v>8942</v>
      </c>
      <c r="D1694" s="5107"/>
      <c r="E1694" s="5107"/>
      <c r="F1694" s="5107"/>
      <c r="G1694" s="5107"/>
      <c r="H1694" s="5107"/>
      <c r="I1694" s="5107"/>
      <c r="J1694" s="5107"/>
      <c r="K1694" s="5107"/>
      <c r="L1694" s="5107"/>
      <c r="M1694" s="5107"/>
      <c r="N1694" s="5107"/>
      <c r="O1694" s="5107"/>
      <c r="P1694" s="5107"/>
      <c r="Q1694" s="5107"/>
      <c r="R1694" s="5107"/>
      <c r="S1694" s="5107"/>
      <c r="T1694" s="5107"/>
      <c r="U1694" s="5107"/>
      <c r="V1694" s="5107"/>
      <c r="W1694" s="5107"/>
      <c r="X1694" s="5107"/>
      <c r="Y1694" s="5107"/>
      <c r="AB1694" s="363"/>
      <c r="AC1694" s="2577"/>
    </row>
    <row r="1695" spans="1:29" ht="12.75" customHeight="1" x14ac:dyDescent="0.2">
      <c r="A1695" s="1928">
        <v>1695</v>
      </c>
      <c r="B1695" s="5108"/>
      <c r="C1695" s="5107"/>
      <c r="D1695" s="5107"/>
      <c r="E1695" s="5107"/>
      <c r="F1695" s="5107"/>
      <c r="G1695" s="5107"/>
      <c r="H1695" s="5107"/>
      <c r="I1695" s="5107"/>
      <c r="J1695" s="5107"/>
      <c r="K1695" s="5107"/>
      <c r="L1695" s="5107"/>
      <c r="M1695" s="5107"/>
      <c r="N1695" s="5107"/>
      <c r="O1695" s="5107"/>
      <c r="P1695" s="5107"/>
      <c r="Q1695" s="5107"/>
      <c r="R1695" s="5107"/>
      <c r="S1695" s="5107"/>
      <c r="T1695" s="5107"/>
      <c r="U1695" s="5107"/>
      <c r="V1695" s="5107"/>
      <c r="W1695" s="5107"/>
      <c r="X1695" s="5107"/>
      <c r="Y1695" s="5107"/>
      <c r="AB1695" s="363"/>
      <c r="AC1695" s="2577"/>
    </row>
    <row r="1696" spans="1:29" ht="12.75" customHeight="1" x14ac:dyDescent="0.2">
      <c r="A1696" s="1928">
        <v>1696</v>
      </c>
      <c r="B1696" s="5108"/>
      <c r="C1696" s="5107"/>
      <c r="D1696" s="5107"/>
      <c r="E1696" s="5107"/>
      <c r="F1696" s="5107"/>
      <c r="G1696" s="5107"/>
      <c r="H1696" s="5107"/>
      <c r="I1696" s="5107"/>
      <c r="J1696" s="5107"/>
      <c r="K1696" s="5107"/>
      <c r="L1696" s="5107"/>
      <c r="M1696" s="5107"/>
      <c r="N1696" s="5107"/>
      <c r="O1696" s="5107"/>
      <c r="P1696" s="5107"/>
      <c r="Q1696" s="5107"/>
      <c r="R1696" s="5107"/>
      <c r="S1696" s="5107"/>
      <c r="T1696" s="5107"/>
      <c r="U1696" s="5107"/>
      <c r="V1696" s="5107"/>
      <c r="W1696" s="5107"/>
      <c r="X1696" s="5107"/>
      <c r="Y1696" s="5107"/>
      <c r="AB1696" s="363"/>
      <c r="AC1696" s="2577"/>
    </row>
    <row r="1697" spans="1:29" ht="12.75" customHeight="1" thickBot="1" x14ac:dyDescent="0.25">
      <c r="A1697" s="1928">
        <v>1697</v>
      </c>
      <c r="B1697" s="5108"/>
      <c r="H1697" s="363"/>
      <c r="I1697" s="1665"/>
      <c r="N1697" s="363"/>
      <c r="O1697" s="2011"/>
      <c r="AB1697" s="363"/>
      <c r="AC1697" s="2577"/>
    </row>
    <row r="1698" spans="1:29" ht="12.75" customHeight="1" x14ac:dyDescent="0.2">
      <c r="A1698" s="1928">
        <v>1698</v>
      </c>
      <c r="B1698" s="5108"/>
      <c r="C1698" s="5303" t="s">
        <v>7883</v>
      </c>
      <c r="D1698" s="5304"/>
      <c r="E1698" s="5303" t="s">
        <v>2149</v>
      </c>
      <c r="F1698" s="5327"/>
      <c r="G1698" s="5327"/>
      <c r="H1698" s="5327"/>
      <c r="I1698" s="5327"/>
      <c r="J1698" s="5327"/>
      <c r="K1698" s="5327"/>
      <c r="L1698" s="5327"/>
      <c r="M1698" s="5327"/>
      <c r="N1698" s="5327"/>
      <c r="O1698" s="2501"/>
      <c r="P1698" s="2501"/>
      <c r="Q1698" s="2503"/>
      <c r="R1698" s="2502"/>
      <c r="T1698" s="5312" t="s">
        <v>8930</v>
      </c>
      <c r="U1698" s="5313"/>
      <c r="V1698" s="5313"/>
      <c r="W1698" s="5313"/>
      <c r="X1698" s="5313"/>
      <c r="Y1698" s="5314"/>
      <c r="AB1698" s="363"/>
      <c r="AC1698" s="2577"/>
    </row>
    <row r="1699" spans="1:29" ht="12.75" customHeight="1" x14ac:dyDescent="0.2">
      <c r="A1699" s="1928">
        <v>1699</v>
      </c>
      <c r="B1699" s="5108"/>
      <c r="C1699" s="5305"/>
      <c r="D1699" s="5306"/>
      <c r="E1699" s="5305"/>
      <c r="F1699" s="5328"/>
      <c r="G1699" s="5328"/>
      <c r="H1699" s="5328"/>
      <c r="I1699" s="5328"/>
      <c r="J1699" s="5328"/>
      <c r="K1699" s="5328"/>
      <c r="L1699" s="5328"/>
      <c r="M1699" s="5328"/>
      <c r="N1699" s="5328"/>
      <c r="O1699" s="5319" t="s">
        <v>8926</v>
      </c>
      <c r="P1699" s="5318">
        <f>COUNTIF(J1702:J1894,"&gt;0")</f>
        <v>0</v>
      </c>
      <c r="Q1699" s="2504"/>
      <c r="R1699" s="1744"/>
      <c r="T1699" s="5315"/>
      <c r="U1699" s="5316"/>
      <c r="V1699" s="5316"/>
      <c r="W1699" s="5316"/>
      <c r="X1699" s="5316"/>
      <c r="Y1699" s="5317"/>
      <c r="AB1699" s="363"/>
      <c r="AC1699" s="2577"/>
    </row>
    <row r="1700" spans="1:29" ht="12.75" customHeight="1" x14ac:dyDescent="0.2">
      <c r="A1700" s="1928">
        <v>1700</v>
      </c>
      <c r="B1700" s="5108"/>
      <c r="C1700" s="1773" t="s">
        <v>7884</v>
      </c>
      <c r="D1700" s="1738"/>
      <c r="E1700" s="2505"/>
      <c r="F1700" s="2500" t="s">
        <v>8927</v>
      </c>
      <c r="G1700" s="1742">
        <v>3</v>
      </c>
      <c r="H1700" s="1742">
        <v>4</v>
      </c>
      <c r="I1700" s="1742">
        <v>5</v>
      </c>
      <c r="J1700" s="1742">
        <v>6</v>
      </c>
      <c r="K1700" s="1742">
        <v>7</v>
      </c>
      <c r="L1700" s="1742">
        <v>8</v>
      </c>
      <c r="M1700" s="1742">
        <v>9</v>
      </c>
      <c r="N1700" s="1742">
        <v>10</v>
      </c>
      <c r="O1700" s="5319"/>
      <c r="P1700" s="5318"/>
      <c r="Q1700" s="2504">
        <v>13</v>
      </c>
      <c r="R1700" s="1744">
        <v>14</v>
      </c>
      <c r="T1700" s="5311" t="s">
        <v>8928</v>
      </c>
      <c r="U1700" s="5310"/>
      <c r="V1700" s="5310" t="s">
        <v>8929</v>
      </c>
      <c r="W1700" s="5310"/>
      <c r="X1700" s="5310" t="s">
        <v>1509</v>
      </c>
      <c r="Y1700" s="5320"/>
      <c r="AB1700" s="363"/>
      <c r="AC1700" s="2577"/>
    </row>
    <row r="1701" spans="1:29" ht="12.75" customHeight="1" x14ac:dyDescent="0.2">
      <c r="A1701" s="1928">
        <v>1701</v>
      </c>
      <c r="B1701" s="5108"/>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108"/>
      <c r="C1702" s="1773" t="s">
        <v>7886</v>
      </c>
      <c r="D1702" s="1738"/>
      <c r="E1702" s="2507" t="s">
        <v>7898</v>
      </c>
      <c r="F1702" s="1740"/>
      <c r="G1702" s="1740">
        <v>10</v>
      </c>
      <c r="H1702" s="1741">
        <v>1</v>
      </c>
      <c r="I1702" s="1741">
        <v>5</v>
      </c>
      <c r="J1702" s="1741">
        <f>COUNTIF(Elan!$C$13:$F$25,Tablas!E1702)+COUNTIF(Elan!$U$13:$X$25,Tablas!E1702)</f>
        <v>0</v>
      </c>
      <c r="K1702" s="1740"/>
      <c r="L1702" s="5189" t="s">
        <v>8091</v>
      </c>
      <c r="M1702" s="5189"/>
      <c r="N1702" s="5189"/>
      <c r="O1702" s="5189"/>
      <c r="P1702" s="5189"/>
      <c r="Q1702" s="5190"/>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108"/>
      <c r="C1703" s="1773" t="s">
        <v>7887</v>
      </c>
      <c r="D1703" s="1738"/>
      <c r="E1703" s="2507" t="s">
        <v>7899</v>
      </c>
      <c r="F1703" s="1740"/>
      <c r="G1703" s="1740">
        <v>20</v>
      </c>
      <c r="H1703" s="1741">
        <v>1</v>
      </c>
      <c r="I1703" s="1741">
        <v>10</v>
      </c>
      <c r="J1703" s="1741">
        <f>COUNTIF(Elan!$C$13:$F$25,Tablas!E1703)+COUNTIF(Elan!$U$13:$X$25,Tablas!E1703)</f>
        <v>0</v>
      </c>
      <c r="K1703" s="1740"/>
      <c r="L1703" s="5189" t="s">
        <v>8095</v>
      </c>
      <c r="M1703" s="5189"/>
      <c r="N1703" s="5189"/>
      <c r="O1703" s="5189"/>
      <c r="P1703" s="5189"/>
      <c r="Q1703" s="5190"/>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108"/>
      <c r="C1704" s="1773" t="s">
        <v>7793</v>
      </c>
      <c r="D1704" s="1738"/>
      <c r="E1704" s="2507" t="s">
        <v>7900</v>
      </c>
      <c r="F1704" s="1740"/>
      <c r="G1704" s="1740">
        <v>30</v>
      </c>
      <c r="H1704" s="1741">
        <v>1</v>
      </c>
      <c r="I1704" s="1741">
        <v>5</v>
      </c>
      <c r="J1704" s="1741">
        <f>COUNTIF(Elan!$C$13:$F$25,Tablas!E1704)+COUNTIF(Elan!$U$13:$X$25,Tablas!E1704)</f>
        <v>0</v>
      </c>
      <c r="K1704" s="1740"/>
      <c r="L1704" s="5189" t="s">
        <v>8099</v>
      </c>
      <c r="M1704" s="5189"/>
      <c r="N1704" s="5189"/>
      <c r="O1704" s="5189"/>
      <c r="P1704" s="5189"/>
      <c r="Q1704" s="5190"/>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108"/>
      <c r="C1705" s="1773" t="s">
        <v>7888</v>
      </c>
      <c r="D1705" s="1738"/>
      <c r="E1705" s="2507" t="s">
        <v>7901</v>
      </c>
      <c r="F1705" s="1740"/>
      <c r="G1705" s="1740">
        <v>40</v>
      </c>
      <c r="H1705" s="1741">
        <v>1</v>
      </c>
      <c r="I1705" s="1741">
        <v>20</v>
      </c>
      <c r="J1705" s="1741">
        <f>COUNTIF(Elan!$C$13:$F$25,Tablas!E1705)+COUNTIF(Elan!$U$13:$X$25,Tablas!E1705)</f>
        <v>0</v>
      </c>
      <c r="K1705" s="1740">
        <f>$F$1701/2*J1705</f>
        <v>0</v>
      </c>
      <c r="L1705" s="5189" t="s">
        <v>8103</v>
      </c>
      <c r="M1705" s="5189"/>
      <c r="N1705" s="5189"/>
      <c r="O1705" s="5189"/>
      <c r="P1705" s="5189"/>
      <c r="Q1705" s="5190"/>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108"/>
      <c r="C1706" s="1773" t="s">
        <v>7889</v>
      </c>
      <c r="D1706" s="1738"/>
      <c r="E1706" s="2507" t="s">
        <v>7902</v>
      </c>
      <c r="F1706" s="1740"/>
      <c r="G1706" s="1740">
        <v>50</v>
      </c>
      <c r="H1706" s="1741">
        <v>1</v>
      </c>
      <c r="I1706" s="1741">
        <v>15</v>
      </c>
      <c r="J1706" s="1741">
        <f>COUNTIF(Elan!$C$13:$F$25,Tablas!E1706)+COUNTIF(Elan!$U$13:$X$25,Tablas!E1706)</f>
        <v>0</v>
      </c>
      <c r="K1706" s="1740"/>
      <c r="L1706" s="5189" t="s">
        <v>8106</v>
      </c>
      <c r="M1706" s="5189"/>
      <c r="N1706" s="5189"/>
      <c r="O1706" s="5189"/>
      <c r="P1706" s="5189"/>
      <c r="Q1706" s="5190"/>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108"/>
      <c r="C1707" s="1773" t="s">
        <v>7890</v>
      </c>
      <c r="D1707" s="1738"/>
      <c r="E1707" s="2507" t="s">
        <v>3172</v>
      </c>
      <c r="F1707" s="1740"/>
      <c r="G1707" s="1740">
        <v>50</v>
      </c>
      <c r="H1707" s="1741">
        <f>IF(J1705=1,1,0)</f>
        <v>0</v>
      </c>
      <c r="I1707" s="1741">
        <v>10</v>
      </c>
      <c r="J1707" s="1741">
        <f>COUNTIF(Elan!$C$13:$F$25,Tablas!E1707)+COUNTIF(Elan!$U$13:$X$25,Tablas!E1707)</f>
        <v>0</v>
      </c>
      <c r="K1707" s="1740"/>
      <c r="L1707" s="5189" t="s">
        <v>8108</v>
      </c>
      <c r="M1707" s="5189"/>
      <c r="N1707" s="5189"/>
      <c r="O1707" s="5189"/>
      <c r="P1707" s="5189"/>
      <c r="Q1707" s="5190"/>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108"/>
      <c r="C1708" s="1773" t="s">
        <v>7891</v>
      </c>
      <c r="D1708" s="1738"/>
      <c r="E1708" s="2507" t="s">
        <v>7903</v>
      </c>
      <c r="F1708" s="1740"/>
      <c r="G1708" s="1740">
        <v>60</v>
      </c>
      <c r="H1708" s="1741">
        <v>1</v>
      </c>
      <c r="I1708" s="1741">
        <v>10</v>
      </c>
      <c r="J1708" s="1741">
        <f>COUNTIF(Elan!$C$13:$F$25,Tablas!E1708)+COUNTIF(Elan!$U$13:$X$25,Tablas!E1708)</f>
        <v>0</v>
      </c>
      <c r="K1708" s="1740"/>
      <c r="L1708" s="5189" t="s">
        <v>8109</v>
      </c>
      <c r="M1708" s="5189"/>
      <c r="N1708" s="5189"/>
      <c r="O1708" s="5189"/>
      <c r="P1708" s="5189"/>
      <c r="Q1708" s="5190"/>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108"/>
      <c r="C1709" s="1773" t="s">
        <v>7892</v>
      </c>
      <c r="D1709" s="1738"/>
      <c r="E1709" s="2507" t="s">
        <v>7904</v>
      </c>
      <c r="F1709" s="1740"/>
      <c r="G1709" s="1740">
        <v>70</v>
      </c>
      <c r="H1709" s="1741">
        <v>1</v>
      </c>
      <c r="I1709" s="1741">
        <v>10</v>
      </c>
      <c r="J1709" s="1741">
        <f>COUNTIF(Elan!$C$13:$F$25,Tablas!E1709)+COUNTIF(Elan!$U$13:$X$25,Tablas!E1709)</f>
        <v>0</v>
      </c>
      <c r="K1709" s="1740"/>
      <c r="L1709" s="5189" t="s">
        <v>8110</v>
      </c>
      <c r="M1709" s="5189"/>
      <c r="N1709" s="5189"/>
      <c r="O1709" s="5189"/>
      <c r="P1709" s="5189"/>
      <c r="Q1709" s="5190"/>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108"/>
      <c r="C1710" s="1773" t="s">
        <v>7893</v>
      </c>
      <c r="D1710" s="1738"/>
      <c r="E1710" s="2507" t="s">
        <v>7905</v>
      </c>
      <c r="F1710" s="1740"/>
      <c r="G1710" s="1740">
        <v>70</v>
      </c>
      <c r="H1710" s="1741">
        <v>1</v>
      </c>
      <c r="I1710" s="1741">
        <v>10</v>
      </c>
      <c r="J1710" s="1741">
        <f>COUNTIF(Elan!$C$13:$F$25,Tablas!E1710)+COUNTIF(Elan!$U$13:$X$25,Tablas!E1710)</f>
        <v>0</v>
      </c>
      <c r="K1710" s="1740"/>
      <c r="L1710" s="5189" t="s">
        <v>8111</v>
      </c>
      <c r="M1710" s="5189"/>
      <c r="N1710" s="5189"/>
      <c r="O1710" s="5189"/>
      <c r="P1710" s="5189"/>
      <c r="Q1710" s="5190"/>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108"/>
      <c r="C1711" s="1773" t="s">
        <v>7894</v>
      </c>
      <c r="D1711" s="1738"/>
      <c r="E1711" s="2507" t="s">
        <v>7906</v>
      </c>
      <c r="F1711" s="1740"/>
      <c r="G1711" s="1740">
        <v>80</v>
      </c>
      <c r="H1711" s="1741">
        <v>1</v>
      </c>
      <c r="I1711" s="1741">
        <v>15</v>
      </c>
      <c r="J1711" s="1741">
        <f>COUNTIF(Elan!$C$13:$F$25,Tablas!E1711)+COUNTIF(Elan!$U$13:$X$25,Tablas!E1711)</f>
        <v>0</v>
      </c>
      <c r="K1711" s="1740"/>
      <c r="L1711" s="5189" t="s">
        <v>8112</v>
      </c>
      <c r="M1711" s="5189"/>
      <c r="N1711" s="5189"/>
      <c r="O1711" s="5189"/>
      <c r="P1711" s="5189"/>
      <c r="Q1711" s="5190"/>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108"/>
      <c r="C1712" s="1773" t="s">
        <v>7895</v>
      </c>
      <c r="D1712" s="1738"/>
      <c r="E1712" s="2507" t="s">
        <v>7907</v>
      </c>
      <c r="F1712" s="1740"/>
      <c r="G1712" s="1740">
        <v>90</v>
      </c>
      <c r="H1712" s="1741">
        <v>1</v>
      </c>
      <c r="I1712" s="1741">
        <v>20</v>
      </c>
      <c r="J1712" s="1741">
        <f>COUNTIF(Elan!$C$13:$F$25,Tablas!E1712)+COUNTIF(Elan!$U$13:$X$25,Tablas!E1712)</f>
        <v>0</v>
      </c>
      <c r="K1712" s="1740"/>
      <c r="L1712" s="5189" t="s">
        <v>8113</v>
      </c>
      <c r="M1712" s="5189"/>
      <c r="N1712" s="5189"/>
      <c r="O1712" s="5189"/>
      <c r="P1712" s="5189"/>
      <c r="Q1712" s="5190"/>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108"/>
      <c r="C1713" s="1774" t="s">
        <v>7896</v>
      </c>
      <c r="D1713" s="1739"/>
      <c r="E1713" s="2507" t="s">
        <v>7908</v>
      </c>
      <c r="F1713" s="1740"/>
      <c r="G1713" s="1740">
        <v>100</v>
      </c>
      <c r="H1713" s="1741">
        <v>1</v>
      </c>
      <c r="I1713" s="1741">
        <v>10</v>
      </c>
      <c r="J1713" s="1741">
        <f>COUNTIF(Elan!$C$13:$F$25,Tablas!E1713)+COUNTIF(Elan!$U$13:$X$25,Tablas!E1713)</f>
        <v>0</v>
      </c>
      <c r="K1713" s="1740"/>
      <c r="L1713" s="5189" t="s">
        <v>8114</v>
      </c>
      <c r="M1713" s="5189"/>
      <c r="N1713" s="5189"/>
      <c r="O1713" s="5189"/>
      <c r="P1713" s="5189"/>
      <c r="Q1713" s="5190"/>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108"/>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108"/>
      <c r="E1715" s="2507" t="s">
        <v>7909</v>
      </c>
      <c r="F1715" s="1740"/>
      <c r="G1715" s="1740">
        <v>10</v>
      </c>
      <c r="H1715" s="1741">
        <v>1</v>
      </c>
      <c r="I1715" s="1741">
        <v>5</v>
      </c>
      <c r="J1715" s="1741">
        <f>COUNTIF(Elan!$C$13:$F$25,Tablas!E1715)+COUNTIF(Elan!$U$13:$X$25,Tablas!E1715)</f>
        <v>0</v>
      </c>
      <c r="K1715" s="1740"/>
      <c r="L1715" s="5189" t="s">
        <v>8115</v>
      </c>
      <c r="M1715" s="5189"/>
      <c r="N1715" s="5189"/>
      <c r="O1715" s="5189"/>
      <c r="P1715" s="5189"/>
      <c r="Q1715" s="5190"/>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108"/>
      <c r="E1716" s="2507" t="s">
        <v>7910</v>
      </c>
      <c r="F1716" s="1740"/>
      <c r="G1716" s="1740">
        <v>20</v>
      </c>
      <c r="H1716" s="1741">
        <v>1</v>
      </c>
      <c r="I1716" s="1741">
        <v>5</v>
      </c>
      <c r="J1716" s="1741">
        <f>COUNTIF(Elan!$C$13:$F$25,Tablas!E1716)+COUNTIF(Elan!$U$13:$X$25,Tablas!E1716)</f>
        <v>0</v>
      </c>
      <c r="K1716" s="1740"/>
      <c r="L1716" s="5189" t="s">
        <v>8119</v>
      </c>
      <c r="M1716" s="5189"/>
      <c r="N1716" s="5189"/>
      <c r="O1716" s="5189"/>
      <c r="P1716" s="5189"/>
      <c r="Q1716" s="5190"/>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108"/>
      <c r="E1717" s="2507" t="s">
        <v>1956</v>
      </c>
      <c r="F1717" s="1740"/>
      <c r="G1717" s="1740">
        <v>30</v>
      </c>
      <c r="H1717" s="1741">
        <v>1</v>
      </c>
      <c r="I1717" s="1741">
        <v>10</v>
      </c>
      <c r="J1717" s="1741">
        <f>COUNTIF(Elan!$C$13:$F$25,Tablas!E1717)+COUNTIF(Elan!$U$13:$X$25,Tablas!E1717)</f>
        <v>0</v>
      </c>
      <c r="K1717" s="1740">
        <f>MROUND($F$1714/2,5)*J1717</f>
        <v>0</v>
      </c>
      <c r="L1717" s="5189" t="s">
        <v>8122</v>
      </c>
      <c r="M1717" s="5189"/>
      <c r="N1717" s="5189"/>
      <c r="O1717" s="5189"/>
      <c r="P1717" s="5189"/>
      <c r="Q1717" s="5190"/>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108"/>
      <c r="E1718" s="2507" t="s">
        <v>7911</v>
      </c>
      <c r="F1718" s="1740"/>
      <c r="G1718" s="1740">
        <v>40</v>
      </c>
      <c r="H1718" s="1741">
        <f>IF(J1715,1,0)</f>
        <v>0</v>
      </c>
      <c r="I1718" s="1741">
        <v>10</v>
      </c>
      <c r="J1718" s="1741">
        <f>COUNTIF(Elan!$C$13:$F$25,Tablas!E1718)+COUNTIF(Elan!$U$13:$X$25,Tablas!E1718)</f>
        <v>0</v>
      </c>
      <c r="K1718" s="1740"/>
      <c r="L1718" s="5189" t="s">
        <v>8125</v>
      </c>
      <c r="M1718" s="5189"/>
      <c r="N1718" s="5189"/>
      <c r="O1718" s="5189"/>
      <c r="P1718" s="5189"/>
      <c r="Q1718" s="5190"/>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108"/>
      <c r="E1719" s="2507" t="s">
        <v>7912</v>
      </c>
      <c r="F1719" s="1740"/>
      <c r="G1719" s="1740">
        <v>50</v>
      </c>
      <c r="H1719" s="1741">
        <v>1</v>
      </c>
      <c r="I1719" s="1741">
        <v>15</v>
      </c>
      <c r="J1719" s="1741">
        <f>COUNTIF(Elan!$C$13:$F$25,Tablas!E1719)+COUNTIF(Elan!$U$13:$X$25,Tablas!E1719)</f>
        <v>0</v>
      </c>
      <c r="K1719" s="1740"/>
      <c r="L1719" s="5189" t="s">
        <v>8127</v>
      </c>
      <c r="M1719" s="5189"/>
      <c r="N1719" s="5189"/>
      <c r="O1719" s="5189"/>
      <c r="P1719" s="5189"/>
      <c r="Q1719" s="5190"/>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108"/>
      <c r="E1720" s="2507" t="s">
        <v>7913</v>
      </c>
      <c r="F1720" s="1740"/>
      <c r="G1720" s="1740">
        <v>50</v>
      </c>
      <c r="H1720" s="1741">
        <v>1</v>
      </c>
      <c r="I1720" s="1741">
        <v>10</v>
      </c>
      <c r="J1720" s="1741">
        <f>COUNTIF(Elan!$C$13:$F$25,Tablas!E1720)+COUNTIF(Elan!$U$13:$X$25,Tablas!E1720)</f>
        <v>0</v>
      </c>
      <c r="K1720" s="1740"/>
      <c r="L1720" s="5189" t="s">
        <v>8129</v>
      </c>
      <c r="M1720" s="5189"/>
      <c r="N1720" s="5189"/>
      <c r="O1720" s="5189"/>
      <c r="P1720" s="5189"/>
      <c r="Q1720" s="5190"/>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108"/>
      <c r="E1721" s="2507" t="s">
        <v>7914</v>
      </c>
      <c r="F1721" s="1740"/>
      <c r="G1721" s="1740">
        <v>60</v>
      </c>
      <c r="H1721" s="1741">
        <v>1</v>
      </c>
      <c r="I1721" s="1741">
        <v>10</v>
      </c>
      <c r="J1721" s="1741">
        <f>COUNTIF(Elan!$C$13:$F$25,Tablas!E1721)+COUNTIF(Elan!$U$13:$X$25,Tablas!E1721)</f>
        <v>0</v>
      </c>
      <c r="K1721" s="1740"/>
      <c r="L1721" s="5189" t="s">
        <v>8131</v>
      </c>
      <c r="M1721" s="5189"/>
      <c r="N1721" s="5189"/>
      <c r="O1721" s="5189"/>
      <c r="P1721" s="5189"/>
      <c r="Q1721" s="5190"/>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108"/>
      <c r="E1722" s="2507" t="s">
        <v>7915</v>
      </c>
      <c r="F1722" s="1740"/>
      <c r="G1722" s="1740">
        <v>60</v>
      </c>
      <c r="H1722" s="1741">
        <f>IF(J1720,1,0)</f>
        <v>0</v>
      </c>
      <c r="I1722" s="1741">
        <v>10</v>
      </c>
      <c r="J1722" s="1741">
        <f>COUNTIF(Elan!$C$13:$F$25,Tablas!E1722)+COUNTIF(Elan!$U$13:$X$25,Tablas!E1722)</f>
        <v>0</v>
      </c>
      <c r="K1722" s="1740"/>
      <c r="L1722" s="5189" t="s">
        <v>8132</v>
      </c>
      <c r="M1722" s="5189"/>
      <c r="N1722" s="5189"/>
      <c r="O1722" s="5189"/>
      <c r="P1722" s="5189"/>
      <c r="Q1722" s="5190"/>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108"/>
      <c r="E1723" s="2507" t="s">
        <v>7916</v>
      </c>
      <c r="F1723" s="1740"/>
      <c r="G1723" s="1740">
        <v>70</v>
      </c>
      <c r="H1723" s="1741">
        <f>IF(J1722,1,0)</f>
        <v>0</v>
      </c>
      <c r="I1723" s="1741">
        <v>10</v>
      </c>
      <c r="J1723" s="1741">
        <f>COUNTIF(Elan!$C$13:$F$25,Tablas!E1723)+COUNTIF(Elan!$U$13:$X$25,Tablas!E1723)</f>
        <v>0</v>
      </c>
      <c r="K1723" s="1740"/>
      <c r="L1723" s="5189" t="s">
        <v>8133</v>
      </c>
      <c r="M1723" s="5189"/>
      <c r="N1723" s="5189"/>
      <c r="O1723" s="5189"/>
      <c r="P1723" s="5189"/>
      <c r="Q1723" s="5190"/>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108"/>
      <c r="E1724" s="2507" t="s">
        <v>7917</v>
      </c>
      <c r="F1724" s="1740"/>
      <c r="G1724" s="1740">
        <v>80</v>
      </c>
      <c r="H1724" s="1741">
        <v>1</v>
      </c>
      <c r="I1724" s="1741">
        <v>15</v>
      </c>
      <c r="J1724" s="1741">
        <f>COUNTIF(Elan!$C$13:$F$25,Tablas!E1724)+COUNTIF(Elan!$U$13:$X$25,Tablas!E1724)</f>
        <v>0</v>
      </c>
      <c r="K1724" s="1740"/>
      <c r="L1724" s="5189" t="s">
        <v>8134</v>
      </c>
      <c r="M1724" s="5189"/>
      <c r="N1724" s="5189"/>
      <c r="O1724" s="5189"/>
      <c r="P1724" s="5189"/>
      <c r="Q1724" s="5190"/>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108"/>
      <c r="E1725" s="2507" t="s">
        <v>7918</v>
      </c>
      <c r="F1725" s="1740"/>
      <c r="G1725" s="1740">
        <v>90</v>
      </c>
      <c r="H1725" s="1741">
        <v>1</v>
      </c>
      <c r="I1725" s="1741">
        <v>20</v>
      </c>
      <c r="J1725" s="1741">
        <f>COUNTIF(Elan!$C$13:$F$25,Tablas!E1725)+COUNTIF(Elan!$U$13:$X$25,Tablas!E1725)</f>
        <v>0</v>
      </c>
      <c r="K1725" s="1740"/>
      <c r="L1725" s="5189" t="s">
        <v>8135</v>
      </c>
      <c r="M1725" s="5189"/>
      <c r="N1725" s="5189"/>
      <c r="O1725" s="5189"/>
      <c r="P1725" s="5189"/>
      <c r="Q1725" s="5190"/>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108"/>
      <c r="E1726" s="2507" t="s">
        <v>7919</v>
      </c>
      <c r="F1726" s="1740"/>
      <c r="G1726" s="1740">
        <v>100</v>
      </c>
      <c r="H1726" s="1741">
        <v>1</v>
      </c>
      <c r="I1726" s="1741">
        <v>10</v>
      </c>
      <c r="J1726" s="1741">
        <f>COUNTIF(Elan!$C$13:$F$25,Tablas!E1726)+COUNTIF(Elan!$U$13:$X$25,Tablas!E1726)</f>
        <v>0</v>
      </c>
      <c r="K1726" s="1740"/>
      <c r="L1726" s="5189" t="s">
        <v>8136</v>
      </c>
      <c r="M1726" s="5189"/>
      <c r="N1726" s="5189"/>
      <c r="O1726" s="5189"/>
      <c r="P1726" s="5189"/>
      <c r="Q1726" s="5190"/>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108"/>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108"/>
      <c r="E1728" s="2507" t="s">
        <v>7920</v>
      </c>
      <c r="F1728" s="1740"/>
      <c r="G1728" s="1740">
        <v>10</v>
      </c>
      <c r="H1728" s="1741">
        <v>1</v>
      </c>
      <c r="I1728" s="1741">
        <v>5</v>
      </c>
      <c r="J1728" s="1741">
        <f>COUNTIF(Elan!$C$13:$F$25,Tablas!E1728)+COUNTIF(Elan!$U$13:$X$25,Tablas!E1728)</f>
        <v>0</v>
      </c>
      <c r="K1728" s="1740"/>
      <c r="L1728" s="5189" t="s">
        <v>8137</v>
      </c>
      <c r="M1728" s="5189"/>
      <c r="N1728" s="5189"/>
      <c r="O1728" s="5189"/>
      <c r="P1728" s="5189"/>
      <c r="Q1728" s="5190"/>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108"/>
      <c r="E1729" s="2507" t="s">
        <v>7921</v>
      </c>
      <c r="F1729" s="1740"/>
      <c r="G1729" s="1740">
        <v>20</v>
      </c>
      <c r="H1729" s="1741">
        <v>1</v>
      </c>
      <c r="I1729" s="1741">
        <v>5</v>
      </c>
      <c r="J1729" s="1741">
        <f>COUNTIF(Elan!$C$13:$F$25,Tablas!E1729)+COUNTIF(Elan!$U$13:$X$25,Tablas!E1729)</f>
        <v>0</v>
      </c>
      <c r="K1729" s="1740"/>
      <c r="L1729" s="5189" t="s">
        <v>8141</v>
      </c>
      <c r="M1729" s="5189"/>
      <c r="N1729" s="5189"/>
      <c r="O1729" s="5189"/>
      <c r="P1729" s="5189"/>
      <c r="Q1729" s="5190"/>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108"/>
      <c r="E1730" s="2507" t="s">
        <v>7922</v>
      </c>
      <c r="F1730" s="1740"/>
      <c r="G1730" s="1740">
        <v>20</v>
      </c>
      <c r="H1730" s="1741">
        <v>1</v>
      </c>
      <c r="I1730" s="1741">
        <v>10</v>
      </c>
      <c r="J1730" s="1741">
        <f>COUNTIF(Elan!$C$13:$F$25,Tablas!E1730)+COUNTIF(Elan!$U$13:$X$25,Tablas!E1730)</f>
        <v>0</v>
      </c>
      <c r="K1730" s="1740"/>
      <c r="L1730" s="5189" t="s">
        <v>8145</v>
      </c>
      <c r="M1730" s="5189"/>
      <c r="N1730" s="5189"/>
      <c r="O1730" s="5189"/>
      <c r="P1730" s="5189"/>
      <c r="Q1730" s="5190"/>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108"/>
      <c r="E1731" s="2507" t="s">
        <v>7923</v>
      </c>
      <c r="F1731" s="1740"/>
      <c r="G1731" s="1740">
        <v>30</v>
      </c>
      <c r="H1731" s="1741">
        <v>1</v>
      </c>
      <c r="I1731" s="1741">
        <v>5</v>
      </c>
      <c r="J1731" s="1741">
        <f>COUNTIF(Elan!$C$13:$F$25,Tablas!E1731)+COUNTIF(Elan!$U$13:$X$25,Tablas!E1731)</f>
        <v>0</v>
      </c>
      <c r="K1731" s="1740"/>
      <c r="L1731" s="5189" t="s">
        <v>8149</v>
      </c>
      <c r="M1731" s="5189"/>
      <c r="N1731" s="5189"/>
      <c r="O1731" s="5189"/>
      <c r="P1731" s="5189"/>
      <c r="Q1731" s="5190"/>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108"/>
      <c r="E1732" s="2507" t="s">
        <v>7924</v>
      </c>
      <c r="F1732" s="1740"/>
      <c r="G1732" s="1740">
        <v>40</v>
      </c>
      <c r="H1732" s="1741">
        <v>1</v>
      </c>
      <c r="I1732" s="1741">
        <v>10</v>
      </c>
      <c r="J1732" s="1741">
        <f>COUNTIF(Elan!$C$13:$F$25,Tablas!E1732)+COUNTIF(Elan!$U$13:$X$25,Tablas!E1732)</f>
        <v>0</v>
      </c>
      <c r="K1732" s="1740"/>
      <c r="L1732" s="5189" t="s">
        <v>8152</v>
      </c>
      <c r="M1732" s="5189"/>
      <c r="N1732" s="5189"/>
      <c r="O1732" s="5189"/>
      <c r="P1732" s="5189"/>
      <c r="Q1732" s="5190"/>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108"/>
      <c r="E1733" s="2507" t="s">
        <v>7925</v>
      </c>
      <c r="F1733" s="1740"/>
      <c r="G1733" s="1740">
        <v>40</v>
      </c>
      <c r="H1733" s="1741">
        <v>1</v>
      </c>
      <c r="I1733" s="1741">
        <v>5</v>
      </c>
      <c r="J1733" s="1741">
        <f>COUNTIF(Elan!$C$13:$F$25,Tablas!E1733)+COUNTIF(Elan!$U$13:$X$25,Tablas!E1733)</f>
        <v>0</v>
      </c>
      <c r="K1733" s="1740"/>
      <c r="L1733" s="5189" t="s">
        <v>8155</v>
      </c>
      <c r="M1733" s="5189"/>
      <c r="N1733" s="5189"/>
      <c r="O1733" s="5189"/>
      <c r="P1733" s="5189"/>
      <c r="Q1733" s="5190"/>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108"/>
      <c r="E1734" s="2507" t="s">
        <v>7926</v>
      </c>
      <c r="F1734" s="1740"/>
      <c r="G1734" s="1740">
        <v>50</v>
      </c>
      <c r="H1734" s="1741">
        <v>1</v>
      </c>
      <c r="I1734" s="1741">
        <v>10</v>
      </c>
      <c r="J1734" s="1741">
        <f>COUNTIF(Elan!$C$13:$F$25,Tablas!E1734)+COUNTIF(Elan!$U$13:$X$25,Tablas!E1734)</f>
        <v>0</v>
      </c>
      <c r="K1734" s="1740"/>
      <c r="L1734" s="5189" t="s">
        <v>8157</v>
      </c>
      <c r="M1734" s="5189"/>
      <c r="N1734" s="5189"/>
      <c r="O1734" s="5189"/>
      <c r="P1734" s="5189"/>
      <c r="Q1734" s="5190"/>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108"/>
      <c r="E1735" s="2507" t="s">
        <v>7927</v>
      </c>
      <c r="F1735" s="1740"/>
      <c r="G1735" s="1740">
        <v>60</v>
      </c>
      <c r="H1735" s="1741">
        <f>IF(J1732,1,0)</f>
        <v>0</v>
      </c>
      <c r="I1735" s="1741">
        <v>20</v>
      </c>
      <c r="J1735" s="1741">
        <f>COUNTIF(Elan!$C$13:$F$25,Tablas!E1735)+COUNTIF(Elan!$U$13:$X$25,Tablas!E1735)</f>
        <v>0</v>
      </c>
      <c r="K1735" s="1740"/>
      <c r="L1735" s="5189" t="s">
        <v>8158</v>
      </c>
      <c r="M1735" s="5189"/>
      <c r="N1735" s="5189"/>
      <c r="O1735" s="5189"/>
      <c r="P1735" s="5189"/>
      <c r="Q1735" s="5190"/>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108"/>
      <c r="E1736" s="2507" t="s">
        <v>7928</v>
      </c>
      <c r="F1736" s="1740"/>
      <c r="G1736" s="1740">
        <v>60</v>
      </c>
      <c r="H1736" s="1741">
        <v>1</v>
      </c>
      <c r="I1736" s="1741">
        <v>15</v>
      </c>
      <c r="J1736" s="1741">
        <f>COUNTIF(Elan!$C$13:$F$25,Tablas!E1736)+COUNTIF(Elan!$U$13:$X$25,Tablas!E1736)</f>
        <v>0</v>
      </c>
      <c r="K1736" s="1740"/>
      <c r="L1736" s="5189" t="s">
        <v>8159</v>
      </c>
      <c r="M1736" s="5189"/>
      <c r="N1736" s="5189"/>
      <c r="O1736" s="5189"/>
      <c r="P1736" s="5189"/>
      <c r="Q1736" s="5190"/>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108"/>
      <c r="E1737" s="2507" t="s">
        <v>7929</v>
      </c>
      <c r="F1737" s="1740"/>
      <c r="G1737" s="1740">
        <v>70</v>
      </c>
      <c r="H1737" s="1741">
        <v>1</v>
      </c>
      <c r="I1737" s="1741">
        <v>10</v>
      </c>
      <c r="J1737" s="1741">
        <f>COUNTIF(Elan!$C$13:$F$25,Tablas!E1737)+COUNTIF(Elan!$U$13:$X$25,Tablas!E1737)</f>
        <v>0</v>
      </c>
      <c r="K1737" s="1740">
        <f>IF(J1737&gt;0,1,0)</f>
        <v>0</v>
      </c>
      <c r="L1737" s="5189" t="s">
        <v>8160</v>
      </c>
      <c r="M1737" s="5189"/>
      <c r="N1737" s="5189"/>
      <c r="O1737" s="5189"/>
      <c r="P1737" s="5189"/>
      <c r="Q1737" s="5190"/>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108"/>
      <c r="E1738" s="2507" t="s">
        <v>7930</v>
      </c>
      <c r="F1738" s="1740"/>
      <c r="G1738" s="1740">
        <v>80</v>
      </c>
      <c r="H1738" s="1741">
        <v>1</v>
      </c>
      <c r="I1738" s="1741">
        <v>10</v>
      </c>
      <c r="J1738" s="1741">
        <f>COUNTIF(Elan!$C$13:$F$25,Tablas!E1738)+COUNTIF(Elan!$U$13:$X$25,Tablas!E1738)</f>
        <v>0</v>
      </c>
      <c r="K1738" s="1740"/>
      <c r="L1738" s="5189" t="s">
        <v>8161</v>
      </c>
      <c r="M1738" s="5189"/>
      <c r="N1738" s="5189"/>
      <c r="O1738" s="5189"/>
      <c r="P1738" s="5189"/>
      <c r="Q1738" s="5190"/>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108"/>
      <c r="E1739" s="2507" t="s">
        <v>7931</v>
      </c>
      <c r="F1739" s="1740"/>
      <c r="G1739" s="1740">
        <v>90</v>
      </c>
      <c r="H1739" s="1741">
        <v>1</v>
      </c>
      <c r="I1739" s="1741">
        <v>20</v>
      </c>
      <c r="J1739" s="1741">
        <f>COUNTIF(Elan!$C$13:$F$25,Tablas!E1739)+COUNTIF(Elan!$U$13:$X$25,Tablas!E1739)</f>
        <v>0</v>
      </c>
      <c r="K1739" s="1740"/>
      <c r="L1739" s="5189" t="s">
        <v>8162</v>
      </c>
      <c r="M1739" s="5189"/>
      <c r="N1739" s="5189"/>
      <c r="O1739" s="5189"/>
      <c r="P1739" s="5189"/>
      <c r="Q1739" s="5190"/>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108"/>
      <c r="E1740" s="2507" t="s">
        <v>7932</v>
      </c>
      <c r="F1740" s="1740"/>
      <c r="G1740" s="1740">
        <v>100</v>
      </c>
      <c r="H1740" s="1741">
        <v>1</v>
      </c>
      <c r="I1740" s="1741">
        <v>10</v>
      </c>
      <c r="J1740" s="1741">
        <f>COUNTIF(Elan!$C$13:$F$25,Tablas!E1740)+COUNTIF(Elan!$U$13:$X$25,Tablas!E1740)</f>
        <v>0</v>
      </c>
      <c r="K1740" s="1740"/>
      <c r="L1740" s="5189" t="s">
        <v>8163</v>
      </c>
      <c r="M1740" s="5189"/>
      <c r="N1740" s="5189"/>
      <c r="O1740" s="5189"/>
      <c r="P1740" s="5189"/>
      <c r="Q1740" s="5190"/>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108"/>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108"/>
      <c r="E1742" s="2507" t="s">
        <v>7933</v>
      </c>
      <c r="F1742" s="1740"/>
      <c r="G1742" s="1740">
        <v>10</v>
      </c>
      <c r="H1742" s="1741">
        <v>1</v>
      </c>
      <c r="I1742" s="1741">
        <v>5</v>
      </c>
      <c r="J1742" s="1741">
        <f>COUNTIF(Elan!$C$13:$F$25,Tablas!E1742)+COUNTIF(Elan!$U$13:$X$25,Tablas!E1742)</f>
        <v>0</v>
      </c>
      <c r="K1742" s="1740">
        <f>F$1741*J1742</f>
        <v>0</v>
      </c>
      <c r="L1742" s="5189" t="s">
        <v>8164</v>
      </c>
      <c r="M1742" s="5189"/>
      <c r="N1742" s="5189"/>
      <c r="O1742" s="5189"/>
      <c r="P1742" s="5189"/>
      <c r="Q1742" s="5190"/>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108"/>
      <c r="E1743" s="2507" t="s">
        <v>7934</v>
      </c>
      <c r="F1743" s="1740"/>
      <c r="G1743" s="1740">
        <v>20</v>
      </c>
      <c r="H1743" s="1741">
        <v>1</v>
      </c>
      <c r="I1743" s="1741">
        <v>10</v>
      </c>
      <c r="J1743" s="1741">
        <f>COUNTIF(Elan!$C$13:$F$25,Tablas!E1743)+COUNTIF(Elan!$U$13:$X$25,Tablas!E1743)</f>
        <v>0</v>
      </c>
      <c r="K1743" s="1740">
        <f>ROUNDDOWN(F$1741/2,0)*J1743</f>
        <v>0</v>
      </c>
      <c r="L1743" s="5189" t="s">
        <v>8167</v>
      </c>
      <c r="M1743" s="5189"/>
      <c r="N1743" s="5189"/>
      <c r="O1743" s="5189"/>
      <c r="P1743" s="5189"/>
      <c r="Q1743" s="5190"/>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108"/>
      <c r="E1744" s="2507" t="s">
        <v>2418</v>
      </c>
      <c r="F1744" s="1740"/>
      <c r="G1744" s="1740">
        <v>30</v>
      </c>
      <c r="H1744" s="1741">
        <v>1</v>
      </c>
      <c r="I1744" s="1741">
        <v>5</v>
      </c>
      <c r="J1744" s="1741">
        <f>COUNTIF(Elan!$C$13:$F$25,Tablas!E1744)+COUNTIF(Elan!$U$13:$X$25,Tablas!E1744)</f>
        <v>0</v>
      </c>
      <c r="K1744" s="1740"/>
      <c r="L1744" s="5189" t="s">
        <v>8171</v>
      </c>
      <c r="M1744" s="5189"/>
      <c r="N1744" s="5189"/>
      <c r="O1744" s="5189"/>
      <c r="P1744" s="5189"/>
      <c r="Q1744" s="5190"/>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108"/>
      <c r="E1745" s="2507" t="s">
        <v>7935</v>
      </c>
      <c r="F1745" s="1740"/>
      <c r="G1745" s="1740">
        <v>40</v>
      </c>
      <c r="H1745" s="1741">
        <v>1</v>
      </c>
      <c r="I1745" s="1741">
        <v>5</v>
      </c>
      <c r="J1745" s="1741">
        <f>COUNTIF(Elan!$C$13:$F$25,Tablas!E1745)+COUNTIF(Elan!$U$13:$X$25,Tablas!E1745)</f>
        <v>0</v>
      </c>
      <c r="K1745" s="1740"/>
      <c r="L1745" s="5189" t="s">
        <v>8175</v>
      </c>
      <c r="M1745" s="5189"/>
      <c r="N1745" s="5189"/>
      <c r="O1745" s="5189"/>
      <c r="P1745" s="5189"/>
      <c r="Q1745" s="5190"/>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108"/>
      <c r="E1746" s="2507" t="s">
        <v>7936</v>
      </c>
      <c r="F1746" s="1740"/>
      <c r="G1746" s="1740">
        <v>50</v>
      </c>
      <c r="H1746" s="1741">
        <v>1</v>
      </c>
      <c r="I1746" s="1741">
        <v>10</v>
      </c>
      <c r="J1746" s="1741">
        <f>COUNTIF(Elan!$C$13:$F$25,Tablas!E1746)+COUNTIF(Elan!$U$13:$X$25,Tablas!E1746)</f>
        <v>0</v>
      </c>
      <c r="K1746" s="1740">
        <f>ROUNDDOWN(F$1741/2,0)*J1746</f>
        <v>0</v>
      </c>
      <c r="L1746" s="5189" t="s">
        <v>8178</v>
      </c>
      <c r="M1746" s="5189"/>
      <c r="N1746" s="5189"/>
      <c r="O1746" s="5189"/>
      <c r="P1746" s="5189"/>
      <c r="Q1746" s="5190"/>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108"/>
      <c r="E1747" s="2507" t="s">
        <v>7937</v>
      </c>
      <c r="F1747" s="1740"/>
      <c r="G1747" s="1740">
        <v>50</v>
      </c>
      <c r="H1747" s="1741">
        <v>1</v>
      </c>
      <c r="I1747" s="1741">
        <v>10</v>
      </c>
      <c r="J1747" s="1741">
        <f>COUNTIF(Elan!$C$13:$F$25,Tablas!E1747)+COUNTIF(Elan!$U$13:$X$25,Tablas!E1747)</f>
        <v>0</v>
      </c>
      <c r="K1747" s="1740"/>
      <c r="L1747" s="5189" t="s">
        <v>8180</v>
      </c>
      <c r="M1747" s="5189"/>
      <c r="N1747" s="5189"/>
      <c r="O1747" s="5189"/>
      <c r="P1747" s="5189"/>
      <c r="Q1747" s="5190"/>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108"/>
      <c r="E1748" s="2507" t="s">
        <v>7938</v>
      </c>
      <c r="F1748" s="1740"/>
      <c r="G1748" s="1740">
        <v>60</v>
      </c>
      <c r="H1748" s="1741">
        <v>1</v>
      </c>
      <c r="I1748" s="1741">
        <v>10</v>
      </c>
      <c r="J1748" s="1741">
        <f>COUNTIF(Elan!$C$13:$F$25,Tablas!E1748)+COUNTIF(Elan!$U$13:$X$25,Tablas!E1748)</f>
        <v>0</v>
      </c>
      <c r="K1748" s="1740"/>
      <c r="L1748" s="5189" t="s">
        <v>8182</v>
      </c>
      <c r="M1748" s="5189"/>
      <c r="N1748" s="5189"/>
      <c r="O1748" s="5189"/>
      <c r="P1748" s="5189"/>
      <c r="Q1748" s="5190"/>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108"/>
      <c r="E1749" s="2507" t="s">
        <v>7939</v>
      </c>
      <c r="F1749" s="1740"/>
      <c r="G1749" s="1740">
        <v>65</v>
      </c>
      <c r="H1749" s="1741">
        <v>1</v>
      </c>
      <c r="I1749" s="1741">
        <v>15</v>
      </c>
      <c r="J1749" s="1741">
        <f>COUNTIF(Elan!$C$13:$F$25,Tablas!E1749)+COUNTIF(Elan!$U$13:$X$25,Tablas!E1749)</f>
        <v>0</v>
      </c>
      <c r="K1749" s="1740"/>
      <c r="L1749" s="5189" t="s">
        <v>8183</v>
      </c>
      <c r="M1749" s="5189"/>
      <c r="N1749" s="5189"/>
      <c r="O1749" s="5189"/>
      <c r="P1749" s="5189"/>
      <c r="Q1749" s="5190"/>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108"/>
      <c r="E1750" s="2507" t="s">
        <v>7940</v>
      </c>
      <c r="F1750" s="1740"/>
      <c r="G1750" s="1740">
        <v>70</v>
      </c>
      <c r="H1750" s="1741">
        <v>1</v>
      </c>
      <c r="I1750" s="1741">
        <v>15</v>
      </c>
      <c r="J1750" s="1741">
        <f>COUNTIF(Elan!$C$13:$F$25,Tablas!E1750)+COUNTIF(Elan!$U$13:$X$25,Tablas!E1750)</f>
        <v>0</v>
      </c>
      <c r="K1750" s="1740">
        <f>IF(J1750&gt;0,1,0)</f>
        <v>0</v>
      </c>
      <c r="L1750" s="5189" t="s">
        <v>8184</v>
      </c>
      <c r="M1750" s="5189"/>
      <c r="N1750" s="5189"/>
      <c r="O1750" s="5189"/>
      <c r="P1750" s="5189"/>
      <c r="Q1750" s="5190"/>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108"/>
      <c r="E1751" s="2507" t="s">
        <v>7941</v>
      </c>
      <c r="F1751" s="1740"/>
      <c r="G1751" s="1740">
        <v>70</v>
      </c>
      <c r="H1751" s="1741">
        <f>IF(J1747,1,0)</f>
        <v>0</v>
      </c>
      <c r="I1751" s="1741">
        <v>10</v>
      </c>
      <c r="J1751" s="1741">
        <f>COUNTIF(Elan!$C$13:$F$25,Tablas!E1751)+COUNTIF(Elan!$U$13:$X$25,Tablas!E1751)</f>
        <v>0</v>
      </c>
      <c r="K1751" s="1740"/>
      <c r="L1751" s="5189" t="s">
        <v>8185</v>
      </c>
      <c r="M1751" s="5189"/>
      <c r="N1751" s="5189"/>
      <c r="O1751" s="5189"/>
      <c r="P1751" s="5189"/>
      <c r="Q1751" s="5190"/>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108"/>
      <c r="E1752" s="2507" t="s">
        <v>7930</v>
      </c>
      <c r="F1752" s="1740"/>
      <c r="G1752" s="1740">
        <v>80</v>
      </c>
      <c r="H1752" s="1741">
        <v>1</v>
      </c>
      <c r="I1752" s="1741">
        <v>15</v>
      </c>
      <c r="J1752" s="1741">
        <f>COUNTIF(Elan!$C$13:$F$25,Tablas!E1752)+COUNTIF(Elan!$U$13:$X$25,Tablas!E1752)</f>
        <v>0</v>
      </c>
      <c r="K1752" s="1740"/>
      <c r="L1752" s="5189" t="s">
        <v>8161</v>
      </c>
      <c r="M1752" s="5189"/>
      <c r="N1752" s="5189"/>
      <c r="O1752" s="5189"/>
      <c r="P1752" s="5189"/>
      <c r="Q1752" s="5190"/>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108"/>
      <c r="E1753" s="2507" t="s">
        <v>7942</v>
      </c>
      <c r="F1753" s="1740"/>
      <c r="G1753" s="1740">
        <v>90</v>
      </c>
      <c r="H1753" s="1741">
        <f>IF(J1751,1,0)</f>
        <v>0</v>
      </c>
      <c r="I1753" s="1741">
        <v>10</v>
      </c>
      <c r="J1753" s="1741">
        <f>COUNTIF(Elan!$C$13:$F$25,Tablas!E1753)+COUNTIF(Elan!$U$13:$X$25,Tablas!E1753)</f>
        <v>0</v>
      </c>
      <c r="K1753" s="1740"/>
      <c r="L1753" s="5189" t="s">
        <v>8186</v>
      </c>
      <c r="M1753" s="5189"/>
      <c r="N1753" s="5189"/>
      <c r="O1753" s="5189"/>
      <c r="P1753" s="5189"/>
      <c r="Q1753" s="5190"/>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108"/>
      <c r="E1754" s="2507" t="s">
        <v>7943</v>
      </c>
      <c r="F1754" s="1740"/>
      <c r="G1754" s="1740">
        <v>100</v>
      </c>
      <c r="H1754" s="1741">
        <v>1</v>
      </c>
      <c r="I1754" s="1741">
        <v>10</v>
      </c>
      <c r="J1754" s="1741">
        <f>COUNTIF(Elan!$C$13:$F$25,Tablas!E1754)+COUNTIF(Elan!$U$13:$X$25,Tablas!E1754)</f>
        <v>0</v>
      </c>
      <c r="K1754" s="1740"/>
      <c r="L1754" s="5189" t="s">
        <v>8187</v>
      </c>
      <c r="M1754" s="5189"/>
      <c r="N1754" s="5189"/>
      <c r="O1754" s="5189"/>
      <c r="P1754" s="5189"/>
      <c r="Q1754" s="5190"/>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108"/>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108"/>
      <c r="E1756" s="2507" t="s">
        <v>7944</v>
      </c>
      <c r="F1756" s="1740"/>
      <c r="G1756" s="1740">
        <v>10</v>
      </c>
      <c r="H1756" s="1741">
        <v>1</v>
      </c>
      <c r="I1756" s="1741">
        <v>5</v>
      </c>
      <c r="J1756" s="1741">
        <f>COUNTIF(Elan!$C$13:$F$25,Tablas!E1756)+COUNTIF(Elan!$U$13:$X$25,Tablas!E1756)</f>
        <v>0</v>
      </c>
      <c r="K1756" s="1740">
        <f>F$1755*J1756</f>
        <v>0</v>
      </c>
      <c r="L1756" s="5189" t="s">
        <v>8188</v>
      </c>
      <c r="M1756" s="5189"/>
      <c r="N1756" s="5189"/>
      <c r="O1756" s="5189"/>
      <c r="P1756" s="5189"/>
      <c r="Q1756" s="5190"/>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108"/>
      <c r="E1757" s="2507" t="s">
        <v>7945</v>
      </c>
      <c r="F1757" s="1740"/>
      <c r="G1757" s="1740">
        <v>20</v>
      </c>
      <c r="H1757" s="1741">
        <v>1</v>
      </c>
      <c r="I1757" s="1741">
        <v>5</v>
      </c>
      <c r="J1757" s="1741">
        <f>COUNTIF(Elan!$C$13:$F$25,Tablas!E1757)+COUNTIF(Elan!$U$13:$X$25,Tablas!E1757)</f>
        <v>0</v>
      </c>
      <c r="K1757" s="1740"/>
      <c r="L1757" s="5189" t="s">
        <v>8192</v>
      </c>
      <c r="M1757" s="5189"/>
      <c r="N1757" s="5189"/>
      <c r="O1757" s="5189"/>
      <c r="P1757" s="5189"/>
      <c r="Q1757" s="5190"/>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108"/>
      <c r="E1758" s="2507" t="s">
        <v>7946</v>
      </c>
      <c r="F1758" s="1740"/>
      <c r="G1758" s="1740">
        <v>30</v>
      </c>
      <c r="H1758" s="1741">
        <v>1</v>
      </c>
      <c r="I1758" s="1741">
        <v>10</v>
      </c>
      <c r="J1758" s="1741">
        <f>COUNTIF(Elan!$C$13:$F$25,Tablas!E1758)+COUNTIF(Elan!$U$13:$X$25,Tablas!E1758)</f>
        <v>0</v>
      </c>
      <c r="K1758" s="1740"/>
      <c r="L1758" s="5189" t="s">
        <v>8196</v>
      </c>
      <c r="M1758" s="5189"/>
      <c r="N1758" s="5189"/>
      <c r="O1758" s="5189"/>
      <c r="P1758" s="5189"/>
      <c r="Q1758" s="5190"/>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108"/>
      <c r="E1759" s="2507" t="s">
        <v>7947</v>
      </c>
      <c r="F1759" s="1740"/>
      <c r="G1759" s="1740">
        <v>40</v>
      </c>
      <c r="H1759" s="1741">
        <v>1</v>
      </c>
      <c r="I1759" s="1741">
        <v>10</v>
      </c>
      <c r="J1759" s="1741">
        <f>COUNTIF(Elan!$C$13:$F$25,Tablas!E1759)+COUNTIF(Elan!$U$13:$X$25,Tablas!E1759)</f>
        <v>0</v>
      </c>
      <c r="K1759" s="1740"/>
      <c r="L1759" s="5189" t="s">
        <v>8199</v>
      </c>
      <c r="M1759" s="5189"/>
      <c r="N1759" s="5189"/>
      <c r="O1759" s="5189"/>
      <c r="P1759" s="5189"/>
      <c r="Q1759" s="5190"/>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108"/>
      <c r="E1760" s="2507" t="s">
        <v>1576</v>
      </c>
      <c r="F1760" s="1740"/>
      <c r="G1760" s="1740">
        <v>40</v>
      </c>
      <c r="H1760" s="1741">
        <v>1</v>
      </c>
      <c r="I1760" s="1741">
        <v>10</v>
      </c>
      <c r="J1760" s="1741">
        <f>COUNTIF(Elan!$C$13:$F$25,Tablas!E1760)+COUNTIF(Elan!$U$13:$X$25,Tablas!E1760)</f>
        <v>0</v>
      </c>
      <c r="K1760" s="1740"/>
      <c r="L1760" s="5189" t="s">
        <v>8203</v>
      </c>
      <c r="M1760" s="5189"/>
      <c r="N1760" s="5189"/>
      <c r="O1760" s="5189"/>
      <c r="P1760" s="5189"/>
      <c r="Q1760" s="5190"/>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108"/>
      <c r="E1761" s="2507" t="s">
        <v>7948</v>
      </c>
      <c r="F1761" s="1740"/>
      <c r="G1761" s="1740">
        <v>50</v>
      </c>
      <c r="H1761" s="1741">
        <v>1</v>
      </c>
      <c r="I1761" s="1741">
        <v>10</v>
      </c>
      <c r="J1761" s="1741">
        <f>COUNTIF(Elan!$C$13:$F$25,Tablas!E1761)+COUNTIF(Elan!$U$13:$X$25,Tablas!E1761)</f>
        <v>0</v>
      </c>
      <c r="K1761" s="1740"/>
      <c r="L1761" s="5189" t="s">
        <v>8206</v>
      </c>
      <c r="M1761" s="5189"/>
      <c r="N1761" s="5189"/>
      <c r="O1761" s="5189"/>
      <c r="P1761" s="5189"/>
      <c r="Q1761" s="5190"/>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108"/>
      <c r="E1762" s="2507" t="s">
        <v>7949</v>
      </c>
      <c r="F1762" s="1740"/>
      <c r="G1762" s="1740">
        <v>50</v>
      </c>
      <c r="H1762" s="1741">
        <v>1</v>
      </c>
      <c r="I1762" s="1741">
        <v>15</v>
      </c>
      <c r="J1762" s="1741">
        <f>COUNTIF(Elan!$C$13:$F$25,Tablas!E1762)+COUNTIF(Elan!$U$13:$X$25,Tablas!E1762)</f>
        <v>0</v>
      </c>
      <c r="K1762" s="1740"/>
      <c r="L1762" s="5189" t="s">
        <v>8207</v>
      </c>
      <c r="M1762" s="5189"/>
      <c r="N1762" s="5189"/>
      <c r="O1762" s="5189"/>
      <c r="P1762" s="5189"/>
      <c r="Q1762" s="5190"/>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108"/>
      <c r="E1763" s="2507" t="s">
        <v>2523</v>
      </c>
      <c r="F1763" s="1740"/>
      <c r="G1763" s="1740">
        <v>60</v>
      </c>
      <c r="H1763" s="1741">
        <v>1</v>
      </c>
      <c r="I1763" s="1741">
        <v>15</v>
      </c>
      <c r="J1763" s="1741">
        <f>COUNTIF(Elan!$C$13:$F$25,Tablas!E1763)+COUNTIF(Elan!$U$13:$X$25,Tablas!E1763)</f>
        <v>0</v>
      </c>
      <c r="K1763" s="1740"/>
      <c r="L1763" s="5189" t="s">
        <v>8208</v>
      </c>
      <c r="M1763" s="5189"/>
      <c r="N1763" s="5189"/>
      <c r="O1763" s="5189"/>
      <c r="P1763" s="5189"/>
      <c r="Q1763" s="5190"/>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108"/>
      <c r="E1764" s="2507" t="s">
        <v>7950</v>
      </c>
      <c r="F1764" s="1740"/>
      <c r="G1764" s="1740">
        <v>70</v>
      </c>
      <c r="H1764" s="1741">
        <v>1</v>
      </c>
      <c r="I1764" s="1741">
        <v>10</v>
      </c>
      <c r="J1764" s="1741">
        <f>COUNTIF(Elan!$C$13:$F$25,Tablas!E1764)+COUNTIF(Elan!$U$13:$X$25,Tablas!E1764)</f>
        <v>0</v>
      </c>
      <c r="K1764" s="1740"/>
      <c r="L1764" s="5189" t="s">
        <v>8209</v>
      </c>
      <c r="M1764" s="5189"/>
      <c r="N1764" s="5189"/>
      <c r="O1764" s="5189"/>
      <c r="P1764" s="5189"/>
      <c r="Q1764" s="5190"/>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108"/>
      <c r="E1765" s="2507" t="s">
        <v>7951</v>
      </c>
      <c r="F1765" s="1740"/>
      <c r="G1765" s="1740">
        <v>80</v>
      </c>
      <c r="H1765" s="1741">
        <v>1</v>
      </c>
      <c r="I1765" s="1741">
        <v>15</v>
      </c>
      <c r="J1765" s="1741">
        <f>COUNTIF(Elan!$C$13:$F$25,Tablas!E1765)+COUNTIF(Elan!$U$13:$X$25,Tablas!E1765)</f>
        <v>0</v>
      </c>
      <c r="K1765" s="1740"/>
      <c r="L1765" s="5189" t="s">
        <v>8210</v>
      </c>
      <c r="M1765" s="5189"/>
      <c r="N1765" s="5189"/>
      <c r="O1765" s="5189"/>
      <c r="P1765" s="5189"/>
      <c r="Q1765" s="5190"/>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108"/>
      <c r="E1766" s="2507" t="s">
        <v>7952</v>
      </c>
      <c r="F1766" s="1740"/>
      <c r="G1766" s="1740">
        <v>90</v>
      </c>
      <c r="H1766" s="1741">
        <v>1</v>
      </c>
      <c r="I1766" s="1741">
        <v>20</v>
      </c>
      <c r="J1766" s="1741">
        <f>COUNTIF(Elan!$C$13:$F$25,Tablas!E1766)+COUNTIF(Elan!$U$13:$X$25,Tablas!E1766)</f>
        <v>0</v>
      </c>
      <c r="K1766" s="1740"/>
      <c r="L1766" s="5189" t="s">
        <v>8211</v>
      </c>
      <c r="M1766" s="5189"/>
      <c r="N1766" s="5189"/>
      <c r="O1766" s="5189"/>
      <c r="P1766" s="5189"/>
      <c r="Q1766" s="5190"/>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108"/>
      <c r="E1767" s="2507" t="s">
        <v>7953</v>
      </c>
      <c r="F1767" s="1740"/>
      <c r="G1767" s="1740">
        <v>100</v>
      </c>
      <c r="H1767" s="1741">
        <v>1</v>
      </c>
      <c r="I1767" s="1741">
        <v>10</v>
      </c>
      <c r="J1767" s="1741">
        <f>COUNTIF(Elan!$C$13:$F$25,Tablas!E1767)+COUNTIF(Elan!$U$13:$X$25,Tablas!E1767)</f>
        <v>0</v>
      </c>
      <c r="K1767" s="1740"/>
      <c r="L1767" s="5189" t="s">
        <v>8212</v>
      </c>
      <c r="M1767" s="5189"/>
      <c r="N1767" s="5189"/>
      <c r="O1767" s="5189"/>
      <c r="P1767" s="5189"/>
      <c r="Q1767" s="5190"/>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108"/>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108"/>
      <c r="E1769" s="2507" t="s">
        <v>7954</v>
      </c>
      <c r="F1769" s="1740"/>
      <c r="G1769" s="1740">
        <v>10</v>
      </c>
      <c r="H1769" s="1741">
        <v>1</v>
      </c>
      <c r="I1769" s="1741">
        <v>5</v>
      </c>
      <c r="J1769" s="1741">
        <f>COUNTIF(Elan!$C$13:$F$25,Tablas!E1769)+COUNTIF(Elan!$U$13:$X$25,Tablas!E1769)</f>
        <v>0</v>
      </c>
      <c r="K1769" s="1740"/>
      <c r="L1769" s="5189" t="s">
        <v>8213</v>
      </c>
      <c r="M1769" s="5189"/>
      <c r="N1769" s="5189"/>
      <c r="O1769" s="5189"/>
      <c r="P1769" s="5189"/>
      <c r="Q1769" s="5190"/>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108"/>
      <c r="E1770" s="2507" t="s">
        <v>7955</v>
      </c>
      <c r="F1770" s="1740"/>
      <c r="G1770" s="1740">
        <v>20</v>
      </c>
      <c r="H1770" s="1741">
        <v>1</v>
      </c>
      <c r="I1770" s="1741">
        <v>10</v>
      </c>
      <c r="J1770" s="1741">
        <f>COUNTIF(Elan!$C$13:$F$25,Tablas!E1770)+COUNTIF(Elan!$U$13:$X$25,Tablas!E1770)</f>
        <v>0</v>
      </c>
      <c r="K1770" s="1740"/>
      <c r="L1770" s="5189" t="s">
        <v>8217</v>
      </c>
      <c r="M1770" s="5189"/>
      <c r="N1770" s="5189"/>
      <c r="O1770" s="5189"/>
      <c r="P1770" s="5189"/>
      <c r="Q1770" s="5190"/>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108"/>
      <c r="E1771" s="2507" t="s">
        <v>7956</v>
      </c>
      <c r="F1771" s="1740"/>
      <c r="G1771" s="1740">
        <v>20</v>
      </c>
      <c r="H1771" s="1741">
        <v>1</v>
      </c>
      <c r="I1771" s="1741">
        <v>5</v>
      </c>
      <c r="J1771" s="1741">
        <f>COUNTIF(Elan!$C$13:$F$25,Tablas!E1771)+COUNTIF(Elan!$U$13:$X$25,Tablas!E1771)</f>
        <v>0</v>
      </c>
      <c r="K1771" s="1740">
        <f>ROUNDDOWN(F$1768/2,0)*J1771</f>
        <v>0</v>
      </c>
      <c r="L1771" s="5189" t="s">
        <v>8221</v>
      </c>
      <c r="M1771" s="5189"/>
      <c r="N1771" s="5189"/>
      <c r="O1771" s="5189"/>
      <c r="P1771" s="5189"/>
      <c r="Q1771" s="5190"/>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108"/>
      <c r="E1772" s="2507" t="s">
        <v>2068</v>
      </c>
      <c r="F1772" s="1740"/>
      <c r="G1772" s="1740">
        <v>30</v>
      </c>
      <c r="H1772" s="1741">
        <v>1</v>
      </c>
      <c r="I1772" s="1741">
        <v>5</v>
      </c>
      <c r="J1772" s="1741">
        <f>COUNTIF(Elan!$C$13:$F$25,Tablas!E1772)+COUNTIF(Elan!$U$13:$X$25,Tablas!E1772)</f>
        <v>0</v>
      </c>
      <c r="K1772" s="1740"/>
      <c r="L1772" s="5189" t="s">
        <v>8225</v>
      </c>
      <c r="M1772" s="5189"/>
      <c r="N1772" s="5189"/>
      <c r="O1772" s="5189"/>
      <c r="P1772" s="5189"/>
      <c r="Q1772" s="5190"/>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108"/>
      <c r="E1773" s="2507" t="s">
        <v>7957</v>
      </c>
      <c r="F1773" s="1740"/>
      <c r="G1773" s="1740">
        <v>40</v>
      </c>
      <c r="H1773" s="1741">
        <v>1</v>
      </c>
      <c r="I1773" s="1741">
        <v>10</v>
      </c>
      <c r="J1773" s="1741">
        <f>COUNTIF(Elan!$C$13:$F$25,Tablas!E1773)+COUNTIF(Elan!$U$13:$X$25,Tablas!E1773)</f>
        <v>0</v>
      </c>
      <c r="K1773" s="1740"/>
      <c r="L1773" s="5189" t="s">
        <v>8228</v>
      </c>
      <c r="M1773" s="5189"/>
      <c r="N1773" s="5189"/>
      <c r="O1773" s="5189"/>
      <c r="P1773" s="5189"/>
      <c r="Q1773" s="5190"/>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108"/>
      <c r="E1774" s="2507" t="s">
        <v>7958</v>
      </c>
      <c r="F1774" s="1740"/>
      <c r="G1774" s="1740">
        <v>50</v>
      </c>
      <c r="H1774" s="1741">
        <v>1</v>
      </c>
      <c r="I1774" s="1741">
        <v>15</v>
      </c>
      <c r="J1774" s="1741">
        <f>COUNTIF(Elan!$C$13:$F$25,Tablas!E1774)+COUNTIF(Elan!$U$13:$X$25,Tablas!E1774)</f>
        <v>0</v>
      </c>
      <c r="K1774" s="1740"/>
      <c r="L1774" s="5189" t="s">
        <v>8230</v>
      </c>
      <c r="M1774" s="5189"/>
      <c r="N1774" s="5189"/>
      <c r="O1774" s="5189"/>
      <c r="P1774" s="5189"/>
      <c r="Q1774" s="5190"/>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108"/>
      <c r="E1775" s="2507" t="s">
        <v>7959</v>
      </c>
      <c r="F1775" s="1740"/>
      <c r="G1775" s="1740">
        <v>60</v>
      </c>
      <c r="H1775" s="1741">
        <v>1</v>
      </c>
      <c r="I1775" s="1741">
        <v>10</v>
      </c>
      <c r="J1775" s="1741">
        <f>COUNTIF(Elan!$C$13:$F$25,Tablas!E1775)+COUNTIF(Elan!$U$13:$X$25,Tablas!E1775)</f>
        <v>0</v>
      </c>
      <c r="K1775" s="1740"/>
      <c r="L1775" s="5189" t="s">
        <v>8231</v>
      </c>
      <c r="M1775" s="5189"/>
      <c r="N1775" s="5189"/>
      <c r="O1775" s="5189"/>
      <c r="P1775" s="5189"/>
      <c r="Q1775" s="5190"/>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108"/>
      <c r="E1776" s="2507" t="s">
        <v>7960</v>
      </c>
      <c r="F1776" s="1740"/>
      <c r="G1776" s="1740">
        <v>70</v>
      </c>
      <c r="H1776" s="1741">
        <v>1</v>
      </c>
      <c r="I1776" s="1741">
        <v>15</v>
      </c>
      <c r="J1776" s="1741">
        <f>COUNTIF(Elan!$C$13:$F$25,Tablas!E1776)+COUNTIF(Elan!$U$13:$X$25,Tablas!E1776)</f>
        <v>0</v>
      </c>
      <c r="K1776" s="1740"/>
      <c r="L1776" s="5189" t="s">
        <v>8232</v>
      </c>
      <c r="M1776" s="5189"/>
      <c r="N1776" s="5189"/>
      <c r="O1776" s="5189"/>
      <c r="P1776" s="5189"/>
      <c r="Q1776" s="5190"/>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108"/>
      <c r="E1777" s="2507" t="s">
        <v>7961</v>
      </c>
      <c r="F1777" s="1740"/>
      <c r="G1777" s="1740">
        <v>70</v>
      </c>
      <c r="H1777" s="1741">
        <v>1</v>
      </c>
      <c r="I1777" s="1741">
        <v>10</v>
      </c>
      <c r="J1777" s="1741">
        <f>COUNTIF(Elan!$C$13:$F$25,Tablas!E1777)+COUNTIF(Elan!$U$13:$X$25,Tablas!E1777)</f>
        <v>0</v>
      </c>
      <c r="K1777" s="1740"/>
      <c r="L1777" s="5189" t="s">
        <v>8233</v>
      </c>
      <c r="M1777" s="5189"/>
      <c r="N1777" s="5189"/>
      <c r="O1777" s="5189"/>
      <c r="P1777" s="5189"/>
      <c r="Q1777" s="5190"/>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108"/>
      <c r="E1778" s="2507" t="s">
        <v>7962</v>
      </c>
      <c r="F1778" s="1740"/>
      <c r="G1778" s="1740">
        <v>80</v>
      </c>
      <c r="H1778" s="1741">
        <f>IF(J1772,1,0)</f>
        <v>0</v>
      </c>
      <c r="I1778" s="1741">
        <v>20</v>
      </c>
      <c r="J1778" s="1741">
        <f>COUNTIF(Elan!$C$13:$F$25,Tablas!E1778)+COUNTIF(Elan!$U$13:$X$25,Tablas!E1778)</f>
        <v>0</v>
      </c>
      <c r="K1778" s="1740"/>
      <c r="L1778" s="5189" t="s">
        <v>8234</v>
      </c>
      <c r="M1778" s="5189"/>
      <c r="N1778" s="5189"/>
      <c r="O1778" s="5189"/>
      <c r="P1778" s="5189"/>
      <c r="Q1778" s="5190"/>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108"/>
      <c r="E1779" s="2507" t="s">
        <v>7963</v>
      </c>
      <c r="F1779" s="1740"/>
      <c r="G1779" s="1740">
        <v>90</v>
      </c>
      <c r="H1779" s="1741">
        <v>1</v>
      </c>
      <c r="I1779" s="1741">
        <v>15</v>
      </c>
      <c r="J1779" s="1741">
        <f>COUNTIF(Elan!$C$13:$F$25,Tablas!E1779)+COUNTIF(Elan!$U$13:$X$25,Tablas!E1779)</f>
        <v>0</v>
      </c>
      <c r="K1779" s="1740"/>
      <c r="L1779" s="5189" t="s">
        <v>8235</v>
      </c>
      <c r="M1779" s="5189"/>
      <c r="N1779" s="5189"/>
      <c r="O1779" s="5189"/>
      <c r="P1779" s="5189"/>
      <c r="Q1779" s="5190"/>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108"/>
      <c r="E1780" s="2507" t="s">
        <v>7964</v>
      </c>
      <c r="F1780" s="1740"/>
      <c r="G1780" s="1740">
        <v>100</v>
      </c>
      <c r="H1780" s="1741">
        <v>1</v>
      </c>
      <c r="I1780" s="1741">
        <v>10</v>
      </c>
      <c r="J1780" s="1741">
        <f>COUNTIF(Elan!$C$13:$F$25,Tablas!E1780)+COUNTIF(Elan!$U$13:$X$25,Tablas!E1780)</f>
        <v>0</v>
      </c>
      <c r="K1780" s="1740"/>
      <c r="L1780" s="5189" t="s">
        <v>8236</v>
      </c>
      <c r="M1780" s="5189"/>
      <c r="N1780" s="5189"/>
      <c r="O1780" s="5189"/>
      <c r="P1780" s="5189"/>
      <c r="Q1780" s="5190"/>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108"/>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108"/>
      <c r="E1782" s="2507" t="s">
        <v>7965</v>
      </c>
      <c r="F1782" s="1740"/>
      <c r="G1782" s="1740">
        <v>10</v>
      </c>
      <c r="H1782" s="1741">
        <v>1</v>
      </c>
      <c r="I1782" s="1741">
        <v>5</v>
      </c>
      <c r="J1782" s="1741">
        <f>COUNTIF(Elan!$C$13:$F$25,Tablas!E1782)+COUNTIF(Elan!$U$13:$X$25,Tablas!E1782)</f>
        <v>0</v>
      </c>
      <c r="K1782" s="1740">
        <f>F$1781*J1782</f>
        <v>0</v>
      </c>
      <c r="L1782" s="5189" t="s">
        <v>8237</v>
      </c>
      <c r="M1782" s="5189"/>
      <c r="N1782" s="5189"/>
      <c r="O1782" s="5189"/>
      <c r="P1782" s="5189"/>
      <c r="Q1782" s="5190"/>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108"/>
      <c r="E1783" s="2507" t="s">
        <v>7966</v>
      </c>
      <c r="F1783" s="1740"/>
      <c r="G1783" s="1740">
        <v>20</v>
      </c>
      <c r="H1783" s="1741">
        <v>1</v>
      </c>
      <c r="I1783" s="1741">
        <v>5</v>
      </c>
      <c r="J1783" s="1741">
        <f>COUNTIF(Elan!$C$13:$F$25,Tablas!E1783)+COUNTIF(Elan!$U$13:$X$25,Tablas!E1783)</f>
        <v>0</v>
      </c>
      <c r="K1783" s="1740">
        <f>F$1781*J1783</f>
        <v>0</v>
      </c>
      <c r="L1783" s="5189" t="s">
        <v>8241</v>
      </c>
      <c r="M1783" s="5189"/>
      <c r="N1783" s="5189"/>
      <c r="O1783" s="5189"/>
      <c r="P1783" s="5189"/>
      <c r="Q1783" s="5190"/>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108"/>
      <c r="E1784" s="2507" t="s">
        <v>7967</v>
      </c>
      <c r="F1784" s="1740"/>
      <c r="G1784" s="1740">
        <v>20</v>
      </c>
      <c r="H1784" s="1741">
        <v>1</v>
      </c>
      <c r="I1784" s="1741">
        <v>10</v>
      </c>
      <c r="J1784" s="1741">
        <f>COUNTIF(Elan!$C$13:$F$25,Tablas!E1784)+COUNTIF(Elan!$U$13:$X$25,Tablas!E1784)</f>
        <v>0</v>
      </c>
      <c r="K1784" s="1740"/>
      <c r="L1784" s="5189" t="s">
        <v>8244</v>
      </c>
      <c r="M1784" s="5189"/>
      <c r="N1784" s="5189"/>
      <c r="O1784" s="5189"/>
      <c r="P1784" s="5189"/>
      <c r="Q1784" s="5190"/>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108"/>
      <c r="E1785" s="2507" t="s">
        <v>7968</v>
      </c>
      <c r="F1785" s="1740"/>
      <c r="G1785" s="1740">
        <v>30</v>
      </c>
      <c r="H1785" s="1741">
        <v>1</v>
      </c>
      <c r="I1785" s="1741">
        <v>5</v>
      </c>
      <c r="J1785" s="1741">
        <f>COUNTIF(Elan!$C$13:$F$25,Tablas!E1785)+COUNTIF(Elan!$U$13:$X$25,Tablas!E1785)</f>
        <v>0</v>
      </c>
      <c r="K1785" s="1740"/>
      <c r="L1785" s="5189" t="s">
        <v>8248</v>
      </c>
      <c r="M1785" s="5189"/>
      <c r="N1785" s="5189"/>
      <c r="O1785" s="5189"/>
      <c r="P1785" s="5189"/>
      <c r="Q1785" s="5190"/>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108"/>
      <c r="E1786" s="2507" t="s">
        <v>7969</v>
      </c>
      <c r="F1786" s="1740"/>
      <c r="G1786" s="1740">
        <v>40</v>
      </c>
      <c r="H1786" s="1741">
        <v>1</v>
      </c>
      <c r="I1786" s="1741">
        <v>10</v>
      </c>
      <c r="J1786" s="1741">
        <f>COUNTIF(Elan!$C$13:$F$25,Tablas!E1786)+COUNTIF(Elan!$U$13:$X$25,Tablas!E1786)</f>
        <v>0</v>
      </c>
      <c r="K1786" s="1740"/>
      <c r="L1786" s="5189" t="s">
        <v>8250</v>
      </c>
      <c r="M1786" s="5189"/>
      <c r="N1786" s="5189"/>
      <c r="O1786" s="5189"/>
      <c r="P1786" s="5189"/>
      <c r="Q1786" s="5190"/>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108"/>
      <c r="E1787" s="2507" t="s">
        <v>7970</v>
      </c>
      <c r="F1787" s="1740"/>
      <c r="G1787" s="1740">
        <v>50</v>
      </c>
      <c r="H1787" s="1741">
        <v>1</v>
      </c>
      <c r="I1787" s="1741">
        <v>20</v>
      </c>
      <c r="J1787" s="1741">
        <f>COUNTIF(Elan!$C$13:$F$25,Tablas!E1787)+COUNTIF(Elan!$U$13:$X$25,Tablas!E1787)</f>
        <v>0</v>
      </c>
      <c r="K1787" s="1740"/>
      <c r="L1787" s="5189" t="s">
        <v>8252</v>
      </c>
      <c r="M1787" s="5189"/>
      <c r="N1787" s="5189"/>
      <c r="O1787" s="5189"/>
      <c r="P1787" s="5189"/>
      <c r="Q1787" s="5190"/>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108"/>
      <c r="E1788" s="2507" t="s">
        <v>7971</v>
      </c>
      <c r="F1788" s="1740"/>
      <c r="G1788" s="1740">
        <v>50</v>
      </c>
      <c r="H1788" s="1741">
        <f>IF(J1784,1,0)</f>
        <v>0</v>
      </c>
      <c r="I1788" s="1741">
        <v>15</v>
      </c>
      <c r="J1788" s="1741">
        <f>COUNTIF(Elan!$C$13:$F$25,Tablas!E1788)+COUNTIF(Elan!$U$13:$X$25,Tablas!E1788)</f>
        <v>0</v>
      </c>
      <c r="K1788" s="1740"/>
      <c r="L1788" s="5189" t="s">
        <v>8253</v>
      </c>
      <c r="M1788" s="5189"/>
      <c r="N1788" s="5189"/>
      <c r="O1788" s="5189"/>
      <c r="P1788" s="5189"/>
      <c r="Q1788" s="5190"/>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108"/>
      <c r="E1789" s="2507" t="s">
        <v>7972</v>
      </c>
      <c r="F1789" s="1740"/>
      <c r="G1789" s="1740">
        <v>60</v>
      </c>
      <c r="H1789" s="1741">
        <v>1</v>
      </c>
      <c r="I1789" s="1741">
        <v>10</v>
      </c>
      <c r="J1789" s="1741">
        <f>COUNTIF(Elan!$C$13:$F$25,Tablas!E1789)+COUNTIF(Elan!$U$13:$X$25,Tablas!E1789)</f>
        <v>0</v>
      </c>
      <c r="K1789" s="1740"/>
      <c r="L1789" s="5189" t="s">
        <v>8254</v>
      </c>
      <c r="M1789" s="5189"/>
      <c r="N1789" s="5189"/>
      <c r="O1789" s="5189"/>
      <c r="P1789" s="5189"/>
      <c r="Q1789" s="5190"/>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108"/>
      <c r="E1790" s="2507" t="s">
        <v>7973</v>
      </c>
      <c r="F1790" s="1740"/>
      <c r="G1790" s="1740">
        <v>60</v>
      </c>
      <c r="H1790" s="1741">
        <v>1</v>
      </c>
      <c r="I1790" s="1741">
        <v>10</v>
      </c>
      <c r="J1790" s="1741">
        <f>COUNTIF(Elan!$C$13:$F$25,Tablas!E1790)+COUNTIF(Elan!$U$13:$X$25,Tablas!E1790)</f>
        <v>0</v>
      </c>
      <c r="K1790" s="1740"/>
      <c r="L1790" s="5189" t="s">
        <v>8255</v>
      </c>
      <c r="M1790" s="5189"/>
      <c r="N1790" s="5189"/>
      <c r="O1790" s="5189"/>
      <c r="P1790" s="5189"/>
      <c r="Q1790" s="5190"/>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108"/>
      <c r="E1791" s="2507" t="s">
        <v>7974</v>
      </c>
      <c r="F1791" s="1740"/>
      <c r="G1791" s="1740">
        <v>70</v>
      </c>
      <c r="H1791" s="1741">
        <v>1</v>
      </c>
      <c r="I1791" s="1741">
        <v>10</v>
      </c>
      <c r="J1791" s="1741">
        <f>COUNTIF(Elan!$C$13:$F$25,Tablas!E1791)+COUNTIF(Elan!$U$13:$X$25,Tablas!E1791)</f>
        <v>0</v>
      </c>
      <c r="K1791" s="1740"/>
      <c r="L1791" s="5189" t="s">
        <v>8256</v>
      </c>
      <c r="M1791" s="5189"/>
      <c r="N1791" s="5189"/>
      <c r="O1791" s="5189"/>
      <c r="P1791" s="5189"/>
      <c r="Q1791" s="5190"/>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108"/>
      <c r="E1792" s="2507" t="s">
        <v>7975</v>
      </c>
      <c r="F1792" s="1740"/>
      <c r="G1792" s="1740">
        <v>80</v>
      </c>
      <c r="H1792" s="1741">
        <f>IF(J1791,1,0)</f>
        <v>0</v>
      </c>
      <c r="I1792" s="1741">
        <v>10</v>
      </c>
      <c r="J1792" s="1741">
        <f>COUNTIF(Elan!$C$13:$F$25,Tablas!E1792)+COUNTIF(Elan!$U$13:$X$25,Tablas!E1792)</f>
        <v>0</v>
      </c>
      <c r="K1792" s="1740"/>
      <c r="L1792" s="5189" t="s">
        <v>8257</v>
      </c>
      <c r="M1792" s="5189"/>
      <c r="N1792" s="5189"/>
      <c r="O1792" s="5189"/>
      <c r="P1792" s="5189"/>
      <c r="Q1792" s="5190"/>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108"/>
      <c r="E1793" s="2507" t="s">
        <v>7976</v>
      </c>
      <c r="F1793" s="1740"/>
      <c r="G1793" s="1740">
        <v>90</v>
      </c>
      <c r="H1793" s="1741">
        <f>IF(J1788,1,0)</f>
        <v>0</v>
      </c>
      <c r="I1793" s="1741">
        <v>20</v>
      </c>
      <c r="J1793" s="1741">
        <f>COUNTIF(Elan!$C$13:$F$25,Tablas!E1793)+COUNTIF(Elan!$U$13:$X$25,Tablas!E1793)</f>
        <v>0</v>
      </c>
      <c r="K1793" s="1740"/>
      <c r="L1793" s="5189" t="s">
        <v>8258</v>
      </c>
      <c r="M1793" s="5189"/>
      <c r="N1793" s="5189"/>
      <c r="O1793" s="5189"/>
      <c r="P1793" s="5189"/>
      <c r="Q1793" s="5190"/>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108"/>
      <c r="E1794" s="2507" t="s">
        <v>7977</v>
      </c>
      <c r="F1794" s="1740"/>
      <c r="G1794" s="1740">
        <v>100</v>
      </c>
      <c r="H1794" s="1741">
        <v>1</v>
      </c>
      <c r="I1794" s="1741">
        <v>10</v>
      </c>
      <c r="J1794" s="1741">
        <f>COUNTIF(Elan!$C$13:$F$25,Tablas!E1794)+COUNTIF(Elan!$U$13:$X$25,Tablas!E1794)</f>
        <v>0</v>
      </c>
      <c r="K1794" s="1740"/>
      <c r="L1794" s="5189" t="s">
        <v>8259</v>
      </c>
      <c r="M1794" s="5189"/>
      <c r="N1794" s="5189"/>
      <c r="O1794" s="5189"/>
      <c r="P1794" s="5189"/>
      <c r="Q1794" s="5190"/>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108"/>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108"/>
      <c r="E1796" s="2507" t="s">
        <v>7978</v>
      </c>
      <c r="F1796" s="1740"/>
      <c r="G1796" s="1740">
        <v>10</v>
      </c>
      <c r="H1796" s="1741">
        <v>1</v>
      </c>
      <c r="I1796" s="1741">
        <v>5</v>
      </c>
      <c r="J1796" s="1741">
        <f>COUNTIF(Elan!$C$13:$F$25,Tablas!E1796)+COUNTIF(Elan!$U$13:$X$25,Tablas!E1796)</f>
        <v>0</v>
      </c>
      <c r="K1796" s="1740">
        <f>F$1795*J1796</f>
        <v>0</v>
      </c>
      <c r="L1796" s="5189" t="s">
        <v>8260</v>
      </c>
      <c r="M1796" s="5189"/>
      <c r="N1796" s="5189"/>
      <c r="O1796" s="5189"/>
      <c r="P1796" s="5189"/>
      <c r="Q1796" s="5190"/>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108"/>
      <c r="E1797" s="2507" t="s">
        <v>7979</v>
      </c>
      <c r="F1797" s="1740"/>
      <c r="G1797" s="1740">
        <v>20</v>
      </c>
      <c r="H1797" s="1741">
        <v>1</v>
      </c>
      <c r="I1797" s="1741">
        <v>5</v>
      </c>
      <c r="J1797" s="1741">
        <f>COUNTIF(Elan!$C$13:$F$25,Tablas!E1797)+COUNTIF(Elan!$U$13:$X$25,Tablas!E1797)</f>
        <v>0</v>
      </c>
      <c r="K1797" s="1740">
        <f>F$1795*J1797</f>
        <v>0</v>
      </c>
      <c r="L1797" s="5189" t="s">
        <v>8264</v>
      </c>
      <c r="M1797" s="5189"/>
      <c r="N1797" s="5189"/>
      <c r="O1797" s="5189"/>
      <c r="P1797" s="5189"/>
      <c r="Q1797" s="5190"/>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108"/>
      <c r="E1798" s="2507" t="s">
        <v>7980</v>
      </c>
      <c r="F1798" s="1740"/>
      <c r="G1798" s="1740">
        <v>30</v>
      </c>
      <c r="H1798" s="1741">
        <v>1</v>
      </c>
      <c r="I1798" s="1741">
        <v>5</v>
      </c>
      <c r="J1798" s="1741">
        <f>COUNTIF(Elan!$C$13:$F$25,Tablas!E1798)+COUNTIF(Elan!$U$13:$X$25,Tablas!E1798)</f>
        <v>0</v>
      </c>
      <c r="K1798" s="1740"/>
      <c r="L1798" s="5189" t="s">
        <v>8268</v>
      </c>
      <c r="M1798" s="5189"/>
      <c r="N1798" s="5189"/>
      <c r="O1798" s="5189"/>
      <c r="P1798" s="5189"/>
      <c r="Q1798" s="5190"/>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108"/>
      <c r="E1799" s="2507" t="s">
        <v>7981</v>
      </c>
      <c r="F1799" s="1740"/>
      <c r="G1799" s="1740">
        <v>40</v>
      </c>
      <c r="H1799" s="1741">
        <v>1</v>
      </c>
      <c r="I1799" s="1741">
        <v>10</v>
      </c>
      <c r="J1799" s="1741">
        <f>COUNTIF(Elan!$C$13:$F$25,Tablas!E1799)+COUNTIF(Elan!$U$13:$X$25,Tablas!E1799)</f>
        <v>0</v>
      </c>
      <c r="K1799" s="1740"/>
      <c r="L1799" s="5189" t="s">
        <v>8271</v>
      </c>
      <c r="M1799" s="5189"/>
      <c r="N1799" s="5189"/>
      <c r="O1799" s="5189"/>
      <c r="P1799" s="5189"/>
      <c r="Q1799" s="5190"/>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108"/>
      <c r="E1800" s="2507" t="s">
        <v>7982</v>
      </c>
      <c r="F1800" s="1740"/>
      <c r="G1800" s="1740">
        <v>50</v>
      </c>
      <c r="H1800" s="1741">
        <v>1</v>
      </c>
      <c r="I1800" s="1741">
        <v>15</v>
      </c>
      <c r="J1800" s="1741">
        <f>COUNTIF(Elan!$C$13:$F$25,Tablas!E1800)+COUNTIF(Elan!$U$13:$X$25,Tablas!E1800)</f>
        <v>0</v>
      </c>
      <c r="K1800" s="1740"/>
      <c r="L1800" s="5189" t="s">
        <v>8273</v>
      </c>
      <c r="M1800" s="5189"/>
      <c r="N1800" s="5189"/>
      <c r="O1800" s="5189"/>
      <c r="P1800" s="5189"/>
      <c r="Q1800" s="5190"/>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108"/>
      <c r="E1801" s="2507" t="s">
        <v>7983</v>
      </c>
      <c r="F1801" s="1740"/>
      <c r="G1801" s="1740">
        <v>60</v>
      </c>
      <c r="H1801" s="1741">
        <v>1</v>
      </c>
      <c r="I1801" s="1741">
        <v>10</v>
      </c>
      <c r="J1801" s="1741">
        <f>COUNTIF(Elan!$C$13:$F$25,Tablas!E1801)+COUNTIF(Elan!$U$13:$X$25,Tablas!E1801)</f>
        <v>0</v>
      </c>
      <c r="K1801" s="1740"/>
      <c r="L1801" s="5189" t="s">
        <v>8275</v>
      </c>
      <c r="M1801" s="5189"/>
      <c r="N1801" s="5189"/>
      <c r="O1801" s="5189"/>
      <c r="P1801" s="5189"/>
      <c r="Q1801" s="5190"/>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108"/>
      <c r="E1802" s="2507" t="s">
        <v>7984</v>
      </c>
      <c r="F1802" s="1740"/>
      <c r="G1802" s="1740">
        <v>60</v>
      </c>
      <c r="H1802" s="1741">
        <v>1</v>
      </c>
      <c r="I1802" s="1741">
        <v>10</v>
      </c>
      <c r="J1802" s="1741">
        <f>COUNTIF(Elan!$C$13:$F$25,Tablas!E1802)+COUNTIF(Elan!$U$13:$X$25,Tablas!E1802)</f>
        <v>0</v>
      </c>
      <c r="K1802" s="1740"/>
      <c r="L1802" s="5189" t="s">
        <v>8277</v>
      </c>
      <c r="M1802" s="5189"/>
      <c r="N1802" s="5189"/>
      <c r="O1802" s="5189"/>
      <c r="P1802" s="5189"/>
      <c r="Q1802" s="5190"/>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108"/>
      <c r="E1803" s="2507" t="s">
        <v>7985</v>
      </c>
      <c r="F1803" s="1740"/>
      <c r="G1803" s="1740">
        <v>70</v>
      </c>
      <c r="H1803" s="1741">
        <v>1</v>
      </c>
      <c r="I1803" s="1741">
        <v>20</v>
      </c>
      <c r="J1803" s="1741">
        <f>COUNTIF(Elan!$C$13:$F$25,Tablas!E1803)+COUNTIF(Elan!$U$13:$X$25,Tablas!E1803)</f>
        <v>0</v>
      </c>
      <c r="K1803" s="1740"/>
      <c r="L1803" s="5189" t="s">
        <v>8278</v>
      </c>
      <c r="M1803" s="5189"/>
      <c r="N1803" s="5189"/>
      <c r="O1803" s="5189"/>
      <c r="P1803" s="5189"/>
      <c r="Q1803" s="5190"/>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108"/>
      <c r="E1804" s="2507" t="s">
        <v>7986</v>
      </c>
      <c r="F1804" s="1740"/>
      <c r="G1804" s="1740">
        <v>80</v>
      </c>
      <c r="H1804" s="1741">
        <v>1</v>
      </c>
      <c r="I1804" s="1741">
        <v>15</v>
      </c>
      <c r="J1804" s="1741">
        <f>COUNTIF(Elan!$C$13:$F$25,Tablas!E1804)+COUNTIF(Elan!$U$13:$X$25,Tablas!E1804)</f>
        <v>0</v>
      </c>
      <c r="K1804" s="1740"/>
      <c r="L1804" s="5189" t="s">
        <v>8279</v>
      </c>
      <c r="M1804" s="5189"/>
      <c r="N1804" s="5189"/>
      <c r="O1804" s="5189"/>
      <c r="P1804" s="5189"/>
      <c r="Q1804" s="5190"/>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108"/>
      <c r="E1805" s="2507" t="s">
        <v>7987</v>
      </c>
      <c r="F1805" s="1740"/>
      <c r="G1805" s="1740">
        <v>90</v>
      </c>
      <c r="H1805" s="1741">
        <f>IF(J1803,1,0)</f>
        <v>0</v>
      </c>
      <c r="I1805" s="1741">
        <v>10</v>
      </c>
      <c r="J1805" s="1741">
        <f>COUNTIF(Elan!$C$13:$F$25,Tablas!E1805)+COUNTIF(Elan!$U$13:$X$25,Tablas!E1805)</f>
        <v>0</v>
      </c>
      <c r="K1805" s="1740"/>
      <c r="L1805" s="5189" t="s">
        <v>8280</v>
      </c>
      <c r="M1805" s="5189"/>
      <c r="N1805" s="5189"/>
      <c r="O1805" s="5189"/>
      <c r="P1805" s="5189"/>
      <c r="Q1805" s="5190"/>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108"/>
      <c r="E1806" s="2507" t="s">
        <v>7988</v>
      </c>
      <c r="F1806" s="1740"/>
      <c r="G1806" s="1740">
        <v>100</v>
      </c>
      <c r="H1806" s="1741">
        <v>1</v>
      </c>
      <c r="I1806" s="1741">
        <v>10</v>
      </c>
      <c r="J1806" s="1741">
        <f>COUNTIF(Elan!$C$13:$F$25,Tablas!E1806)+COUNTIF(Elan!$U$13:$X$25,Tablas!E1806)</f>
        <v>0</v>
      </c>
      <c r="K1806" s="1740"/>
      <c r="L1806" s="5189" t="s">
        <v>8281</v>
      </c>
      <c r="M1806" s="5189"/>
      <c r="N1806" s="5189"/>
      <c r="O1806" s="5189"/>
      <c r="P1806" s="5189"/>
      <c r="Q1806" s="5190"/>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108"/>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108"/>
      <c r="E1808" s="2507" t="s">
        <v>7989</v>
      </c>
      <c r="F1808" s="1740"/>
      <c r="G1808" s="1740">
        <v>10</v>
      </c>
      <c r="H1808" s="1741">
        <v>1</v>
      </c>
      <c r="I1808" s="1741">
        <v>5</v>
      </c>
      <c r="J1808" s="1741">
        <f>COUNTIF(Elan!$C$13:$F$25,Tablas!E1808)+COUNTIF(Elan!$U$13:$X$25,Tablas!E1808)</f>
        <v>0</v>
      </c>
      <c r="K1808" s="1740">
        <f>F$1807*J1808</f>
        <v>0</v>
      </c>
      <c r="L1808" s="5189" t="s">
        <v>8282</v>
      </c>
      <c r="M1808" s="5189"/>
      <c r="N1808" s="5189"/>
      <c r="O1808" s="5189"/>
      <c r="P1808" s="5189"/>
      <c r="Q1808" s="5190"/>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108"/>
      <c r="E1809" s="2507" t="s">
        <v>7990</v>
      </c>
      <c r="F1809" s="1740"/>
      <c r="G1809" s="1740">
        <v>20</v>
      </c>
      <c r="H1809" s="1741">
        <v>1</v>
      </c>
      <c r="I1809" s="1741">
        <v>5</v>
      </c>
      <c r="J1809" s="1741">
        <f>COUNTIF(Elan!$C$13:$F$25,Tablas!E1809)+COUNTIF(Elan!$U$13:$X$25,Tablas!E1809)</f>
        <v>0</v>
      </c>
      <c r="K1809" s="1740">
        <f>F$1807*J1809</f>
        <v>0</v>
      </c>
      <c r="L1809" s="5189" t="s">
        <v>8286</v>
      </c>
      <c r="M1809" s="5189"/>
      <c r="N1809" s="5189"/>
      <c r="O1809" s="5189"/>
      <c r="P1809" s="5189"/>
      <c r="Q1809" s="5190"/>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108"/>
      <c r="E1810" s="2507" t="s">
        <v>7991</v>
      </c>
      <c r="F1810" s="1740"/>
      <c r="G1810" s="1740">
        <v>30</v>
      </c>
      <c r="H1810" s="1741">
        <v>1</v>
      </c>
      <c r="I1810" s="1741">
        <v>10</v>
      </c>
      <c r="J1810" s="1741">
        <f>COUNTIF(Elan!$C$13:$F$25,Tablas!E1810)+COUNTIF(Elan!$U$13:$X$25,Tablas!E1810)</f>
        <v>0</v>
      </c>
      <c r="K1810" s="1740"/>
      <c r="L1810" s="5189" t="s">
        <v>8290</v>
      </c>
      <c r="M1810" s="5189"/>
      <c r="N1810" s="5189"/>
      <c r="O1810" s="5189"/>
      <c r="P1810" s="5189"/>
      <c r="Q1810" s="5190"/>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108"/>
      <c r="E1811" s="2507" t="s">
        <v>7992</v>
      </c>
      <c r="F1811" s="1740"/>
      <c r="G1811" s="1740">
        <v>40</v>
      </c>
      <c r="H1811" s="1741">
        <v>1</v>
      </c>
      <c r="I1811" s="1741">
        <v>10</v>
      </c>
      <c r="J1811" s="1741">
        <f>COUNTIF(Elan!$C$13:$F$25,Tablas!E1811)+COUNTIF(Elan!$U$13:$X$25,Tablas!E1811)</f>
        <v>0</v>
      </c>
      <c r="K1811" s="1740"/>
      <c r="L1811" s="5189" t="s">
        <v>8294</v>
      </c>
      <c r="M1811" s="5189"/>
      <c r="N1811" s="5189"/>
      <c r="O1811" s="5189"/>
      <c r="P1811" s="5189"/>
      <c r="Q1811" s="5190"/>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108"/>
      <c r="E1812" s="2507" t="s">
        <v>7993</v>
      </c>
      <c r="F1812" s="1740"/>
      <c r="G1812" s="1740">
        <v>50</v>
      </c>
      <c r="H1812" s="1741">
        <v>1</v>
      </c>
      <c r="I1812" s="1741">
        <v>5</v>
      </c>
      <c r="J1812" s="1741">
        <f>COUNTIF(Elan!$C$13:$F$25,Tablas!E1812)+COUNTIF(Elan!$U$13:$X$25,Tablas!E1812)</f>
        <v>0</v>
      </c>
      <c r="K1812" s="1740"/>
      <c r="L1812" s="5189" t="s">
        <v>8297</v>
      </c>
      <c r="M1812" s="5189"/>
      <c r="N1812" s="5189"/>
      <c r="O1812" s="5189"/>
      <c r="P1812" s="5189"/>
      <c r="Q1812" s="5190"/>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108"/>
      <c r="E1813" s="2507" t="s">
        <v>7994</v>
      </c>
      <c r="F1813" s="1740"/>
      <c r="G1813" s="1740">
        <v>60</v>
      </c>
      <c r="H1813" s="1741">
        <f>IF(J1812,1,0)</f>
        <v>0</v>
      </c>
      <c r="I1813" s="1741">
        <v>10</v>
      </c>
      <c r="J1813" s="1741">
        <f>COUNTIF(Elan!$C$13:$F$25,Tablas!E1813)+COUNTIF(Elan!$U$13:$X$25,Tablas!E1813)</f>
        <v>0</v>
      </c>
      <c r="K1813" s="1740"/>
      <c r="L1813" s="5189" t="s">
        <v>8299</v>
      </c>
      <c r="M1813" s="5189"/>
      <c r="N1813" s="5189"/>
      <c r="O1813" s="5189"/>
      <c r="P1813" s="5189"/>
      <c r="Q1813" s="5190"/>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108"/>
      <c r="E1814" s="2507" t="s">
        <v>196</v>
      </c>
      <c r="F1814" s="1740"/>
      <c r="G1814" s="1740">
        <v>60</v>
      </c>
      <c r="H1814" s="1741">
        <v>1</v>
      </c>
      <c r="I1814" s="1741">
        <v>15</v>
      </c>
      <c r="J1814" s="1741">
        <f>COUNTIF(Elan!$C$13:$F$25,Tablas!E1814)+COUNTIF(Elan!$U$13:$X$25,Tablas!E1814)</f>
        <v>0</v>
      </c>
      <c r="K1814" s="1740"/>
      <c r="L1814" s="5189" t="s">
        <v>8301</v>
      </c>
      <c r="M1814" s="5189"/>
      <c r="N1814" s="5189"/>
      <c r="O1814" s="5189"/>
      <c r="P1814" s="5189"/>
      <c r="Q1814" s="5190"/>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108"/>
      <c r="E1815" s="2507" t="s">
        <v>7995</v>
      </c>
      <c r="F1815" s="1740"/>
      <c r="G1815" s="1740">
        <v>70</v>
      </c>
      <c r="H1815" s="1741">
        <v>1</v>
      </c>
      <c r="I1815" s="1741">
        <v>15</v>
      </c>
      <c r="J1815" s="1741">
        <f>COUNTIF(Elan!$C$13:$F$25,Tablas!E1815)+COUNTIF(Elan!$U$13:$X$25,Tablas!E1815)</f>
        <v>0</v>
      </c>
      <c r="K1815" s="1740"/>
      <c r="L1815" s="5189" t="s">
        <v>8303</v>
      </c>
      <c r="M1815" s="5189"/>
      <c r="N1815" s="5189"/>
      <c r="O1815" s="5189"/>
      <c r="P1815" s="5189"/>
      <c r="Q1815" s="5190"/>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108"/>
      <c r="E1816" s="2507" t="s">
        <v>7996</v>
      </c>
      <c r="F1816" s="1740"/>
      <c r="G1816" s="1740">
        <v>70</v>
      </c>
      <c r="H1816" s="1741">
        <v>1</v>
      </c>
      <c r="I1816" s="1741">
        <v>20</v>
      </c>
      <c r="J1816" s="1741">
        <f>COUNTIF(Elan!$C$13:$F$25,Tablas!E1816)+COUNTIF(Elan!$U$13:$X$25,Tablas!E1816)</f>
        <v>0</v>
      </c>
      <c r="K1816" s="1740"/>
      <c r="L1816" s="5189" t="s">
        <v>8304</v>
      </c>
      <c r="M1816" s="5189"/>
      <c r="N1816" s="5189"/>
      <c r="O1816" s="5189"/>
      <c r="P1816" s="5189"/>
      <c r="Q1816" s="5190"/>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108"/>
      <c r="E1817" s="2507" t="s">
        <v>7997</v>
      </c>
      <c r="F1817" s="1740"/>
      <c r="G1817" s="1740">
        <v>80</v>
      </c>
      <c r="H1817" s="1741">
        <v>1</v>
      </c>
      <c r="I1817" s="1741">
        <v>10</v>
      </c>
      <c r="J1817" s="1741">
        <f>COUNTIF(Elan!$C$13:$F$25,Tablas!E1817)+COUNTIF(Elan!$U$13:$X$25,Tablas!E1817)</f>
        <v>0</v>
      </c>
      <c r="K1817" s="1740">
        <f>IF(J1817&gt;0,1,0)</f>
        <v>0</v>
      </c>
      <c r="L1817" s="5189" t="s">
        <v>8305</v>
      </c>
      <c r="M1817" s="5189"/>
      <c r="N1817" s="5189"/>
      <c r="O1817" s="5189"/>
      <c r="P1817" s="5189"/>
      <c r="Q1817" s="5190"/>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108"/>
      <c r="E1818" s="2507" t="s">
        <v>7998</v>
      </c>
      <c r="F1818" s="1740"/>
      <c r="G1818" s="1740">
        <v>90</v>
      </c>
      <c r="H1818" s="1741">
        <f>IF(J1813,1,0)</f>
        <v>0</v>
      </c>
      <c r="I1818" s="1741">
        <v>15</v>
      </c>
      <c r="J1818" s="1741">
        <f>COUNTIF(Elan!$C$13:$F$25,Tablas!E1818)+COUNTIF(Elan!$U$13:$X$25,Tablas!E1818)</f>
        <v>0</v>
      </c>
      <c r="K1818" s="1740"/>
      <c r="L1818" s="5189" t="s">
        <v>8306</v>
      </c>
      <c r="M1818" s="5189"/>
      <c r="N1818" s="5189"/>
      <c r="O1818" s="5189"/>
      <c r="P1818" s="5189"/>
      <c r="Q1818" s="5190"/>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108"/>
      <c r="E1819" s="2507" t="s">
        <v>7999</v>
      </c>
      <c r="F1819" s="1740"/>
      <c r="G1819" s="1740">
        <v>100</v>
      </c>
      <c r="H1819" s="1741">
        <v>1</v>
      </c>
      <c r="I1819" s="1741">
        <v>10</v>
      </c>
      <c r="J1819" s="1741">
        <f>COUNTIF(Elan!$C$13:$F$25,Tablas!E1819)+COUNTIF(Elan!$U$13:$X$25,Tablas!E1819)</f>
        <v>0</v>
      </c>
      <c r="K1819" s="1740"/>
      <c r="L1819" s="5189" t="s">
        <v>8307</v>
      </c>
      <c r="M1819" s="5189"/>
      <c r="N1819" s="5189"/>
      <c r="O1819" s="5189"/>
      <c r="P1819" s="5189"/>
      <c r="Q1819" s="5190"/>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108"/>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108"/>
      <c r="E1821" s="2507" t="s">
        <v>8000</v>
      </c>
      <c r="F1821" s="1740"/>
      <c r="G1821" s="1740">
        <v>10</v>
      </c>
      <c r="H1821" s="1741">
        <v>1</v>
      </c>
      <c r="I1821" s="1741">
        <v>10</v>
      </c>
      <c r="J1821" s="1741">
        <f>COUNTIF(Elan!$C$13:$F$25,Tablas!E1821)+COUNTIF(Elan!$U$13:$X$25,Tablas!E1821)</f>
        <v>0</v>
      </c>
      <c r="K1821" s="1740"/>
      <c r="L1821" s="5189" t="s">
        <v>8308</v>
      </c>
      <c r="M1821" s="5189"/>
      <c r="N1821" s="5189"/>
      <c r="O1821" s="5189"/>
      <c r="P1821" s="5189"/>
      <c r="Q1821" s="5190"/>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108"/>
      <c r="E1822" s="2507" t="s">
        <v>8001</v>
      </c>
      <c r="F1822" s="1740"/>
      <c r="G1822" s="1740">
        <v>20</v>
      </c>
      <c r="H1822" s="1741">
        <v>1</v>
      </c>
      <c r="I1822" s="1741">
        <v>5</v>
      </c>
      <c r="J1822" s="1741">
        <f>COUNTIF(Elan!$C$13:$F$25,Tablas!E1822)+COUNTIF(Elan!$U$13:$X$25,Tablas!E1822)</f>
        <v>0</v>
      </c>
      <c r="K1822" s="1740"/>
      <c r="L1822" s="5189" t="s">
        <v>8311</v>
      </c>
      <c r="M1822" s="5189"/>
      <c r="N1822" s="5189"/>
      <c r="O1822" s="5189"/>
      <c r="P1822" s="5189"/>
      <c r="Q1822" s="5190"/>
      <c r="R1822" s="2510">
        <f>IF(OR($J1822=0,$J1822="Aprendida"),0,SUM($J$1702:$J1822))</f>
        <v>0</v>
      </c>
      <c r="AB1822" s="363"/>
      <c r="AC1822" s="2577"/>
    </row>
    <row r="1823" spans="1:29" ht="12.75" customHeight="1" x14ac:dyDescent="0.2">
      <c r="A1823" s="1928">
        <v>1823</v>
      </c>
      <c r="B1823" s="5108"/>
      <c r="E1823" s="2507" t="s">
        <v>8002</v>
      </c>
      <c r="F1823" s="1740"/>
      <c r="G1823" s="1740">
        <v>30</v>
      </c>
      <c r="H1823" s="1741">
        <v>1</v>
      </c>
      <c r="I1823" s="1741">
        <v>10</v>
      </c>
      <c r="J1823" s="1741">
        <f>COUNTIF(Elan!$C$13:$F$25,Tablas!E1823)+COUNTIF(Elan!$U$13:$X$25,Tablas!E1823)</f>
        <v>0</v>
      </c>
      <c r="K1823" s="1740"/>
      <c r="L1823" s="5189" t="s">
        <v>8315</v>
      </c>
      <c r="M1823" s="5189"/>
      <c r="N1823" s="5189"/>
      <c r="O1823" s="5189"/>
      <c r="P1823" s="5189"/>
      <c r="Q1823" s="5190"/>
      <c r="R1823" s="2510">
        <f>IF(OR($J1823=0,$J1823="Aprendida"),0,SUM($J$1702:$J1823))</f>
        <v>0</v>
      </c>
      <c r="AB1823" s="363"/>
      <c r="AC1823" s="2577"/>
    </row>
    <row r="1824" spans="1:29" ht="12.75" customHeight="1" x14ac:dyDescent="0.2">
      <c r="A1824" s="1928">
        <v>1824</v>
      </c>
      <c r="B1824" s="5108"/>
      <c r="E1824" s="2507" t="s">
        <v>8003</v>
      </c>
      <c r="F1824" s="1740"/>
      <c r="G1824" s="1740">
        <v>40</v>
      </c>
      <c r="H1824" s="1741">
        <v>1</v>
      </c>
      <c r="I1824" s="1741">
        <v>5</v>
      </c>
      <c r="J1824" s="1741">
        <f>COUNTIF(Elan!$C$13:$F$25,Tablas!E1824)+COUNTIF(Elan!$U$13:$X$25,Tablas!E1824)</f>
        <v>0</v>
      </c>
      <c r="K1824" s="1740"/>
      <c r="L1824" s="5189" t="s">
        <v>8317</v>
      </c>
      <c r="M1824" s="5189"/>
      <c r="N1824" s="5189"/>
      <c r="O1824" s="5189"/>
      <c r="P1824" s="5189"/>
      <c r="Q1824" s="5190"/>
      <c r="R1824" s="2510">
        <f>IF(OR($J1824=0,$J1824="Aprendida"),0,SUM($J$1702:$J1824))</f>
        <v>0</v>
      </c>
      <c r="AB1824" s="363"/>
      <c r="AC1824" s="2577"/>
    </row>
    <row r="1825" spans="1:29" ht="12.75" customHeight="1" x14ac:dyDescent="0.2">
      <c r="A1825" s="1928">
        <v>1825</v>
      </c>
      <c r="B1825" s="5108"/>
      <c r="E1825" s="2507" t="s">
        <v>8004</v>
      </c>
      <c r="F1825" s="1740"/>
      <c r="G1825" s="1740">
        <v>50</v>
      </c>
      <c r="H1825" s="1741">
        <v>1</v>
      </c>
      <c r="I1825" s="1741">
        <v>15</v>
      </c>
      <c r="J1825" s="1741">
        <f>COUNTIF(Elan!$C$13:$F$25,Tablas!E1825)+COUNTIF(Elan!$U$13:$X$25,Tablas!E1825)</f>
        <v>0</v>
      </c>
      <c r="K1825" s="1740"/>
      <c r="L1825" s="5189" t="s">
        <v>8319</v>
      </c>
      <c r="M1825" s="5189"/>
      <c r="N1825" s="5189"/>
      <c r="O1825" s="5189"/>
      <c r="P1825" s="5189"/>
      <c r="Q1825" s="5190"/>
      <c r="R1825" s="2510">
        <f>IF(OR($J1825=0,$J1825="Aprendida"),0,SUM($J$1702:$J1825))</f>
        <v>0</v>
      </c>
      <c r="AB1825" s="363"/>
      <c r="AC1825" s="2577"/>
    </row>
    <row r="1826" spans="1:29" ht="12.75" customHeight="1" x14ac:dyDescent="0.2">
      <c r="A1826" s="1928">
        <v>1826</v>
      </c>
      <c r="B1826" s="5108"/>
      <c r="E1826" s="2507" t="s">
        <v>8005</v>
      </c>
      <c r="F1826" s="1740"/>
      <c r="G1826" s="1740">
        <v>60</v>
      </c>
      <c r="H1826" s="1741">
        <f>IF(J1824,1,0)</f>
        <v>0</v>
      </c>
      <c r="I1826" s="1741">
        <v>10</v>
      </c>
      <c r="J1826" s="1741">
        <f>COUNTIF(Elan!$C$13:$F$25,Tablas!E1826)+COUNTIF(Elan!$U$13:$X$25,Tablas!E1826)</f>
        <v>0</v>
      </c>
      <c r="K1826" s="1740"/>
      <c r="L1826" s="5189" t="s">
        <v>8321</v>
      </c>
      <c r="M1826" s="5189"/>
      <c r="N1826" s="5189"/>
      <c r="O1826" s="5189"/>
      <c r="P1826" s="5189"/>
      <c r="Q1826" s="5190"/>
      <c r="R1826" s="2510">
        <f>IF(OR($J1826=0,$J1826="Aprendida"),0,SUM($J$1702:$J1826))</f>
        <v>0</v>
      </c>
      <c r="AB1826" s="363"/>
      <c r="AC1826" s="2577"/>
    </row>
    <row r="1827" spans="1:29" ht="12.75" customHeight="1" x14ac:dyDescent="0.2">
      <c r="A1827" s="1928">
        <v>1827</v>
      </c>
      <c r="B1827" s="5108"/>
      <c r="E1827" s="2507" t="s">
        <v>8006</v>
      </c>
      <c r="F1827" s="1740"/>
      <c r="G1827" s="1740">
        <v>70</v>
      </c>
      <c r="H1827" s="1741">
        <v>1</v>
      </c>
      <c r="I1827" s="1741">
        <v>15</v>
      </c>
      <c r="J1827" s="1741">
        <f>COUNTIF(Elan!$C$13:$F$25,Tablas!E1827)+COUNTIF(Elan!$U$13:$X$25,Tablas!E1827)</f>
        <v>0</v>
      </c>
      <c r="K1827" s="1740"/>
      <c r="L1827" s="5189" t="s">
        <v>8322</v>
      </c>
      <c r="M1827" s="5189"/>
      <c r="N1827" s="5189"/>
      <c r="O1827" s="5189"/>
      <c r="P1827" s="5189"/>
      <c r="Q1827" s="5190"/>
      <c r="R1827" s="2510">
        <f>IF(OR($J1827=0,$J1827="Aprendida"),0,SUM($J$1702:$J1827))</f>
        <v>0</v>
      </c>
      <c r="AB1827" s="363"/>
      <c r="AC1827" s="2577"/>
    </row>
    <row r="1828" spans="1:29" ht="12.75" customHeight="1" x14ac:dyDescent="0.2">
      <c r="A1828" s="1928">
        <v>1828</v>
      </c>
      <c r="B1828" s="5108"/>
      <c r="E1828" s="2507" t="s">
        <v>8007</v>
      </c>
      <c r="F1828" s="1740"/>
      <c r="G1828" s="1740">
        <v>80</v>
      </c>
      <c r="H1828" s="1741">
        <f>IF(J1824,1,0)</f>
        <v>0</v>
      </c>
      <c r="I1828" s="1741">
        <v>10</v>
      </c>
      <c r="J1828" s="1741">
        <f>COUNTIF(Elan!$C$13:$F$25,Tablas!E1828)+COUNTIF(Elan!$U$13:$X$25,Tablas!E1828)</f>
        <v>0</v>
      </c>
      <c r="K1828" s="1740"/>
      <c r="L1828" s="5189" t="s">
        <v>8323</v>
      </c>
      <c r="M1828" s="5189"/>
      <c r="N1828" s="5189"/>
      <c r="O1828" s="5189"/>
      <c r="P1828" s="5189"/>
      <c r="Q1828" s="5190"/>
      <c r="R1828" s="2510">
        <f>IF(OR($J1828=0,$J1828="Aprendida"),0,SUM($J$1702:$J1828))</f>
        <v>0</v>
      </c>
      <c r="AB1828" s="363"/>
      <c r="AC1828" s="2577"/>
    </row>
    <row r="1829" spans="1:29" ht="12.75" customHeight="1" x14ac:dyDescent="0.2">
      <c r="A1829" s="1928">
        <v>1829</v>
      </c>
      <c r="B1829" s="5108"/>
      <c r="E1829" s="2507" t="s">
        <v>8008</v>
      </c>
      <c r="F1829" s="1740"/>
      <c r="G1829" s="1740">
        <v>80</v>
      </c>
      <c r="H1829" s="1741">
        <v>1</v>
      </c>
      <c r="I1829" s="1741">
        <v>15</v>
      </c>
      <c r="J1829" s="1741">
        <f>COUNTIF(Elan!$C$13:$F$25,Tablas!E1829)+COUNTIF(Elan!$U$13:$X$25,Tablas!E1829)</f>
        <v>0</v>
      </c>
      <c r="K1829" s="1740"/>
      <c r="L1829" s="5189" t="s">
        <v>8324</v>
      </c>
      <c r="M1829" s="5189"/>
      <c r="N1829" s="5189"/>
      <c r="O1829" s="5189"/>
      <c r="P1829" s="5189"/>
      <c r="Q1829" s="5190"/>
      <c r="R1829" s="2510">
        <f>IF(OR($J1829=0,$J1829="Aprendida"),0,SUM($J$1702:$J1829))</f>
        <v>0</v>
      </c>
      <c r="AB1829" s="363"/>
      <c r="AC1829" s="2577"/>
    </row>
    <row r="1830" spans="1:29" ht="12.75" customHeight="1" x14ac:dyDescent="0.2">
      <c r="A1830" s="1928">
        <v>1830</v>
      </c>
      <c r="B1830" s="5108"/>
      <c r="E1830" s="2507" t="s">
        <v>8009</v>
      </c>
      <c r="F1830" s="1740"/>
      <c r="G1830" s="1740">
        <v>90</v>
      </c>
      <c r="H1830" s="1741">
        <v>1</v>
      </c>
      <c r="I1830" s="1741">
        <v>15</v>
      </c>
      <c r="J1830" s="1741">
        <f>COUNTIF(Elan!$C$13:$F$25,Tablas!E1830)+COUNTIF(Elan!$U$13:$X$25,Tablas!E1830)</f>
        <v>0</v>
      </c>
      <c r="K1830" s="1740"/>
      <c r="L1830" s="5189" t="s">
        <v>8325</v>
      </c>
      <c r="M1830" s="5189"/>
      <c r="N1830" s="5189"/>
      <c r="O1830" s="5189"/>
      <c r="P1830" s="5189"/>
      <c r="Q1830" s="5190"/>
      <c r="R1830" s="2510">
        <f>IF(OR($J1830=0,$J1830="Aprendida"),0,SUM($J$1702:$J1830))</f>
        <v>0</v>
      </c>
      <c r="AB1830" s="363"/>
      <c r="AC1830" s="2577"/>
    </row>
    <row r="1831" spans="1:29" ht="12.75" customHeight="1" x14ac:dyDescent="0.2">
      <c r="A1831" s="1928">
        <v>1831</v>
      </c>
      <c r="B1831" s="5108"/>
      <c r="E1831" s="2507" t="s">
        <v>8010</v>
      </c>
      <c r="F1831" s="1740"/>
      <c r="G1831" s="1740">
        <v>100</v>
      </c>
      <c r="H1831" s="1741">
        <v>1</v>
      </c>
      <c r="I1831" s="1741">
        <v>10</v>
      </c>
      <c r="J1831" s="1741">
        <f>COUNTIF(Elan!$C$13:$F$25,Tablas!E1831)+COUNTIF(Elan!$U$13:$X$25,Tablas!E1831)</f>
        <v>0</v>
      </c>
      <c r="K1831" s="1740"/>
      <c r="L1831" s="5189" t="s">
        <v>8326</v>
      </c>
      <c r="M1831" s="5189"/>
      <c r="N1831" s="5189"/>
      <c r="O1831" s="5189"/>
      <c r="P1831" s="5189"/>
      <c r="Q1831" s="5190"/>
      <c r="R1831" s="2510">
        <f>IF(OR($J1831=0,$J1831="Aprendida"),0,SUM($J$1702:$J1831))</f>
        <v>0</v>
      </c>
      <c r="AB1831" s="363"/>
      <c r="AC1831" s="2577"/>
    </row>
    <row r="1832" spans="1:29" ht="12.75" customHeight="1" x14ac:dyDescent="0.2">
      <c r="A1832" s="1928">
        <v>1832</v>
      </c>
      <c r="B1832" s="5108"/>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108"/>
      <c r="E1833" s="2507" t="s">
        <v>8011</v>
      </c>
      <c r="F1833" s="1740"/>
      <c r="G1833" s="1740">
        <v>10</v>
      </c>
      <c r="H1833" s="1741">
        <v>1</v>
      </c>
      <c r="I1833" s="1741">
        <v>5</v>
      </c>
      <c r="J1833" s="1741">
        <f>COUNTIF(Elan!$C$13:$F$25,Tablas!E1833)+COUNTIF(Elan!$U$13:$X$25,Tablas!E1833)</f>
        <v>0</v>
      </c>
      <c r="K1833" s="1740">
        <f>F$1832*J1833</f>
        <v>0</v>
      </c>
      <c r="L1833" s="5189" t="s">
        <v>8327</v>
      </c>
      <c r="M1833" s="5189"/>
      <c r="N1833" s="5189"/>
      <c r="O1833" s="5189"/>
      <c r="P1833" s="5189"/>
      <c r="Q1833" s="5190"/>
      <c r="R1833" s="2510">
        <f>IF(OR($J1833=0,$J1833="Aprendida"),0,SUM($J$1702:$J1833))</f>
        <v>0</v>
      </c>
      <c r="AB1833" s="363"/>
      <c r="AC1833" s="2577"/>
    </row>
    <row r="1834" spans="1:29" ht="12.75" customHeight="1" x14ac:dyDescent="0.2">
      <c r="A1834" s="1928">
        <v>1834</v>
      </c>
      <c r="B1834" s="5108"/>
      <c r="E1834" s="2507" t="s">
        <v>8012</v>
      </c>
      <c r="F1834" s="1740"/>
      <c r="G1834" s="1740">
        <v>20</v>
      </c>
      <c r="H1834" s="1741">
        <v>1</v>
      </c>
      <c r="I1834" s="1741">
        <v>10</v>
      </c>
      <c r="J1834" s="1741">
        <f>COUNTIF(Elan!$C$13:$F$25,Tablas!E1834)+COUNTIF(Elan!$U$13:$X$25,Tablas!E1834)</f>
        <v>0</v>
      </c>
      <c r="K1834" s="1740"/>
      <c r="L1834" s="5189" t="s">
        <v>8331</v>
      </c>
      <c r="M1834" s="5189"/>
      <c r="N1834" s="5189"/>
      <c r="O1834" s="5189"/>
      <c r="P1834" s="5189"/>
      <c r="Q1834" s="5190"/>
      <c r="R1834" s="2510">
        <f>IF(OR($J1834=0,$J1834="Aprendida"),0,SUM($J$1702:$J1834))</f>
        <v>0</v>
      </c>
      <c r="AB1834" s="363"/>
      <c r="AC1834" s="2577"/>
    </row>
    <row r="1835" spans="1:29" ht="12.75" customHeight="1" x14ac:dyDescent="0.2">
      <c r="A1835" s="1928">
        <v>1835</v>
      </c>
      <c r="B1835" s="5108"/>
      <c r="E1835" s="2507" t="s">
        <v>8013</v>
      </c>
      <c r="F1835" s="1740"/>
      <c r="G1835" s="1740">
        <v>30</v>
      </c>
      <c r="H1835" s="1741">
        <v>1</v>
      </c>
      <c r="I1835" s="1741">
        <v>10</v>
      </c>
      <c r="J1835" s="1741">
        <f>COUNTIF(Elan!$C$13:$F$25,Tablas!E1835)+COUNTIF(Elan!$U$13:$X$25,Tablas!E1835)</f>
        <v>0</v>
      </c>
      <c r="K1835" s="1740">
        <f>F$1832*J1835</f>
        <v>0</v>
      </c>
      <c r="L1835" s="5189" t="s">
        <v>8335</v>
      </c>
      <c r="M1835" s="5189"/>
      <c r="N1835" s="5189"/>
      <c r="O1835" s="5189"/>
      <c r="P1835" s="5189"/>
      <c r="Q1835" s="5190"/>
      <c r="R1835" s="2510">
        <f>IF(OR($J1835=0,$J1835="Aprendida"),0,SUM($J$1702:$J1835))</f>
        <v>0</v>
      </c>
      <c r="AB1835" s="363"/>
      <c r="AC1835" s="2577"/>
    </row>
    <row r="1836" spans="1:29" ht="12.75" customHeight="1" x14ac:dyDescent="0.2">
      <c r="A1836" s="1928">
        <v>1836</v>
      </c>
      <c r="B1836" s="5108"/>
      <c r="E1836" s="2507" t="s">
        <v>8014</v>
      </c>
      <c r="F1836" s="1740"/>
      <c r="G1836" s="1740">
        <v>40</v>
      </c>
      <c r="H1836" s="1741">
        <v>1</v>
      </c>
      <c r="I1836" s="1741">
        <v>10</v>
      </c>
      <c r="J1836" s="1741">
        <f>COUNTIF(Elan!$C$13:$F$25,Tablas!E1836)+COUNTIF(Elan!$U$13:$X$25,Tablas!E1836)</f>
        <v>0</v>
      </c>
      <c r="K1836" s="1740"/>
      <c r="L1836" s="5189" t="s">
        <v>8339</v>
      </c>
      <c r="M1836" s="5189"/>
      <c r="N1836" s="5189"/>
      <c r="O1836" s="5189"/>
      <c r="P1836" s="5189"/>
      <c r="Q1836" s="5190"/>
      <c r="R1836" s="2510">
        <f>IF(OR($J1836=0,$J1836="Aprendida"),0,SUM($J$1702:$J1836))</f>
        <v>0</v>
      </c>
      <c r="AB1836" s="363"/>
      <c r="AC1836" s="2577"/>
    </row>
    <row r="1837" spans="1:29" ht="12.75" customHeight="1" x14ac:dyDescent="0.2">
      <c r="A1837" s="1928">
        <v>1837</v>
      </c>
      <c r="B1837" s="5108"/>
      <c r="E1837" s="2507" t="s">
        <v>8015</v>
      </c>
      <c r="F1837" s="1740"/>
      <c r="G1837" s="1740">
        <v>40</v>
      </c>
      <c r="H1837" s="1741">
        <v>1</v>
      </c>
      <c r="I1837" s="1741">
        <v>5</v>
      </c>
      <c r="J1837" s="1741">
        <f>COUNTIF(Elan!$C$13:$F$25,Tablas!E1837)+COUNTIF(Elan!$U$13:$X$25,Tablas!E1837)</f>
        <v>0</v>
      </c>
      <c r="K1837" s="1740"/>
      <c r="L1837" s="5189" t="s">
        <v>8342</v>
      </c>
      <c r="M1837" s="5189"/>
      <c r="N1837" s="5189"/>
      <c r="O1837" s="5189"/>
      <c r="P1837" s="5189"/>
      <c r="Q1837" s="5190"/>
      <c r="R1837" s="2510">
        <f>IF(OR($J1837=0,$J1837="Aprendida"),0,SUM($J$1702:$J1837))</f>
        <v>0</v>
      </c>
      <c r="AB1837" s="363"/>
      <c r="AC1837" s="2577"/>
    </row>
    <row r="1838" spans="1:29" ht="12.75" customHeight="1" x14ac:dyDescent="0.2">
      <c r="A1838" s="1928">
        <v>1838</v>
      </c>
      <c r="B1838" s="5108"/>
      <c r="D1838" s="2030"/>
      <c r="E1838" s="2507" t="s">
        <v>8016</v>
      </c>
      <c r="F1838" s="1740"/>
      <c r="G1838" s="1740">
        <v>50</v>
      </c>
      <c r="H1838" s="1741">
        <f>IF(J1839,1,0)</f>
        <v>0</v>
      </c>
      <c r="I1838" s="1741">
        <v>15</v>
      </c>
      <c r="J1838" s="1741">
        <f>COUNTIF(Elan!$C$13:$F$25,Tablas!E1838)+COUNTIF(Elan!$U$13:$X$25,Tablas!E1838)</f>
        <v>0</v>
      </c>
      <c r="K1838" s="1740"/>
      <c r="L1838" s="5189" t="s">
        <v>8344</v>
      </c>
      <c r="M1838" s="5189"/>
      <c r="N1838" s="5189"/>
      <c r="O1838" s="5189"/>
      <c r="P1838" s="5189"/>
      <c r="Q1838" s="5190"/>
      <c r="R1838" s="2510">
        <f>IF(OR($J1838=0,$J1838="Aprendida"),0,SUM($J$1702:$J1838))</f>
        <v>0</v>
      </c>
      <c r="AB1838" s="363"/>
      <c r="AC1838" s="2577"/>
    </row>
    <row r="1839" spans="1:29" ht="12.75" customHeight="1" x14ac:dyDescent="0.2">
      <c r="A1839" s="1928">
        <v>1839</v>
      </c>
      <c r="B1839" s="5108"/>
      <c r="E1839" s="2507" t="s">
        <v>8017</v>
      </c>
      <c r="F1839" s="1740"/>
      <c r="G1839" s="1740">
        <v>50</v>
      </c>
      <c r="H1839" s="1741">
        <v>1</v>
      </c>
      <c r="I1839" s="1741">
        <v>5</v>
      </c>
      <c r="J1839" s="1741">
        <f>COUNTIF(Elan!$C$13:$F$25,Tablas!E1839)+COUNTIF(Elan!$U$13:$X$25,Tablas!E1839)</f>
        <v>0</v>
      </c>
      <c r="K1839" s="1740"/>
      <c r="L1839" s="5189" t="s">
        <v>8346</v>
      </c>
      <c r="M1839" s="5189"/>
      <c r="N1839" s="5189"/>
      <c r="O1839" s="5189"/>
      <c r="P1839" s="5189"/>
      <c r="Q1839" s="5190"/>
      <c r="R1839" s="2510">
        <f>IF(OR($J1839=0,$J1839="Aprendida"),0,SUM($J$1702:$J1839))</f>
        <v>0</v>
      </c>
      <c r="AB1839" s="363"/>
      <c r="AC1839" s="2577"/>
    </row>
    <row r="1840" spans="1:29" ht="12.75" customHeight="1" x14ac:dyDescent="0.2">
      <c r="A1840" s="1928">
        <v>1840</v>
      </c>
      <c r="B1840" s="5108"/>
      <c r="E1840" s="2507" t="s">
        <v>8018</v>
      </c>
      <c r="F1840" s="1740"/>
      <c r="G1840" s="1740">
        <v>60</v>
      </c>
      <c r="H1840" s="1741">
        <v>1</v>
      </c>
      <c r="I1840" s="1741">
        <v>10</v>
      </c>
      <c r="J1840" s="1741">
        <f>COUNTIF(Elan!$C$13:$F$25,Tablas!E1840)+COUNTIF(Elan!$U$13:$X$25,Tablas!E1840)</f>
        <v>0</v>
      </c>
      <c r="K1840" s="1740"/>
      <c r="L1840" s="5189" t="s">
        <v>8347</v>
      </c>
      <c r="M1840" s="5189"/>
      <c r="N1840" s="5189"/>
      <c r="O1840" s="5189"/>
      <c r="P1840" s="5189"/>
      <c r="Q1840" s="5190"/>
      <c r="R1840" s="2510">
        <f>IF(OR($J1840=0,$J1840="Aprendida"),0,SUM($J$1702:$J1840))</f>
        <v>0</v>
      </c>
      <c r="AB1840" s="363"/>
      <c r="AC1840" s="2577"/>
    </row>
    <row r="1841" spans="1:29" ht="12.75" customHeight="1" x14ac:dyDescent="0.2">
      <c r="A1841" s="1928">
        <v>1841</v>
      </c>
      <c r="B1841" s="5108"/>
      <c r="E1841" s="2507" t="s">
        <v>8019</v>
      </c>
      <c r="F1841" s="1740"/>
      <c r="G1841" s="1740">
        <v>70</v>
      </c>
      <c r="H1841" s="1741">
        <v>1</v>
      </c>
      <c r="I1841" s="1741">
        <v>20</v>
      </c>
      <c r="J1841" s="1741">
        <f>COUNTIF(Elan!$C$13:$F$25,Tablas!E1841)+COUNTIF(Elan!$U$13:$X$25,Tablas!E1841)</f>
        <v>0</v>
      </c>
      <c r="K1841" s="1740"/>
      <c r="L1841" s="5189" t="s">
        <v>8348</v>
      </c>
      <c r="M1841" s="5189"/>
      <c r="N1841" s="5189"/>
      <c r="O1841" s="5189"/>
      <c r="P1841" s="5189"/>
      <c r="Q1841" s="5190"/>
      <c r="R1841" s="2510">
        <f>IF(OR($J1841=0,$J1841="Aprendida"),0,SUM($J$1702:$J1841))</f>
        <v>0</v>
      </c>
      <c r="AB1841" s="363"/>
      <c r="AC1841" s="2577"/>
    </row>
    <row r="1842" spans="1:29" ht="12.75" customHeight="1" x14ac:dyDescent="0.2">
      <c r="A1842" s="1928">
        <v>1842</v>
      </c>
      <c r="B1842" s="5108"/>
      <c r="E1842" s="2507" t="s">
        <v>8020</v>
      </c>
      <c r="F1842" s="1740"/>
      <c r="G1842" s="1740">
        <v>70</v>
      </c>
      <c r="H1842" s="1741">
        <v>1</v>
      </c>
      <c r="I1842" s="1741">
        <v>10</v>
      </c>
      <c r="J1842" s="1741">
        <f>COUNTIF(Elan!$C$13:$F$25,Tablas!E1842)+COUNTIF(Elan!$U$13:$X$25,Tablas!E1842)</f>
        <v>0</v>
      </c>
      <c r="K1842" s="1740"/>
      <c r="L1842" s="5189" t="s">
        <v>8349</v>
      </c>
      <c r="M1842" s="5189"/>
      <c r="N1842" s="5189"/>
      <c r="O1842" s="5189"/>
      <c r="P1842" s="5189"/>
      <c r="Q1842" s="5190"/>
      <c r="R1842" s="2510">
        <f>IF(OR($J1842=0,$J1842="Aprendida"),0,SUM($J$1702:$J1842))</f>
        <v>0</v>
      </c>
      <c r="AB1842" s="363"/>
      <c r="AC1842" s="2577"/>
    </row>
    <row r="1843" spans="1:29" ht="12.75" customHeight="1" x14ac:dyDescent="0.2">
      <c r="A1843" s="1928">
        <v>1843</v>
      </c>
      <c r="B1843" s="5108"/>
      <c r="E1843" s="2507" t="s">
        <v>8021</v>
      </c>
      <c r="F1843" s="1740"/>
      <c r="G1843" s="1740">
        <v>80</v>
      </c>
      <c r="H1843" s="1741">
        <f>IF(J1838,1,0)</f>
        <v>0</v>
      </c>
      <c r="I1843" s="1741">
        <v>20</v>
      </c>
      <c r="J1843" s="1741">
        <f>COUNTIF(Elan!$C$13:$F$25,Tablas!E1843)+COUNTIF(Elan!$U$13:$X$25,Tablas!E1843)</f>
        <v>0</v>
      </c>
      <c r="K1843" s="1740"/>
      <c r="L1843" s="5189" t="s">
        <v>8350</v>
      </c>
      <c r="M1843" s="5189"/>
      <c r="N1843" s="5189"/>
      <c r="O1843" s="5189"/>
      <c r="P1843" s="5189"/>
      <c r="Q1843" s="5190"/>
      <c r="R1843" s="2510">
        <f>IF(OR($J1843=0,$J1843="Aprendida"),0,SUM($J$1702:$J1843))</f>
        <v>0</v>
      </c>
      <c r="AB1843" s="363"/>
      <c r="AC1843" s="2577"/>
    </row>
    <row r="1844" spans="1:29" ht="12.75" customHeight="1" x14ac:dyDescent="0.2">
      <c r="A1844" s="1928">
        <v>1844</v>
      </c>
      <c r="B1844" s="5108"/>
      <c r="E1844" s="2507" t="s">
        <v>737</v>
      </c>
      <c r="F1844" s="1740"/>
      <c r="G1844" s="1740">
        <v>90</v>
      </c>
      <c r="H1844" s="1741">
        <f>IF(J1838,1,0)</f>
        <v>0</v>
      </c>
      <c r="I1844" s="1741">
        <v>10</v>
      </c>
      <c r="J1844" s="1741">
        <f>COUNTIF(Elan!$C$13:$F$25,Tablas!E1844)+COUNTIF(Elan!$U$13:$X$25,Tablas!E1844)</f>
        <v>0</v>
      </c>
      <c r="K1844" s="1740"/>
      <c r="L1844" s="5189" t="s">
        <v>8351</v>
      </c>
      <c r="M1844" s="5189"/>
      <c r="N1844" s="5189"/>
      <c r="O1844" s="5189"/>
      <c r="P1844" s="5189"/>
      <c r="Q1844" s="5190"/>
      <c r="R1844" s="2510">
        <f>IF(OR($J1844=0,$J1844="Aprendida"),0,SUM($J$1702:$J1844))</f>
        <v>0</v>
      </c>
      <c r="AB1844" s="363"/>
      <c r="AC1844" s="2577"/>
    </row>
    <row r="1845" spans="1:29" ht="12.75" customHeight="1" x14ac:dyDescent="0.2">
      <c r="A1845" s="1928">
        <v>1845</v>
      </c>
      <c r="B1845" s="5108"/>
      <c r="E1845" s="2507" t="s">
        <v>8022</v>
      </c>
      <c r="F1845" s="1740"/>
      <c r="G1845" s="1740">
        <v>100</v>
      </c>
      <c r="H1845" s="1741">
        <v>1</v>
      </c>
      <c r="I1845" s="1741">
        <v>10</v>
      </c>
      <c r="J1845" s="1741">
        <f>COUNTIF(Elan!$C$13:$F$25,Tablas!E1845)+COUNTIF(Elan!$U$13:$X$25,Tablas!E1845)</f>
        <v>0</v>
      </c>
      <c r="K1845" s="1740"/>
      <c r="L1845" s="5189" t="s">
        <v>8352</v>
      </c>
      <c r="M1845" s="5189"/>
      <c r="N1845" s="5189"/>
      <c r="O1845" s="5189"/>
      <c r="P1845" s="5189"/>
      <c r="Q1845" s="5190"/>
      <c r="R1845" s="2510">
        <f>IF(OR($J1845=0,$J1845="Aprendida"),0,SUM($J$1702:$J1845))</f>
        <v>0</v>
      </c>
      <c r="AB1845" s="363"/>
      <c r="AC1845" s="2577"/>
    </row>
    <row r="1846" spans="1:29" ht="12.75" customHeight="1" x14ac:dyDescent="0.2">
      <c r="A1846" s="1928">
        <v>1846</v>
      </c>
      <c r="B1846" s="5108"/>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108"/>
      <c r="E1847" s="2507" t="s">
        <v>8023</v>
      </c>
      <c r="F1847" s="1740"/>
      <c r="G1847" s="1740">
        <v>10</v>
      </c>
      <c r="H1847" s="1741">
        <v>1</v>
      </c>
      <c r="I1847" s="1741">
        <v>10</v>
      </c>
      <c r="J1847" s="1741">
        <f>COUNTIF(Elan!$C$13:$F$25,Tablas!E1847)+COUNTIF(Elan!$U$13:$X$25,Tablas!E1847)</f>
        <v>0</v>
      </c>
      <c r="K1847" s="1740"/>
      <c r="L1847" s="5189" t="s">
        <v>8353</v>
      </c>
      <c r="M1847" s="5189"/>
      <c r="N1847" s="5189"/>
      <c r="O1847" s="5189"/>
      <c r="P1847" s="5189"/>
      <c r="Q1847" s="5190"/>
      <c r="R1847" s="2510">
        <f>IF(OR($J1847=0,$J1847="Aprendida"),0,SUM($J$1702:$J1847))</f>
        <v>0</v>
      </c>
      <c r="AB1847" s="363"/>
      <c r="AC1847" s="2577"/>
    </row>
    <row r="1848" spans="1:29" ht="12.75" customHeight="1" x14ac:dyDescent="0.2">
      <c r="A1848" s="1928">
        <v>1848</v>
      </c>
      <c r="B1848" s="5108"/>
      <c r="E1848" s="2507" t="s">
        <v>8024</v>
      </c>
      <c r="F1848" s="1740"/>
      <c r="G1848" s="1740">
        <v>20</v>
      </c>
      <c r="H1848" s="1741">
        <v>1</v>
      </c>
      <c r="I1848" s="1741">
        <v>5</v>
      </c>
      <c r="J1848" s="1741">
        <f>COUNTIF(Elan!$C$13:$F$25,Tablas!E1848)+COUNTIF(Elan!$U$13:$X$25,Tablas!E1848)</f>
        <v>0</v>
      </c>
      <c r="K1848" s="1740"/>
      <c r="L1848" s="5189" t="s">
        <v>8357</v>
      </c>
      <c r="M1848" s="5189"/>
      <c r="N1848" s="5189"/>
      <c r="O1848" s="5189"/>
      <c r="P1848" s="5189"/>
      <c r="Q1848" s="5190"/>
      <c r="R1848" s="2510">
        <f>IF(OR($J1848=0,$J1848="Aprendida"),0,SUM($J$1702:$J1848))</f>
        <v>0</v>
      </c>
      <c r="AB1848" s="363"/>
      <c r="AC1848" s="2577"/>
    </row>
    <row r="1849" spans="1:29" ht="12.75" customHeight="1" x14ac:dyDescent="0.2">
      <c r="A1849" s="1928">
        <v>1849</v>
      </c>
      <c r="B1849" s="5108"/>
      <c r="E1849" s="2507" t="s">
        <v>8025</v>
      </c>
      <c r="F1849" s="1740"/>
      <c r="G1849" s="1740">
        <v>30</v>
      </c>
      <c r="H1849" s="1741">
        <v>1</v>
      </c>
      <c r="I1849" s="1741">
        <v>5</v>
      </c>
      <c r="J1849" s="1741">
        <f>COUNTIF(Elan!$C$13:$F$25,Tablas!E1849)+COUNTIF(Elan!$U$13:$X$25,Tablas!E1849)</f>
        <v>0</v>
      </c>
      <c r="K1849" s="1740"/>
      <c r="L1849" s="5189" t="s">
        <v>8361</v>
      </c>
      <c r="M1849" s="5189"/>
      <c r="N1849" s="5189"/>
      <c r="O1849" s="5189"/>
      <c r="P1849" s="5189"/>
      <c r="Q1849" s="5190"/>
      <c r="R1849" s="2510">
        <f>IF(OR($J1849=0,$J1849="Aprendida"),0,SUM($J$1702:$J1849))</f>
        <v>0</v>
      </c>
      <c r="AB1849" s="363"/>
      <c r="AC1849" s="2577"/>
    </row>
    <row r="1850" spans="1:29" ht="12.75" customHeight="1" x14ac:dyDescent="0.2">
      <c r="A1850" s="1928">
        <v>1850</v>
      </c>
      <c r="B1850" s="5108"/>
      <c r="E1850" s="2507" t="s">
        <v>8026</v>
      </c>
      <c r="F1850" s="1740"/>
      <c r="G1850" s="1740">
        <v>40</v>
      </c>
      <c r="H1850" s="1741">
        <v>1</v>
      </c>
      <c r="I1850" s="1741">
        <v>10</v>
      </c>
      <c r="J1850" s="1741">
        <f>COUNTIF(Elan!$C$13:$F$25,Tablas!E1850)+COUNTIF(Elan!$U$13:$X$25,Tablas!E1850)</f>
        <v>0</v>
      </c>
      <c r="K1850" s="1740"/>
      <c r="L1850" s="5189" t="s">
        <v>8365</v>
      </c>
      <c r="M1850" s="5189"/>
      <c r="N1850" s="5189"/>
      <c r="O1850" s="5189"/>
      <c r="P1850" s="5189"/>
      <c r="Q1850" s="5190"/>
      <c r="R1850" s="2510">
        <f>IF(OR($J1850=0,$J1850="Aprendida"),0,SUM($J$1702:$J1850))</f>
        <v>0</v>
      </c>
      <c r="AB1850" s="363"/>
      <c r="AC1850" s="2577"/>
    </row>
    <row r="1851" spans="1:29" ht="12.75" customHeight="1" x14ac:dyDescent="0.2">
      <c r="A1851" s="1928">
        <v>1851</v>
      </c>
      <c r="B1851" s="5108"/>
      <c r="E1851" s="2507" t="s">
        <v>8027</v>
      </c>
      <c r="F1851" s="1740"/>
      <c r="G1851" s="1740">
        <v>50</v>
      </c>
      <c r="H1851" s="1741">
        <v>1</v>
      </c>
      <c r="I1851" s="1741">
        <v>10</v>
      </c>
      <c r="J1851" s="1741">
        <f>COUNTIF(Elan!$C$13:$F$25,Tablas!E1851)+COUNTIF(Elan!$U$13:$X$25,Tablas!E1851)</f>
        <v>0</v>
      </c>
      <c r="K1851" s="1740"/>
      <c r="L1851" s="5189" t="s">
        <v>8367</v>
      </c>
      <c r="M1851" s="5189"/>
      <c r="N1851" s="5189"/>
      <c r="O1851" s="5189"/>
      <c r="P1851" s="5189"/>
      <c r="Q1851" s="5190"/>
      <c r="R1851" s="2510">
        <f>IF(OR($J1851=0,$J1851="Aprendida"),0,SUM($J$1702:$J1851))</f>
        <v>0</v>
      </c>
      <c r="AB1851" s="363"/>
      <c r="AC1851" s="2577"/>
    </row>
    <row r="1852" spans="1:29" ht="12.75" customHeight="1" x14ac:dyDescent="0.2">
      <c r="A1852" s="1928">
        <v>1852</v>
      </c>
      <c r="B1852" s="5108"/>
      <c r="E1852" s="2507" t="s">
        <v>8028</v>
      </c>
      <c r="F1852" s="1740"/>
      <c r="G1852" s="1740">
        <v>50</v>
      </c>
      <c r="H1852" s="1741">
        <v>1</v>
      </c>
      <c r="I1852" s="1741">
        <v>15</v>
      </c>
      <c r="J1852" s="1741">
        <f>COUNTIF(Elan!$C$13:$F$25,Tablas!E1852)+COUNTIF(Elan!$U$13:$X$25,Tablas!E1852)</f>
        <v>0</v>
      </c>
      <c r="K1852" s="1740"/>
      <c r="L1852" s="5189" t="s">
        <v>8369</v>
      </c>
      <c r="M1852" s="5189"/>
      <c r="N1852" s="5189"/>
      <c r="O1852" s="5189"/>
      <c r="P1852" s="5189"/>
      <c r="Q1852" s="5190"/>
      <c r="R1852" s="2510">
        <f>IF(OR($J1852=0,$J1852="Aprendida"),0,SUM($J$1702:$J1852))</f>
        <v>0</v>
      </c>
      <c r="AB1852" s="363"/>
      <c r="AC1852" s="2577"/>
    </row>
    <row r="1853" spans="1:29" ht="12.75" customHeight="1" x14ac:dyDescent="0.2">
      <c r="A1853" s="1928">
        <v>1853</v>
      </c>
      <c r="B1853" s="5108"/>
      <c r="E1853" s="2507" t="s">
        <v>762</v>
      </c>
      <c r="F1853" s="1740"/>
      <c r="G1853" s="1740">
        <v>60</v>
      </c>
      <c r="H1853" s="1741">
        <v>1</v>
      </c>
      <c r="I1853" s="1741">
        <v>10</v>
      </c>
      <c r="J1853" s="1741">
        <f>COUNTIF(Elan!$C$13:$F$25,Tablas!E1853)+COUNTIF(Elan!$U$13:$X$25,Tablas!E1853)</f>
        <v>0</v>
      </c>
      <c r="K1853" s="1740"/>
      <c r="L1853" s="5189" t="s">
        <v>8370</v>
      </c>
      <c r="M1853" s="5189"/>
      <c r="N1853" s="5189"/>
      <c r="O1853" s="5189"/>
      <c r="P1853" s="5189"/>
      <c r="Q1853" s="5190"/>
      <c r="R1853" s="2510">
        <f>IF(OR($J1853=0,$J1853="Aprendida"),0,SUM($J$1702:$J1853))</f>
        <v>0</v>
      </c>
      <c r="AB1853" s="363"/>
      <c r="AC1853" s="2577"/>
    </row>
    <row r="1854" spans="1:29" ht="12.75" customHeight="1" x14ac:dyDescent="0.2">
      <c r="A1854" s="1928">
        <v>1854</v>
      </c>
      <c r="B1854" s="5108"/>
      <c r="E1854" s="2507" t="s">
        <v>8029</v>
      </c>
      <c r="F1854" s="1740"/>
      <c r="G1854" s="1740">
        <v>70</v>
      </c>
      <c r="H1854" s="1741">
        <f>IF(J1851,1,0)</f>
        <v>0</v>
      </c>
      <c r="I1854" s="1741">
        <v>15</v>
      </c>
      <c r="J1854" s="1741">
        <f>COUNTIF(Elan!$C$13:$F$25,Tablas!E1854)+COUNTIF(Elan!$U$13:$X$25,Tablas!E1854)</f>
        <v>0</v>
      </c>
      <c r="K1854" s="1740"/>
      <c r="L1854" s="5189" t="s">
        <v>8371</v>
      </c>
      <c r="M1854" s="5189"/>
      <c r="N1854" s="5189"/>
      <c r="O1854" s="5189"/>
      <c r="P1854" s="5189"/>
      <c r="Q1854" s="5190"/>
      <c r="R1854" s="2510">
        <f>IF(OR($J1854=0,$J1854="Aprendida"),0,SUM($J$1702:$J1854))</f>
        <v>0</v>
      </c>
      <c r="AB1854" s="363"/>
      <c r="AC1854" s="2577"/>
    </row>
    <row r="1855" spans="1:29" ht="12.75" customHeight="1" x14ac:dyDescent="0.2">
      <c r="A1855" s="1928">
        <v>1855</v>
      </c>
      <c r="B1855" s="5108"/>
      <c r="E1855" s="2507" t="s">
        <v>8030</v>
      </c>
      <c r="F1855" s="1740"/>
      <c r="G1855" s="1740">
        <v>80</v>
      </c>
      <c r="H1855" s="1741">
        <v>1</v>
      </c>
      <c r="I1855" s="1741">
        <v>15</v>
      </c>
      <c r="J1855" s="1741">
        <f>COUNTIF(Elan!$C$13:$F$25,Tablas!E1855)+COUNTIF(Elan!$U$13:$X$25,Tablas!E1855)</f>
        <v>0</v>
      </c>
      <c r="K1855" s="1740"/>
      <c r="L1855" s="5189" t="s">
        <v>8372</v>
      </c>
      <c r="M1855" s="5189"/>
      <c r="N1855" s="5189"/>
      <c r="O1855" s="5189"/>
      <c r="P1855" s="5189"/>
      <c r="Q1855" s="5190"/>
      <c r="R1855" s="2510">
        <f>IF(OR($J1855=0,$J1855="Aprendida"),0,SUM($J$1702:$J1855))</f>
        <v>0</v>
      </c>
      <c r="AB1855" s="363"/>
      <c r="AC1855" s="2577"/>
    </row>
    <row r="1856" spans="1:29" ht="12.75" customHeight="1" x14ac:dyDescent="0.2">
      <c r="A1856" s="1928">
        <v>1856</v>
      </c>
      <c r="B1856" s="5108"/>
      <c r="E1856" s="2507" t="s">
        <v>8031</v>
      </c>
      <c r="F1856" s="1740"/>
      <c r="G1856" s="1740">
        <v>90</v>
      </c>
      <c r="H1856" s="1741">
        <v>1</v>
      </c>
      <c r="I1856" s="1741">
        <v>15</v>
      </c>
      <c r="J1856" s="1741">
        <f>COUNTIF(Elan!$C$13:$F$25,Tablas!E1856)+COUNTIF(Elan!$U$13:$X$25,Tablas!E1856)</f>
        <v>0</v>
      </c>
      <c r="K1856" s="1740"/>
      <c r="L1856" s="5189" t="s">
        <v>8373</v>
      </c>
      <c r="M1856" s="5189"/>
      <c r="N1856" s="5189"/>
      <c r="O1856" s="5189"/>
      <c r="P1856" s="5189"/>
      <c r="Q1856" s="5190"/>
      <c r="R1856" s="2510">
        <f>IF(OR($J1856=0,$J1856="Aprendida"),0,SUM($J$1702:$J1856))</f>
        <v>0</v>
      </c>
      <c r="AB1856" s="363"/>
      <c r="AC1856" s="2577"/>
    </row>
    <row r="1857" spans="1:29" ht="12.75" customHeight="1" x14ac:dyDescent="0.2">
      <c r="A1857" s="1928">
        <v>1857</v>
      </c>
      <c r="B1857" s="5108"/>
      <c r="E1857" s="2507" t="s">
        <v>8032</v>
      </c>
      <c r="F1857" s="1740"/>
      <c r="G1857" s="1740">
        <v>100</v>
      </c>
      <c r="H1857" s="1741">
        <f>IF(J1853,1,0)</f>
        <v>0</v>
      </c>
      <c r="I1857" s="1741">
        <v>10</v>
      </c>
      <c r="J1857" s="1741">
        <f>COUNTIF(Elan!$C$13:$F$25,Tablas!E1857)+COUNTIF(Elan!$U$13:$X$25,Tablas!E1857)</f>
        <v>0</v>
      </c>
      <c r="K1857" s="1740"/>
      <c r="L1857" s="5189" t="s">
        <v>8374</v>
      </c>
      <c r="M1857" s="5189"/>
      <c r="N1857" s="5189"/>
      <c r="O1857" s="5189"/>
      <c r="P1857" s="5189"/>
      <c r="Q1857" s="5190"/>
      <c r="R1857" s="2510">
        <f>IF(OR($J1857=0,$J1857="Aprendida"),0,SUM($J$1702:$J1857))</f>
        <v>0</v>
      </c>
      <c r="AB1857" s="363"/>
      <c r="AC1857" s="2577"/>
    </row>
    <row r="1858" spans="1:29" ht="12.75" customHeight="1" x14ac:dyDescent="0.2">
      <c r="A1858" s="1928">
        <v>1858</v>
      </c>
      <c r="B1858" s="5108"/>
      <c r="E1858" s="2506" t="s">
        <v>7895</v>
      </c>
      <c r="F1858" s="2498">
        <f>IF(Elan!$C$11=Tablas!$E1858,Elan!$G$11,IF(Elan!$U$11=Tablas!$E1858,Elan!$Y$11,0))</f>
        <v>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108"/>
      <c r="E1859" s="2507" t="s">
        <v>8033</v>
      </c>
      <c r="F1859" s="1740"/>
      <c r="G1859" s="1740">
        <v>10</v>
      </c>
      <c r="H1859" s="1741">
        <v>1</v>
      </c>
      <c r="I1859" s="1741">
        <v>5</v>
      </c>
      <c r="J1859" s="1741">
        <f>COUNTIF(Elan!$C$13:$F$25,Tablas!E1859)+COUNTIF(Elan!$U$13:$X$25,Tablas!E1859)</f>
        <v>0</v>
      </c>
      <c r="K1859" s="1740"/>
      <c r="L1859" s="5189" t="s">
        <v>8375</v>
      </c>
      <c r="M1859" s="5189"/>
      <c r="N1859" s="5189"/>
      <c r="O1859" s="5189"/>
      <c r="P1859" s="5189"/>
      <c r="Q1859" s="5190"/>
      <c r="R1859" s="2510">
        <f>IF(OR($J1859=0,$J1859="Aprendida"),0,SUM($J$1702:$J1859))</f>
        <v>0</v>
      </c>
      <c r="AB1859" s="363"/>
      <c r="AC1859" s="2577"/>
    </row>
    <row r="1860" spans="1:29" ht="12.75" customHeight="1" x14ac:dyDescent="0.2">
      <c r="A1860" s="1928">
        <v>1860</v>
      </c>
      <c r="B1860" s="5108"/>
      <c r="E1860" s="2507" t="s">
        <v>8034</v>
      </c>
      <c r="F1860" s="1740"/>
      <c r="G1860" s="1740">
        <v>20</v>
      </c>
      <c r="H1860" s="1741">
        <v>1</v>
      </c>
      <c r="I1860" s="1741">
        <v>5</v>
      </c>
      <c r="J1860" s="1741">
        <f>COUNTIF(Elan!$C$13:$F$25,Tablas!E1860)+COUNTIF(Elan!$U$13:$X$25,Tablas!E1860)</f>
        <v>0</v>
      </c>
      <c r="K1860" s="1740"/>
      <c r="L1860" s="5189" t="s">
        <v>8379</v>
      </c>
      <c r="M1860" s="5189"/>
      <c r="N1860" s="5189"/>
      <c r="O1860" s="5189"/>
      <c r="P1860" s="5189"/>
      <c r="Q1860" s="5190"/>
      <c r="R1860" s="2510">
        <f>IF(OR($J1860=0,$J1860="Aprendida"),0,SUM($J$1702:$J1860))</f>
        <v>0</v>
      </c>
      <c r="AB1860" s="363"/>
      <c r="AC1860" s="2577"/>
    </row>
    <row r="1861" spans="1:29" ht="12.75" customHeight="1" x14ac:dyDescent="0.2">
      <c r="A1861" s="1928">
        <v>1861</v>
      </c>
      <c r="B1861" s="5108"/>
      <c r="E1861" s="2507" t="s">
        <v>8035</v>
      </c>
      <c r="F1861" s="1740"/>
      <c r="G1861" s="1740">
        <v>30</v>
      </c>
      <c r="H1861" s="1741">
        <v>1</v>
      </c>
      <c r="I1861" s="1741">
        <v>5</v>
      </c>
      <c r="J1861" s="1741">
        <f>COUNTIF(Elan!$C$13:$F$25,Tablas!E1861)+COUNTIF(Elan!$U$13:$X$25,Tablas!E1861)</f>
        <v>0</v>
      </c>
      <c r="K1861" s="1740">
        <f>F1858*J1861</f>
        <v>0</v>
      </c>
      <c r="L1861" s="5189" t="s">
        <v>8383</v>
      </c>
      <c r="M1861" s="5189"/>
      <c r="N1861" s="5189"/>
      <c r="O1861" s="5189"/>
      <c r="P1861" s="5189"/>
      <c r="Q1861" s="5190"/>
      <c r="R1861" s="2510">
        <f>IF(OR($J1861=0,$J1861="Aprendida"),0,SUM($J$1702:$J1861))</f>
        <v>0</v>
      </c>
      <c r="AB1861" s="363"/>
      <c r="AC1861" s="2577"/>
    </row>
    <row r="1862" spans="1:29" ht="12.75" customHeight="1" x14ac:dyDescent="0.2">
      <c r="A1862" s="1928">
        <v>1862</v>
      </c>
      <c r="B1862" s="5108"/>
      <c r="E1862" s="2507" t="s">
        <v>8036</v>
      </c>
      <c r="F1862" s="1740"/>
      <c r="G1862" s="1740">
        <v>40</v>
      </c>
      <c r="H1862" s="1741">
        <v>1</v>
      </c>
      <c r="I1862" s="1741">
        <v>10</v>
      </c>
      <c r="J1862" s="1741">
        <f>COUNTIF(Elan!$C$13:$F$25,Tablas!E1862)+COUNTIF(Elan!$U$13:$X$25,Tablas!E1862)</f>
        <v>0</v>
      </c>
      <c r="K1862" s="1740"/>
      <c r="L1862" s="5189" t="s">
        <v>8386</v>
      </c>
      <c r="M1862" s="5189"/>
      <c r="N1862" s="5189"/>
      <c r="O1862" s="5189"/>
      <c r="P1862" s="5189"/>
      <c r="Q1862" s="5190"/>
      <c r="R1862" s="2510">
        <f>IF(OR($J1862=0,$J1862="Aprendida"),0,SUM($J$1702:$J1862))</f>
        <v>0</v>
      </c>
      <c r="AB1862" s="363"/>
      <c r="AC1862" s="2577"/>
    </row>
    <row r="1863" spans="1:29" ht="12.75" customHeight="1" x14ac:dyDescent="0.2">
      <c r="A1863" s="1928">
        <v>1863</v>
      </c>
      <c r="B1863" s="5108"/>
      <c r="E1863" s="2507" t="s">
        <v>10013</v>
      </c>
      <c r="F1863" s="1740"/>
      <c r="G1863" s="1740">
        <v>50</v>
      </c>
      <c r="H1863" s="1741">
        <v>1</v>
      </c>
      <c r="I1863" s="1741">
        <v>10</v>
      </c>
      <c r="J1863" s="1741">
        <f>COUNTIF(Elan!$C$13:$F$25,Tablas!E1863)+COUNTIF(Elan!$U$13:$X$25,Tablas!E1863)</f>
        <v>0</v>
      </c>
      <c r="K1863" s="1740"/>
      <c r="L1863" s="5189" t="s">
        <v>8389</v>
      </c>
      <c r="M1863" s="5189"/>
      <c r="N1863" s="5189"/>
      <c r="O1863" s="5189"/>
      <c r="P1863" s="5189"/>
      <c r="Q1863" s="5190"/>
      <c r="R1863" s="2510">
        <f>IF(OR($J1863=0,$J1863="Aprendida"),0,SUM($J$1702:$J1863))</f>
        <v>0</v>
      </c>
      <c r="AB1863" s="363"/>
      <c r="AC1863" s="2577"/>
    </row>
    <row r="1864" spans="1:29" ht="12.75" customHeight="1" x14ac:dyDescent="0.2">
      <c r="A1864" s="1928">
        <v>1864</v>
      </c>
      <c r="B1864" s="5108"/>
      <c r="E1864" s="2507" t="s">
        <v>8037</v>
      </c>
      <c r="F1864" s="1740"/>
      <c r="G1864" s="1740">
        <v>60</v>
      </c>
      <c r="H1864" s="1741">
        <v>1</v>
      </c>
      <c r="I1864" s="1741">
        <v>10</v>
      </c>
      <c r="J1864" s="1741">
        <f>COUNTIF(Elan!$C$13:$F$25,Tablas!E1864)+COUNTIF(Elan!$U$13:$X$25,Tablas!E1864)</f>
        <v>0</v>
      </c>
      <c r="K1864" s="1740"/>
      <c r="L1864" s="5189" t="s">
        <v>8391</v>
      </c>
      <c r="M1864" s="5189"/>
      <c r="N1864" s="5189"/>
      <c r="O1864" s="5189"/>
      <c r="P1864" s="5189"/>
      <c r="Q1864" s="5190"/>
      <c r="R1864" s="2510">
        <f>IF(OR($J1864=0,$J1864="Aprendida"),0,SUM($J$1702:$J1864))</f>
        <v>0</v>
      </c>
      <c r="AB1864" s="363"/>
      <c r="AC1864" s="2577"/>
    </row>
    <row r="1865" spans="1:29" ht="12.75" customHeight="1" x14ac:dyDescent="0.2">
      <c r="A1865" s="1928">
        <v>1865</v>
      </c>
      <c r="B1865" s="5108"/>
      <c r="E1865" s="2507" t="s">
        <v>8038</v>
      </c>
      <c r="F1865" s="1740"/>
      <c r="G1865" s="1740">
        <v>60</v>
      </c>
      <c r="H1865" s="1741">
        <v>1</v>
      </c>
      <c r="I1865" s="1741">
        <v>15</v>
      </c>
      <c r="J1865" s="1741">
        <f>COUNTIF(Elan!$C$13:$F$25,Tablas!E1865)+COUNTIF(Elan!$U$13:$X$25,Tablas!E1865)</f>
        <v>0</v>
      </c>
      <c r="K1865" s="1740"/>
      <c r="L1865" s="5189" t="s">
        <v>8392</v>
      </c>
      <c r="M1865" s="5189"/>
      <c r="N1865" s="5189"/>
      <c r="O1865" s="5189"/>
      <c r="P1865" s="5189"/>
      <c r="Q1865" s="5190"/>
      <c r="R1865" s="2510">
        <f>IF(OR($J1865=0,$J1865="Aprendida"),0,SUM($J$1702:$J1865))</f>
        <v>0</v>
      </c>
      <c r="AB1865" s="363"/>
      <c r="AC1865" s="2577"/>
    </row>
    <row r="1866" spans="1:29" ht="12.75" customHeight="1" x14ac:dyDescent="0.2">
      <c r="A1866" s="1928">
        <v>1866</v>
      </c>
      <c r="B1866" s="5108"/>
      <c r="E1866" s="2507" t="s">
        <v>8039</v>
      </c>
      <c r="F1866" s="1740"/>
      <c r="G1866" s="1740">
        <v>70</v>
      </c>
      <c r="H1866" s="1741">
        <f>IF(J1864,1,0)</f>
        <v>0</v>
      </c>
      <c r="I1866" s="1741">
        <v>15</v>
      </c>
      <c r="J1866" s="1741">
        <f>COUNTIF(Elan!$C$13:$F$25,Tablas!E1866)+COUNTIF(Elan!$U$13:$X$25,Tablas!E1866)</f>
        <v>0</v>
      </c>
      <c r="K1866" s="1740"/>
      <c r="L1866" s="5189" t="s">
        <v>8393</v>
      </c>
      <c r="M1866" s="5189"/>
      <c r="N1866" s="5189"/>
      <c r="O1866" s="5189"/>
      <c r="P1866" s="5189"/>
      <c r="Q1866" s="5190"/>
      <c r="R1866" s="2510">
        <f>IF(OR($J1866=0,$J1866="Aprendida"),0,SUM($J$1702:$J1866))</f>
        <v>0</v>
      </c>
      <c r="AB1866" s="363"/>
      <c r="AC1866" s="2577"/>
    </row>
    <row r="1867" spans="1:29" ht="12.75" customHeight="1" x14ac:dyDescent="0.2">
      <c r="A1867" s="1928">
        <v>1867</v>
      </c>
      <c r="B1867" s="5108"/>
      <c r="E1867" s="2507" t="s">
        <v>8040</v>
      </c>
      <c r="F1867" s="1740"/>
      <c r="G1867" s="1740">
        <v>80</v>
      </c>
      <c r="H1867" s="1741">
        <v>1</v>
      </c>
      <c r="I1867" s="1741">
        <v>15</v>
      </c>
      <c r="J1867" s="1741">
        <f>COUNTIF(Elan!$C$13:$F$25,Tablas!E1867)+COUNTIF(Elan!$U$13:$X$25,Tablas!E1867)</f>
        <v>0</v>
      </c>
      <c r="K1867" s="1740"/>
      <c r="L1867" s="5189" t="s">
        <v>8394</v>
      </c>
      <c r="M1867" s="5189"/>
      <c r="N1867" s="5189"/>
      <c r="O1867" s="5189"/>
      <c r="P1867" s="5189"/>
      <c r="Q1867" s="5190"/>
      <c r="R1867" s="2510">
        <f>IF(OR($J1867=0,$J1867="Aprendida"),0,SUM($J$1702:$J1867))</f>
        <v>0</v>
      </c>
      <c r="AB1867" s="363"/>
      <c r="AC1867" s="2577"/>
    </row>
    <row r="1868" spans="1:29" ht="12.75" customHeight="1" x14ac:dyDescent="0.2">
      <c r="A1868" s="1928">
        <v>1868</v>
      </c>
      <c r="B1868" s="5108"/>
      <c r="E1868" s="2507" t="s">
        <v>8041</v>
      </c>
      <c r="F1868" s="1740"/>
      <c r="G1868" s="1740">
        <v>90</v>
      </c>
      <c r="H1868" s="1741">
        <v>1</v>
      </c>
      <c r="I1868" s="1741">
        <v>25</v>
      </c>
      <c r="J1868" s="1741">
        <f>COUNTIF(Elan!$C$13:$F$25,Tablas!E1868)+COUNTIF(Elan!$U$13:$X$25,Tablas!E1868)</f>
        <v>0</v>
      </c>
      <c r="K1868" s="1740"/>
      <c r="L1868" s="5189" t="s">
        <v>8395</v>
      </c>
      <c r="M1868" s="5189"/>
      <c r="N1868" s="5189"/>
      <c r="O1868" s="5189"/>
      <c r="P1868" s="5189"/>
      <c r="Q1868" s="5190"/>
      <c r="R1868" s="2510">
        <f>IF(OR($J1868=0,$J1868="Aprendida"),0,SUM($J$1702:$J1868))</f>
        <v>0</v>
      </c>
      <c r="AB1868" s="363"/>
      <c r="AC1868" s="2577"/>
    </row>
    <row r="1869" spans="1:29" ht="12.75" customHeight="1" x14ac:dyDescent="0.2">
      <c r="A1869" s="1928">
        <v>1869</v>
      </c>
      <c r="B1869" s="5108"/>
      <c r="E1869" s="2507" t="s">
        <v>8042</v>
      </c>
      <c r="F1869" s="1740"/>
      <c r="G1869" s="1740">
        <v>100</v>
      </c>
      <c r="H1869" s="1741">
        <v>1</v>
      </c>
      <c r="I1869" s="1741">
        <v>10</v>
      </c>
      <c r="J1869" s="1741">
        <f>COUNTIF(Elan!$C$13:$F$25,Tablas!E1869)+COUNTIF(Elan!$U$13:$X$25,Tablas!E1869)</f>
        <v>0</v>
      </c>
      <c r="K1869" s="1740"/>
      <c r="L1869" s="5189" t="s">
        <v>8396</v>
      </c>
      <c r="M1869" s="5189"/>
      <c r="N1869" s="5189"/>
      <c r="O1869" s="5189"/>
      <c r="P1869" s="5189"/>
      <c r="Q1869" s="5190"/>
      <c r="R1869" s="2510">
        <f>IF(OR($J1869=0,$J1869="Aprendida"),0,SUM($J$1702:$J1869))</f>
        <v>0</v>
      </c>
      <c r="AB1869" s="363"/>
      <c r="AC1869" s="2577"/>
    </row>
    <row r="1870" spans="1:29" ht="12.75" customHeight="1" x14ac:dyDescent="0.2">
      <c r="A1870" s="1928">
        <v>1870</v>
      </c>
      <c r="B1870" s="5108"/>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108"/>
      <c r="E1871" s="2507" t="s">
        <v>8043</v>
      </c>
      <c r="F1871" s="1740"/>
      <c r="G1871" s="1740">
        <v>10</v>
      </c>
      <c r="H1871" s="1741">
        <v>1</v>
      </c>
      <c r="I1871" s="1741">
        <v>5</v>
      </c>
      <c r="J1871" s="1741">
        <f>COUNTIF(Elan!$C$13:$F$25,Tablas!E1871)+COUNTIF(Elan!$U$13:$X$25,Tablas!E1871)</f>
        <v>0</v>
      </c>
      <c r="K1871" s="1740">
        <f>F1870*J1871</f>
        <v>0</v>
      </c>
      <c r="L1871" s="5189" t="s">
        <v>8397</v>
      </c>
      <c r="M1871" s="5189"/>
      <c r="N1871" s="5189"/>
      <c r="O1871" s="5189"/>
      <c r="P1871" s="5189"/>
      <c r="Q1871" s="5190"/>
      <c r="R1871" s="2510">
        <f>IF(OR($J1871=0,$J1871="Aprendida"),0,SUM($J$1702:$J1871))</f>
        <v>0</v>
      </c>
      <c r="AB1871" s="363"/>
      <c r="AC1871" s="2577"/>
    </row>
    <row r="1872" spans="1:29" ht="12.75" customHeight="1" x14ac:dyDescent="0.2">
      <c r="A1872" s="1928">
        <v>1872</v>
      </c>
      <c r="B1872" s="5108"/>
      <c r="E1872" s="2507" t="s">
        <v>8044</v>
      </c>
      <c r="F1872" s="1740"/>
      <c r="G1872" s="1740">
        <v>20</v>
      </c>
      <c r="H1872" s="1741">
        <v>1</v>
      </c>
      <c r="I1872" s="1741">
        <v>5</v>
      </c>
      <c r="J1872" s="1741">
        <f>COUNTIF(Elan!$C$13:$F$25,Tablas!E1872)+COUNTIF(Elan!$U$13:$X$25,Tablas!E1872)</f>
        <v>0</v>
      </c>
      <c r="K1872" s="1740"/>
      <c r="L1872" s="5189" t="s">
        <v>8401</v>
      </c>
      <c r="M1872" s="5189"/>
      <c r="N1872" s="5189"/>
      <c r="O1872" s="5189"/>
      <c r="P1872" s="5189"/>
      <c r="Q1872" s="5190"/>
      <c r="R1872" s="2510">
        <f>IF(OR($J1872=0,$J1872="Aprendida"),0,SUM($J$1702:$J1872))</f>
        <v>0</v>
      </c>
      <c r="AB1872" s="363"/>
      <c r="AC1872" s="2577"/>
    </row>
    <row r="1873" spans="1:29" ht="12.75" customHeight="1" x14ac:dyDescent="0.2">
      <c r="A1873" s="1928">
        <v>1873</v>
      </c>
      <c r="B1873" s="5108"/>
      <c r="E1873" s="2507" t="s">
        <v>8045</v>
      </c>
      <c r="F1873" s="1740"/>
      <c r="G1873" s="1740">
        <v>30</v>
      </c>
      <c r="H1873" s="1741">
        <v>1</v>
      </c>
      <c r="I1873" s="1741">
        <v>10</v>
      </c>
      <c r="J1873" s="1741">
        <f>COUNTIF(Elan!$C$13:$F$25,Tablas!E1873)+COUNTIF(Elan!$U$13:$X$25,Tablas!E1873)</f>
        <v>0</v>
      </c>
      <c r="K1873" s="1740"/>
      <c r="L1873" s="5189" t="s">
        <v>8405</v>
      </c>
      <c r="M1873" s="5189"/>
      <c r="N1873" s="5189"/>
      <c r="O1873" s="5189"/>
      <c r="P1873" s="5189"/>
      <c r="Q1873" s="5190"/>
      <c r="R1873" s="2510">
        <f>IF(OR($J1873=0,$J1873="Aprendida"),0,SUM($J$1702:$J1873))</f>
        <v>0</v>
      </c>
      <c r="AB1873" s="363"/>
      <c r="AC1873" s="2577"/>
    </row>
    <row r="1874" spans="1:29" ht="12.75" customHeight="1" x14ac:dyDescent="0.2">
      <c r="A1874" s="1928">
        <v>1874</v>
      </c>
      <c r="B1874" s="5108"/>
      <c r="E1874" s="2507" t="s">
        <v>8046</v>
      </c>
      <c r="F1874" s="1740"/>
      <c r="G1874" s="1740">
        <v>30</v>
      </c>
      <c r="H1874" s="1741">
        <v>1</v>
      </c>
      <c r="I1874" s="1741">
        <v>5</v>
      </c>
      <c r="J1874" s="1741">
        <f>COUNTIF(Elan!$C$13:$F$25,Tablas!E1874)+COUNTIF(Elan!$U$13:$X$25,Tablas!E1874)</f>
        <v>0</v>
      </c>
      <c r="K1874" s="1740"/>
      <c r="L1874" s="5189" t="s">
        <v>8407</v>
      </c>
      <c r="M1874" s="5189"/>
      <c r="N1874" s="5189"/>
      <c r="O1874" s="5189"/>
      <c r="P1874" s="5189"/>
      <c r="Q1874" s="5190"/>
      <c r="R1874" s="2510">
        <f>IF(OR($J1874=0,$J1874="Aprendida"),0,SUM($J$1702:$J1874))</f>
        <v>0</v>
      </c>
      <c r="AB1874" s="363"/>
      <c r="AC1874" s="2577"/>
    </row>
    <row r="1875" spans="1:29" ht="12.75" customHeight="1" x14ac:dyDescent="0.2">
      <c r="A1875" s="1928">
        <v>1875</v>
      </c>
      <c r="B1875" s="5108"/>
      <c r="E1875" s="2507" t="s">
        <v>8047</v>
      </c>
      <c r="F1875" s="1740"/>
      <c r="G1875" s="1740">
        <v>40</v>
      </c>
      <c r="H1875" s="1741">
        <v>1</v>
      </c>
      <c r="I1875" s="1741">
        <v>10</v>
      </c>
      <c r="J1875" s="1741">
        <f>COUNTIF(Elan!$C$13:$F$25,Tablas!E1875)+COUNTIF(Elan!$U$13:$X$25,Tablas!E1875)</f>
        <v>0</v>
      </c>
      <c r="K1875" s="1740"/>
      <c r="L1875" s="5189" t="s">
        <v>8408</v>
      </c>
      <c r="M1875" s="5189"/>
      <c r="N1875" s="5189"/>
      <c r="O1875" s="5189"/>
      <c r="P1875" s="5189"/>
      <c r="Q1875" s="5190"/>
      <c r="R1875" s="2510">
        <f>IF(OR($J1875=0,$J1875="Aprendida"),0,SUM($J$1702:$J1875))</f>
        <v>0</v>
      </c>
      <c r="AB1875" s="363"/>
      <c r="AC1875" s="2577"/>
    </row>
    <row r="1876" spans="1:29" ht="12.75" customHeight="1" x14ac:dyDescent="0.2">
      <c r="A1876" s="1928">
        <v>1876</v>
      </c>
      <c r="B1876" s="5108"/>
      <c r="E1876" s="2507" t="s">
        <v>8048</v>
      </c>
      <c r="F1876" s="1740"/>
      <c r="G1876" s="1740">
        <v>40</v>
      </c>
      <c r="H1876" s="1741">
        <v>1</v>
      </c>
      <c r="I1876" s="1741">
        <v>10</v>
      </c>
      <c r="J1876" s="1741">
        <f>COUNTIF(Elan!$C$13:$F$25,Tablas!E1876)+COUNTIF(Elan!$U$13:$X$25,Tablas!E1876)</f>
        <v>0</v>
      </c>
      <c r="K1876" s="1740"/>
      <c r="L1876" s="5189" t="s">
        <v>8409</v>
      </c>
      <c r="M1876" s="5189"/>
      <c r="N1876" s="5189"/>
      <c r="O1876" s="5189"/>
      <c r="P1876" s="5189"/>
      <c r="Q1876" s="5190"/>
      <c r="R1876" s="2510">
        <f>IF(OR($J1876=0,$J1876="Aprendida"),0,SUM($J$1702:$J1876))</f>
        <v>0</v>
      </c>
      <c r="AB1876" s="363"/>
      <c r="AC1876" s="2577"/>
    </row>
    <row r="1877" spans="1:29" ht="12.75" customHeight="1" x14ac:dyDescent="0.2">
      <c r="A1877" s="1928">
        <v>1877</v>
      </c>
      <c r="B1877" s="5108"/>
      <c r="E1877" s="2507" t="s">
        <v>8049</v>
      </c>
      <c r="F1877" s="1740"/>
      <c r="G1877" s="1740">
        <v>50</v>
      </c>
      <c r="H1877" s="1741">
        <v>1</v>
      </c>
      <c r="I1877" s="1741">
        <v>10</v>
      </c>
      <c r="J1877" s="1741">
        <f>COUNTIF(Elan!$C$13:$F$25,Tablas!E1877)+COUNTIF(Elan!$U$13:$X$25,Tablas!E1877)</f>
        <v>0</v>
      </c>
      <c r="K1877" s="1740"/>
      <c r="L1877" s="5189" t="s">
        <v>8410</v>
      </c>
      <c r="M1877" s="5189"/>
      <c r="N1877" s="5189"/>
      <c r="O1877" s="5189"/>
      <c r="P1877" s="5189"/>
      <c r="Q1877" s="5190"/>
      <c r="R1877" s="2510">
        <f>IF(OR($J1877=0,$J1877="Aprendida"),0,SUM($J$1702:$J1877))</f>
        <v>0</v>
      </c>
      <c r="AB1877" s="363"/>
      <c r="AC1877" s="2577"/>
    </row>
    <row r="1878" spans="1:29" ht="12.75" customHeight="1" x14ac:dyDescent="0.2">
      <c r="A1878" s="1928">
        <v>1878</v>
      </c>
      <c r="B1878" s="5108"/>
      <c r="E1878" s="2507" t="s">
        <v>8050</v>
      </c>
      <c r="F1878" s="1740"/>
      <c r="G1878" s="1740">
        <v>60</v>
      </c>
      <c r="H1878" s="1741">
        <v>1</v>
      </c>
      <c r="I1878" s="1741">
        <v>10</v>
      </c>
      <c r="J1878" s="1741">
        <f>COUNTIF(Elan!$C$13:$F$25,Tablas!E1878)+COUNTIF(Elan!$U$13:$X$25,Tablas!E1878)</f>
        <v>0</v>
      </c>
      <c r="K1878" s="1740"/>
      <c r="L1878" s="5189" t="s">
        <v>8411</v>
      </c>
      <c r="M1878" s="5189"/>
      <c r="N1878" s="5189"/>
      <c r="O1878" s="5189"/>
      <c r="P1878" s="5189"/>
      <c r="Q1878" s="5190"/>
      <c r="R1878" s="2510">
        <f>IF(OR($J1878=0,$J1878="Aprendida"),0,SUM($J$1702:$J1878))</f>
        <v>0</v>
      </c>
      <c r="AB1878" s="363"/>
      <c r="AC1878" s="2577"/>
    </row>
    <row r="1879" spans="1:29" ht="12.75" customHeight="1" x14ac:dyDescent="0.2">
      <c r="A1879" s="1928">
        <v>1879</v>
      </c>
      <c r="B1879" s="5108"/>
      <c r="E1879" s="2507" t="s">
        <v>8051</v>
      </c>
      <c r="F1879" s="1740"/>
      <c r="G1879" s="1740">
        <v>60</v>
      </c>
      <c r="H1879" s="1741">
        <f>IF(J1875,1,0)</f>
        <v>0</v>
      </c>
      <c r="I1879" s="1741">
        <v>15</v>
      </c>
      <c r="J1879" s="1741">
        <f>COUNTIF(Elan!$C$13:$F$25,Tablas!E1879)+COUNTIF(Elan!$U$13:$X$25,Tablas!E1879)</f>
        <v>0</v>
      </c>
      <c r="K1879" s="1740"/>
      <c r="L1879" s="5189" t="s">
        <v>8412</v>
      </c>
      <c r="M1879" s="5189"/>
      <c r="N1879" s="5189"/>
      <c r="O1879" s="5189"/>
      <c r="P1879" s="5189"/>
      <c r="Q1879" s="5190"/>
      <c r="R1879" s="2510">
        <f>IF(OR($J1879=0,$J1879="Aprendida"),0,SUM($J$1702:$J1879))</f>
        <v>0</v>
      </c>
      <c r="AB1879" s="363"/>
      <c r="AC1879" s="2577"/>
    </row>
    <row r="1880" spans="1:29" ht="12.75" customHeight="1" x14ac:dyDescent="0.2">
      <c r="A1880" s="1928">
        <v>1880</v>
      </c>
      <c r="B1880" s="5108"/>
      <c r="E1880" s="2507" t="s">
        <v>8052</v>
      </c>
      <c r="F1880" s="1740"/>
      <c r="G1880" s="1740">
        <v>70</v>
      </c>
      <c r="H1880" s="1741">
        <v>1</v>
      </c>
      <c r="I1880" s="1741">
        <v>10</v>
      </c>
      <c r="J1880" s="1741">
        <f>COUNTIF(Elan!$C$13:$F$25,Tablas!E1880)+COUNTIF(Elan!$U$13:$X$25,Tablas!E1880)</f>
        <v>0</v>
      </c>
      <c r="K1880" s="1740"/>
      <c r="L1880" s="5189" t="s">
        <v>8413</v>
      </c>
      <c r="M1880" s="5189"/>
      <c r="N1880" s="5189"/>
      <c r="O1880" s="5189"/>
      <c r="P1880" s="5189"/>
      <c r="Q1880" s="5190"/>
      <c r="R1880" s="2510">
        <f>IF(OR($J1880=0,$J1880="Aprendida"),0,SUM($J$1702:$J1880))</f>
        <v>0</v>
      </c>
      <c r="AB1880" s="363"/>
      <c r="AC1880" s="2577"/>
    </row>
    <row r="1881" spans="1:29" ht="12.75" customHeight="1" x14ac:dyDescent="0.2">
      <c r="A1881" s="1928">
        <v>1881</v>
      </c>
      <c r="B1881" s="5108"/>
      <c r="E1881" s="2507" t="s">
        <v>8053</v>
      </c>
      <c r="F1881" s="1740"/>
      <c r="G1881" s="1740">
        <v>80</v>
      </c>
      <c r="H1881" s="1741">
        <f>IF(J1878,1,0)</f>
        <v>0</v>
      </c>
      <c r="I1881" s="1741">
        <v>10</v>
      </c>
      <c r="J1881" s="1741">
        <f>COUNTIF(Elan!$C$13:$F$25,Tablas!E1881)+COUNTIF(Elan!$U$13:$X$25,Tablas!E1881)</f>
        <v>0</v>
      </c>
      <c r="K1881" s="1740"/>
      <c r="L1881" s="5189" t="s">
        <v>8414</v>
      </c>
      <c r="M1881" s="5189"/>
      <c r="N1881" s="5189"/>
      <c r="O1881" s="5189"/>
      <c r="P1881" s="5189"/>
      <c r="Q1881" s="5190"/>
      <c r="R1881" s="2510">
        <f>IF(OR($J1881=0,$J1881="Aprendida"),0,SUM($J$1702:$J1881))</f>
        <v>0</v>
      </c>
      <c r="AB1881" s="363"/>
      <c r="AC1881" s="2577"/>
    </row>
    <row r="1882" spans="1:29" ht="12.75" customHeight="1" x14ac:dyDescent="0.2">
      <c r="A1882" s="1928">
        <v>1882</v>
      </c>
      <c r="B1882" s="5108"/>
      <c r="E1882" s="2507" t="s">
        <v>8054</v>
      </c>
      <c r="F1882" s="1740"/>
      <c r="G1882" s="1740">
        <v>90</v>
      </c>
      <c r="H1882" s="1741">
        <v>1</v>
      </c>
      <c r="I1882" s="1741">
        <v>15</v>
      </c>
      <c r="J1882" s="1741">
        <f>COUNTIF(Elan!$C$13:$F$25,Tablas!E1882)+COUNTIF(Elan!$U$13:$X$25,Tablas!E1882)</f>
        <v>0</v>
      </c>
      <c r="K1882" s="1740"/>
      <c r="L1882" s="5189" t="s">
        <v>8415</v>
      </c>
      <c r="M1882" s="5189"/>
      <c r="N1882" s="5189"/>
      <c r="O1882" s="5189"/>
      <c r="P1882" s="5189"/>
      <c r="Q1882" s="5190"/>
      <c r="R1882" s="2510">
        <f>IF(OR($J1882=0,$J1882="Aprendida"),0,SUM($J$1702:$J1882))</f>
        <v>0</v>
      </c>
      <c r="AB1882" s="363"/>
      <c r="AC1882" s="2577"/>
    </row>
    <row r="1883" spans="1:29" ht="12.75" customHeight="1" thickBot="1" x14ac:dyDescent="0.25">
      <c r="A1883" s="1928">
        <v>1883</v>
      </c>
      <c r="B1883" s="5108"/>
      <c r="E1883" s="2507" t="s">
        <v>8055</v>
      </c>
      <c r="F1883" s="1745"/>
      <c r="G1883" s="1745">
        <v>100</v>
      </c>
      <c r="H1883" s="1746">
        <f>IF(J1877,1,0)</f>
        <v>0</v>
      </c>
      <c r="I1883" s="1746">
        <v>10</v>
      </c>
      <c r="J1883" s="1745">
        <f>COUNTIF(Elan!$C$13:$F$25,Tablas!E1883)+COUNTIF(Elan!$U$13:$X$25,Tablas!E1883)</f>
        <v>0</v>
      </c>
      <c r="K1883" s="1745"/>
      <c r="L1883" s="5189" t="s">
        <v>8416</v>
      </c>
      <c r="M1883" s="5189"/>
      <c r="N1883" s="5189"/>
      <c r="O1883" s="5189"/>
      <c r="P1883" s="5189"/>
      <c r="Q1883" s="5190"/>
      <c r="R1883" s="2510">
        <f>IF(OR($J1883=0,$J1883="Aprendida"),0,SUM($J$1702:$J1883))</f>
        <v>0</v>
      </c>
      <c r="AB1883" s="363"/>
      <c r="AC1883" s="2577"/>
    </row>
    <row r="1884" spans="1:29" ht="12.75" customHeight="1" x14ac:dyDescent="0.2">
      <c r="A1884" s="1928">
        <v>1884</v>
      </c>
      <c r="B1884" s="5108"/>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108"/>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189">
        <f>IF(E1885="Poder no definido",0,VLOOKUP(E1885,Personalización!$D$45:$Q$54,6,FALSE))</f>
        <v>0</v>
      </c>
      <c r="M1885" s="5189"/>
      <c r="N1885" s="5189"/>
      <c r="O1885" s="5189"/>
      <c r="P1885" s="5189"/>
      <c r="Q1885" s="5190"/>
      <c r="R1885" s="2510">
        <f>IF(OR($J1885=0,$J1885="Aprendida"),0,SUM($J$1702:$J1885))</f>
        <v>0</v>
      </c>
      <c r="AB1885" s="363"/>
      <c r="AC1885" s="2577"/>
    </row>
    <row r="1886" spans="1:29" ht="12.75" customHeight="1" x14ac:dyDescent="0.2">
      <c r="A1886" s="1928">
        <v>1886</v>
      </c>
      <c r="B1886" s="5108"/>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189">
        <f>IF(E1886="Poder no definido",0,VLOOKUP(E1886,Personalización!$D$45:$Q$54,6,FALSE))</f>
        <v>0</v>
      </c>
      <c r="M1886" s="5189"/>
      <c r="N1886" s="5189"/>
      <c r="O1886" s="5189"/>
      <c r="P1886" s="5189"/>
      <c r="Q1886" s="5190"/>
      <c r="R1886" s="2510">
        <f>IF(OR($J1886=0,$J1886="Aprendida"),0,SUM($J$1702:$J1886))</f>
        <v>0</v>
      </c>
      <c r="AB1886" s="363"/>
      <c r="AC1886" s="2577"/>
    </row>
    <row r="1887" spans="1:29" ht="12.75" customHeight="1" x14ac:dyDescent="0.2">
      <c r="A1887" s="1928">
        <v>1887</v>
      </c>
      <c r="B1887" s="5108"/>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189">
        <f>IF(E1887="Poder no definido",0,VLOOKUP(E1887,Personalización!$D$45:$Q$54,6,FALSE))</f>
        <v>0</v>
      </c>
      <c r="M1887" s="5189"/>
      <c r="N1887" s="5189"/>
      <c r="O1887" s="5189"/>
      <c r="P1887" s="5189"/>
      <c r="Q1887" s="5190"/>
      <c r="R1887" s="2510">
        <f>IF(OR($J1887=0,$J1887="Aprendida"),0,SUM($J$1702:$J1887))</f>
        <v>0</v>
      </c>
      <c r="AB1887" s="363"/>
      <c r="AC1887" s="2577"/>
    </row>
    <row r="1888" spans="1:29" ht="12.75" customHeight="1" x14ac:dyDescent="0.2">
      <c r="A1888" s="1928">
        <v>1888</v>
      </c>
      <c r="B1888" s="5108"/>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189">
        <f>IF(E1888="Poder no definido",0,VLOOKUP(E1888,Personalización!$D$45:$Q$54,6,FALSE))</f>
        <v>0</v>
      </c>
      <c r="M1888" s="5189"/>
      <c r="N1888" s="5189"/>
      <c r="O1888" s="5189"/>
      <c r="P1888" s="5189"/>
      <c r="Q1888" s="5190"/>
      <c r="R1888" s="2510">
        <f>IF(OR($J1888=0,$J1888="Aprendida"),0,SUM($J$1702:$J1888))</f>
        <v>0</v>
      </c>
      <c r="AB1888" s="363"/>
      <c r="AC1888" s="2577"/>
    </row>
    <row r="1889" spans="1:31" ht="12.75" customHeight="1" x14ac:dyDescent="0.2">
      <c r="A1889" s="1928">
        <v>1889</v>
      </c>
      <c r="B1889" s="5108"/>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189">
        <f>IF(E1889="Poder no definido",0,VLOOKUP(E1889,Personalización!$D$45:$Q$54,6,FALSE))</f>
        <v>0</v>
      </c>
      <c r="M1889" s="5189"/>
      <c r="N1889" s="5189"/>
      <c r="O1889" s="5189"/>
      <c r="P1889" s="5189"/>
      <c r="Q1889" s="5190"/>
      <c r="R1889" s="2510">
        <f>IF(OR($J1889=0,$J1889="Aprendida"),0,SUM($J$1702:$J1889))</f>
        <v>0</v>
      </c>
      <c r="AB1889" s="363"/>
      <c r="AC1889" s="2577"/>
    </row>
    <row r="1890" spans="1:31" ht="12.75" customHeight="1" x14ac:dyDescent="0.2">
      <c r="A1890" s="1928">
        <v>1890</v>
      </c>
      <c r="B1890" s="5108"/>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189">
        <f>IF(E1890="Poder no definido",0,VLOOKUP(E1890,Personalización!$D$45:$Q$54,6,FALSE))</f>
        <v>0</v>
      </c>
      <c r="M1890" s="5189"/>
      <c r="N1890" s="5189"/>
      <c r="O1890" s="5189"/>
      <c r="P1890" s="5189"/>
      <c r="Q1890" s="5190"/>
      <c r="R1890" s="2510">
        <f>IF(OR($J1890=0,$J1890="Aprendida"),0,SUM($J$1702:$J1890))</f>
        <v>0</v>
      </c>
      <c r="AB1890" s="363"/>
      <c r="AC1890" s="2577"/>
    </row>
    <row r="1891" spans="1:31" ht="12.75" customHeight="1" x14ac:dyDescent="0.2">
      <c r="A1891" s="1928">
        <v>1891</v>
      </c>
      <c r="B1891" s="5108"/>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189">
        <f>IF(E1891="Poder no definido",0,VLOOKUP(E1891,Personalización!$D$45:$Q$54,6,FALSE))</f>
        <v>0</v>
      </c>
      <c r="M1891" s="5189"/>
      <c r="N1891" s="5189"/>
      <c r="O1891" s="5189"/>
      <c r="P1891" s="5189"/>
      <c r="Q1891" s="5190"/>
      <c r="R1891" s="2510">
        <f>IF(OR($J1891=0,$J1891="Aprendida"),0,SUM($J$1702:$J1891))</f>
        <v>0</v>
      </c>
      <c r="AB1891" s="363"/>
      <c r="AC1891" s="2577"/>
    </row>
    <row r="1892" spans="1:31" ht="12.75" customHeight="1" x14ac:dyDescent="0.2">
      <c r="A1892" s="1928">
        <v>1892</v>
      </c>
      <c r="B1892" s="5108"/>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189">
        <f>IF(E1892="Poder no definido",0,VLOOKUP(E1892,Personalización!$D$45:$Q$54,6,FALSE))</f>
        <v>0</v>
      </c>
      <c r="M1892" s="5189"/>
      <c r="N1892" s="5189"/>
      <c r="O1892" s="5189"/>
      <c r="P1892" s="5189"/>
      <c r="Q1892" s="5190"/>
      <c r="R1892" s="2510">
        <f>IF(OR($J1892=0,$J1892="Aprendida"),0,SUM($J$1702:$J1892))</f>
        <v>0</v>
      </c>
      <c r="AB1892" s="363"/>
      <c r="AC1892" s="2577"/>
    </row>
    <row r="1893" spans="1:31" ht="12.75" customHeight="1" x14ac:dyDescent="0.2">
      <c r="A1893" s="1928">
        <v>1893</v>
      </c>
      <c r="B1893" s="5108"/>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189">
        <f>IF(E1893="Poder no definido",0,VLOOKUP(E1893,Personalización!$D$45:$Q$54,6,FALSE))</f>
        <v>0</v>
      </c>
      <c r="M1893" s="5189"/>
      <c r="N1893" s="5189"/>
      <c r="O1893" s="5189"/>
      <c r="P1893" s="5189"/>
      <c r="Q1893" s="5190"/>
      <c r="R1893" s="2510">
        <f>IF(OR($J1893=0,$J1893="Aprendida"),0,SUM($J$1702:$J1893))</f>
        <v>0</v>
      </c>
      <c r="AB1893" s="363"/>
      <c r="AC1893" s="2577"/>
    </row>
    <row r="1894" spans="1:31" ht="12.75" customHeight="1" thickBot="1" x14ac:dyDescent="0.25">
      <c r="A1894" s="1928">
        <v>1894</v>
      </c>
      <c r="B1894" s="5108"/>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325">
        <f>IF(E1894="Poder no definido",0,VLOOKUP(E1894,Personalización!$D$45:$Q$54,6,FALSE))</f>
        <v>0</v>
      </c>
      <c r="M1894" s="5325"/>
      <c r="N1894" s="5325"/>
      <c r="O1894" s="5325"/>
      <c r="P1894" s="5325"/>
      <c r="Q1894" s="5326"/>
      <c r="R1894" s="1747">
        <f>IF(OR($J1894=0,$J1894="Aprendida"),0,SUM($J$1702:$J1894))</f>
        <v>0</v>
      </c>
      <c r="AB1894" s="363"/>
      <c r="AC1894" s="2577"/>
    </row>
    <row r="1895" spans="1:31" ht="12.75" customHeight="1" x14ac:dyDescent="0.2">
      <c r="A1895" s="1928">
        <v>1895</v>
      </c>
      <c r="B1895" s="5108"/>
      <c r="H1895" s="363"/>
      <c r="I1895" s="1665"/>
      <c r="N1895" s="363"/>
      <c r="O1895" s="2011"/>
      <c r="Z1895" s="2577"/>
      <c r="AB1895" s="363"/>
      <c r="AC1895" s="2577"/>
    </row>
    <row r="1896" spans="1:31" ht="12.75" customHeight="1" x14ac:dyDescent="0.2">
      <c r="A1896" s="1928">
        <v>1896</v>
      </c>
      <c r="B1896" s="5108"/>
      <c r="H1896" s="363"/>
      <c r="I1896" s="1665"/>
      <c r="N1896" s="363"/>
      <c r="O1896" s="2011"/>
      <c r="Z1896" s="2577"/>
      <c r="AB1896" s="363"/>
      <c r="AC1896" s="2577"/>
    </row>
    <row r="1897" spans="1:31" ht="12.75" customHeight="1" x14ac:dyDescent="0.2">
      <c r="A1897" s="1928">
        <v>1897</v>
      </c>
      <c r="B1897" s="5108"/>
      <c r="H1897" s="363"/>
      <c r="I1897" s="1665"/>
      <c r="N1897" s="363"/>
      <c r="O1897" s="2011"/>
      <c r="Z1897" s="2577"/>
      <c r="AB1897" s="363"/>
      <c r="AC1897" s="2577"/>
    </row>
    <row r="1898" spans="1:31" ht="12.75" customHeight="1" x14ac:dyDescent="0.2">
      <c r="A1898" s="1928">
        <v>1898</v>
      </c>
      <c r="B1898" s="5108"/>
      <c r="C1898" s="5107" t="s">
        <v>8943</v>
      </c>
      <c r="D1898" s="5107"/>
      <c r="E1898" s="5107"/>
      <c r="F1898" s="5107"/>
      <c r="G1898" s="5107"/>
      <c r="H1898" s="5107"/>
      <c r="I1898" s="5107"/>
      <c r="J1898" s="5107"/>
      <c r="K1898" s="5107"/>
      <c r="L1898" s="5107"/>
      <c r="M1898" s="5107"/>
      <c r="N1898" s="5107"/>
      <c r="O1898" s="5107"/>
      <c r="P1898" s="5107"/>
      <c r="Q1898" s="5107"/>
      <c r="R1898" s="5107"/>
      <c r="S1898" s="5107"/>
      <c r="T1898" s="5107"/>
      <c r="U1898" s="5107"/>
      <c r="V1898" s="5107"/>
      <c r="W1898" s="5107"/>
      <c r="X1898" s="5107"/>
      <c r="Y1898" s="5107"/>
      <c r="Z1898" s="5107"/>
      <c r="AA1898" s="5107"/>
      <c r="AB1898" s="5107"/>
      <c r="AC1898" s="5107"/>
      <c r="AD1898" s="5107"/>
      <c r="AE1898" s="5107"/>
    </row>
    <row r="1899" spans="1:31" ht="12.75" customHeight="1" x14ac:dyDescent="0.2">
      <c r="A1899" s="1928">
        <v>1899</v>
      </c>
      <c r="B1899" s="5108"/>
      <c r="C1899" s="5107"/>
      <c r="D1899" s="5107"/>
      <c r="E1899" s="5107"/>
      <c r="F1899" s="5107"/>
      <c r="G1899" s="5107"/>
      <c r="H1899" s="5107"/>
      <c r="I1899" s="5107"/>
      <c r="J1899" s="5107"/>
      <c r="K1899" s="5107"/>
      <c r="L1899" s="5107"/>
      <c r="M1899" s="5107"/>
      <c r="N1899" s="5107"/>
      <c r="O1899" s="5107"/>
      <c r="P1899" s="5107"/>
      <c r="Q1899" s="5107"/>
      <c r="R1899" s="5107"/>
      <c r="S1899" s="5107"/>
      <c r="T1899" s="5107"/>
      <c r="U1899" s="5107"/>
      <c r="V1899" s="5107"/>
      <c r="W1899" s="5107"/>
      <c r="X1899" s="5107"/>
      <c r="Y1899" s="5107"/>
      <c r="Z1899" s="5107"/>
      <c r="AA1899" s="5107"/>
      <c r="AB1899" s="5107"/>
      <c r="AC1899" s="5107"/>
      <c r="AD1899" s="5107"/>
      <c r="AE1899" s="5107"/>
    </row>
    <row r="1900" spans="1:31" ht="12.75" customHeight="1" x14ac:dyDescent="0.2">
      <c r="A1900" s="1928">
        <v>1900</v>
      </c>
      <c r="B1900" s="5108"/>
      <c r="C1900" s="5107"/>
      <c r="D1900" s="5107"/>
      <c r="E1900" s="5107"/>
      <c r="F1900" s="5107"/>
      <c r="G1900" s="5107"/>
      <c r="H1900" s="5107"/>
      <c r="I1900" s="5107"/>
      <c r="J1900" s="5107"/>
      <c r="K1900" s="5107"/>
      <c r="L1900" s="5107"/>
      <c r="M1900" s="5107"/>
      <c r="N1900" s="5107"/>
      <c r="O1900" s="5107"/>
      <c r="P1900" s="5107"/>
      <c r="Q1900" s="5107"/>
      <c r="R1900" s="5107"/>
      <c r="S1900" s="5107"/>
      <c r="T1900" s="5107"/>
      <c r="U1900" s="5107"/>
      <c r="V1900" s="5107"/>
      <c r="W1900" s="5107"/>
      <c r="X1900" s="5107"/>
      <c r="Y1900" s="5107"/>
      <c r="Z1900" s="5107"/>
      <c r="AA1900" s="5107"/>
      <c r="AB1900" s="5107"/>
      <c r="AC1900" s="5107"/>
      <c r="AD1900" s="5107"/>
      <c r="AE1900" s="5107"/>
    </row>
    <row r="1901" spans="1:31" ht="12.75" customHeight="1" thickBot="1" x14ac:dyDescent="0.25">
      <c r="A1901" s="1928">
        <v>1901</v>
      </c>
      <c r="B1901" s="5108"/>
      <c r="H1901" s="363"/>
      <c r="I1901" s="1665"/>
      <c r="N1901" s="363"/>
      <c r="O1901" s="2011"/>
      <c r="Z1901" s="2577"/>
      <c r="AB1901" s="363"/>
      <c r="AC1901" s="2577"/>
    </row>
    <row r="1902" spans="1:31" ht="12.75" customHeight="1" thickBot="1" x14ac:dyDescent="0.25">
      <c r="A1902" s="1928">
        <v>1902</v>
      </c>
      <c r="B1902" s="5108"/>
      <c r="C1902" s="5239" t="s">
        <v>910</v>
      </c>
      <c r="D1902" s="5239"/>
      <c r="E1902" s="5239"/>
      <c r="F1902" s="537"/>
      <c r="G1902" s="3172" t="s">
        <v>911</v>
      </c>
      <c r="H1902" s="3172"/>
      <c r="I1902" s="1665"/>
      <c r="J1902" s="3172" t="s">
        <v>914</v>
      </c>
      <c r="K1902" s="3172"/>
      <c r="N1902" s="363"/>
      <c r="O1902" s="2011"/>
      <c r="AB1902" s="363"/>
      <c r="AC1902" s="2577"/>
    </row>
    <row r="1903" spans="1:31" ht="12.75" customHeight="1" thickBot="1" x14ac:dyDescent="0.25">
      <c r="A1903" s="1928">
        <v>1903</v>
      </c>
      <c r="B1903" s="5108"/>
      <c r="C1903" s="5239"/>
      <c r="D1903" s="5239"/>
      <c r="E1903" s="5239"/>
      <c r="F1903" s="537"/>
      <c r="G1903" s="3172"/>
      <c r="H1903" s="3172"/>
      <c r="I1903" s="1665"/>
      <c r="J1903" s="3172"/>
      <c r="K1903" s="3172"/>
      <c r="N1903" s="363"/>
      <c r="O1903" s="2011"/>
      <c r="AB1903" s="363"/>
      <c r="AC1903" s="2577"/>
    </row>
    <row r="1904" spans="1:31" ht="12.75" customHeight="1" x14ac:dyDescent="0.2">
      <c r="A1904" s="1928">
        <v>1904</v>
      </c>
      <c r="B1904" s="5108"/>
      <c r="C1904" s="548" t="str">
        <f>IF(UsodelKi,Ki!$K$10,"")</f>
        <v/>
      </c>
      <c r="D1904" s="118"/>
      <c r="E1904" s="209"/>
      <c r="F1904" s="537"/>
      <c r="G1904" s="65" t="str">
        <f>IF(Místicos!H15&gt;0,Místicos!H15&amp;" Luz","")</f>
        <v/>
      </c>
      <c r="H1904" s="68"/>
      <c r="I1904" s="1665"/>
      <c r="J1904" s="65" t="str">
        <f>IF(Combate!AB55="","",IF(SUM(Ki!U23:U63)=0,"Magnus ("&amp;Combate!AB55&amp;")",", Magnus ("&amp;Combate!AB55&amp;")"))</f>
        <v/>
      </c>
      <c r="K1904" s="68"/>
      <c r="N1904" s="363"/>
      <c r="O1904" s="2011"/>
      <c r="AB1904" s="363"/>
      <c r="AC1904" s="2577"/>
    </row>
    <row r="1905" spans="1:29" ht="12.75" customHeight="1" x14ac:dyDescent="0.2">
      <c r="A1905" s="1928">
        <v>1905</v>
      </c>
      <c r="B1905" s="5108"/>
      <c r="C1905" s="549" t="str">
        <f>IF(Ki!$P$12="-",", "&amp;Ki!$K$12,"")</f>
        <v/>
      </c>
      <c r="D1905" s="67"/>
      <c r="E1905" s="68"/>
      <c r="F1905" s="537"/>
      <c r="G1905" s="65" t="str">
        <f>IF(AND(Místicos!G15&gt;0,Místicos!H16&gt;0),", ","")&amp;IF(Místicos!H16&gt;0,Místicos!H16&amp;" Oscuridad","")</f>
        <v/>
      </c>
      <c r="H1905" s="68"/>
      <c r="I1905" s="1665"/>
      <c r="J1905" s="65" t="str">
        <f>IF(Combate!AB57="","",", Magnus ("&amp;Combate!AB57&amp;")")</f>
        <v/>
      </c>
      <c r="K1905" s="68"/>
      <c r="N1905" s="363"/>
      <c r="O1905" s="2011"/>
      <c r="AB1905" s="363"/>
      <c r="AC1905" s="2577"/>
    </row>
    <row r="1906" spans="1:29" ht="12.75" customHeight="1" x14ac:dyDescent="0.2">
      <c r="A1906" s="1928">
        <v>1906</v>
      </c>
      <c r="B1906" s="5108"/>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108"/>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108"/>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108"/>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108"/>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108"/>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108"/>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108"/>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108"/>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108"/>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65"/>
      <c r="N1915" s="363"/>
      <c r="O1915" s="2011"/>
      <c r="AB1915" s="363"/>
      <c r="AC1915" s="2577"/>
    </row>
    <row r="1916" spans="1:29" ht="12.75" customHeight="1" thickBot="1" x14ac:dyDescent="0.25">
      <c r="A1916" s="1928">
        <v>1916</v>
      </c>
      <c r="B1916" s="5108"/>
      <c r="C1916" s="549" t="str">
        <f>IF(Ki!$P$23="-",", "&amp;"Mag. arcana","")</f>
        <v/>
      </c>
      <c r="D1916" s="67"/>
      <c r="E1916" s="68"/>
      <c r="H1916" s="363"/>
      <c r="I1916" s="1665"/>
      <c r="N1916" s="363"/>
      <c r="O1916" s="2011"/>
      <c r="AB1916" s="363"/>
      <c r="AC1916" s="2577"/>
    </row>
    <row r="1917" spans="1:29" ht="12.75" customHeight="1" x14ac:dyDescent="0.2">
      <c r="A1917" s="1928">
        <v>1917</v>
      </c>
      <c r="B1917" s="5108"/>
      <c r="C1917" s="549" t="str">
        <f>IF(Ki!$P$24="-",", "&amp;Ki!$M$24,"")</f>
        <v/>
      </c>
      <c r="D1917" s="67"/>
      <c r="E1917" s="68"/>
      <c r="G1917" s="3130" t="s">
        <v>912</v>
      </c>
      <c r="H1917" s="3131"/>
      <c r="I1917" s="3131"/>
      <c r="J1917" s="3132"/>
      <c r="K1917" s="5176" t="s">
        <v>7879</v>
      </c>
      <c r="L1917" s="2781"/>
      <c r="M1917" s="2782" t="s">
        <v>1674</v>
      </c>
      <c r="N1917" s="5136" t="s">
        <v>7861</v>
      </c>
      <c r="O1917" s="5136" t="s">
        <v>7881</v>
      </c>
      <c r="P1917" s="5136" t="s">
        <v>10118</v>
      </c>
      <c r="Q1917" s="5270" t="s">
        <v>7863</v>
      </c>
      <c r="R1917" s="5176"/>
      <c r="S1917" s="5270" t="s">
        <v>7877</v>
      </c>
      <c r="T1917" s="5271"/>
      <c r="U1917" s="5136" t="s">
        <v>7882</v>
      </c>
      <c r="V1917" s="5136" t="s">
        <v>1509</v>
      </c>
      <c r="AB1917" s="363"/>
      <c r="AC1917" s="2577"/>
    </row>
    <row r="1918" spans="1:29" ht="12.75" customHeight="1" x14ac:dyDescent="0.2">
      <c r="A1918" s="1928">
        <v>1918</v>
      </c>
      <c r="B1918" s="5108"/>
      <c r="C1918" s="549" t="str">
        <f>IF(Ki!$P$25="-",", "&amp;Ki!$L$25,"")</f>
        <v/>
      </c>
      <c r="D1918" s="67"/>
      <c r="E1918" s="68"/>
      <c r="G1918" s="4922"/>
      <c r="H1918" s="5173"/>
      <c r="I1918" s="5173"/>
      <c r="J1918" s="5174"/>
      <c r="K1918" s="5177"/>
      <c r="L1918" s="1836"/>
      <c r="M1918" s="1835"/>
      <c r="N1918" s="5137"/>
      <c r="O1918" s="5137"/>
      <c r="P1918" s="5137"/>
      <c r="Q1918" s="2783" t="s">
        <v>7875</v>
      </c>
      <c r="R1918" s="2675" t="s">
        <v>7876</v>
      </c>
      <c r="S1918" s="5272"/>
      <c r="T1918" s="5273"/>
      <c r="U1918" s="5137"/>
      <c r="V1918" s="5137"/>
      <c r="AB1918" s="363"/>
      <c r="AC1918" s="2577"/>
    </row>
    <row r="1919" spans="1:29" ht="12.75" customHeight="1" x14ac:dyDescent="0.2">
      <c r="A1919" s="1928">
        <v>1919</v>
      </c>
      <c r="B1919" s="5108"/>
      <c r="C1919" s="549" t="str">
        <f>IF(Ki!$P$26="-",", "&amp;Ki!$L$26,"")</f>
        <v/>
      </c>
      <c r="D1919" s="67"/>
      <c r="E1919" s="68"/>
      <c r="G1919" s="1703" t="str">
        <f t="shared" ref="G1919:G1950" si="148">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49">COUNTIF($L$1919:$L$1969,"&lt;="&amp;L1919)</f>
        <v>1</v>
      </c>
      <c r="R1919" s="2789" t="str">
        <f t="shared" ref="R1919:R1950" si="150">INDEX($M$1919:$M$1974,MATCH($A1,$Q$1919:$Q$1974,0))</f>
        <v/>
      </c>
      <c r="S1919" s="2785">
        <v>0</v>
      </c>
      <c r="T1919" s="1712">
        <v>0</v>
      </c>
      <c r="U1919" s="5181" t="s">
        <v>8723</v>
      </c>
      <c r="V1919" s="2797">
        <f>Principal!O22</f>
        <v>0</v>
      </c>
      <c r="AB1919" s="363"/>
      <c r="AC1919" s="2577"/>
    </row>
    <row r="1920" spans="1:29" ht="12.75" customHeight="1" x14ac:dyDescent="0.2">
      <c r="A1920" s="1928">
        <v>1920</v>
      </c>
      <c r="B1920" s="5108"/>
      <c r="C1920" s="549" t="str">
        <f>IF(Ki!$P$27="-",", "&amp;Ki!$K$27,"")</f>
        <v/>
      </c>
      <c r="D1920" s="67"/>
      <c r="E1920" s="68"/>
      <c r="G1920" s="1703" t="str">
        <f t="shared" si="148"/>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49"/>
        <v>7</v>
      </c>
      <c r="R1920" s="1717" t="str">
        <f t="shared" si="150"/>
        <v/>
      </c>
      <c r="S1920" s="1715">
        <f>IF(R1919="",0,1)</f>
        <v>0</v>
      </c>
      <c r="T1920" s="1718">
        <f>SUM($S$1920:S1920)</f>
        <v>0</v>
      </c>
      <c r="U1920" s="5182"/>
      <c r="V1920" s="2797">
        <f>Principal!O23</f>
        <v>0</v>
      </c>
      <c r="AB1920" s="363"/>
      <c r="AC1920" s="2577"/>
    </row>
    <row r="1921" spans="1:29" ht="12.75" customHeight="1" x14ac:dyDescent="0.2">
      <c r="A1921" s="1928">
        <v>1921</v>
      </c>
      <c r="B1921" s="5108"/>
      <c r="C1921" s="549" t="str">
        <f>IF(Ki!$P$28="-",", "&amp;Ki!$L$28,"")</f>
        <v/>
      </c>
      <c r="D1921" s="67"/>
      <c r="E1921" s="68"/>
      <c r="G1921" s="1703" t="str">
        <f t="shared" si="148"/>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49"/>
        <v>29</v>
      </c>
      <c r="R1921" s="1717" t="str">
        <f t="shared" si="150"/>
        <v/>
      </c>
      <c r="S1921" s="1715">
        <f t="shared" ref="S1921:S1974" si="151">IF(R1920="",0,1)</f>
        <v>0</v>
      </c>
      <c r="T1921" s="1718">
        <f>SUM($S$1920:S1921)</f>
        <v>0</v>
      </c>
      <c r="U1921" s="5182"/>
      <c r="V1921" s="2797">
        <f>Principal!O24</f>
        <v>0</v>
      </c>
      <c r="AB1921" s="363"/>
      <c r="AC1921" s="2577"/>
    </row>
    <row r="1922" spans="1:29" ht="12.75" customHeight="1" x14ac:dyDescent="0.2">
      <c r="A1922" s="1928">
        <v>1922</v>
      </c>
      <c r="B1922" s="5108"/>
      <c r="C1922" s="549" t="str">
        <f>IF(Ki!$P$29="-",", "&amp;Ki!$M$29,"")</f>
        <v/>
      </c>
      <c r="D1922" s="67"/>
      <c r="E1922" s="68"/>
      <c r="G1922" s="1703" t="str">
        <f t="shared" si="148"/>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49"/>
        <v>31</v>
      </c>
      <c r="R1922" s="1717" t="str">
        <f t="shared" si="150"/>
        <v/>
      </c>
      <c r="S1922" s="1715">
        <f t="shared" si="151"/>
        <v>0</v>
      </c>
      <c r="T1922" s="1718">
        <f>SUM($S$1920:S1922)</f>
        <v>0</v>
      </c>
      <c r="U1922" s="5182"/>
      <c r="V1922" s="2797">
        <f>Principal!O25</f>
        <v>0</v>
      </c>
      <c r="AB1922" s="363"/>
      <c r="AC1922" s="2577"/>
    </row>
    <row r="1923" spans="1:29" ht="12.75" customHeight="1" x14ac:dyDescent="0.2">
      <c r="A1923" s="1928">
        <v>1923</v>
      </c>
      <c r="B1923" s="5108"/>
      <c r="C1923" s="549" t="str">
        <f>IF(Ki!$P$30="-",", "&amp;Ki!$N$30,"")</f>
        <v/>
      </c>
      <c r="D1923" s="67"/>
      <c r="E1923" s="68"/>
      <c r="G1923" s="1703" t="str">
        <f t="shared" si="148"/>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49"/>
        <v>49</v>
      </c>
      <c r="R1923" s="1717" t="str">
        <f t="shared" si="150"/>
        <v/>
      </c>
      <c r="S1923" s="1715">
        <f t="shared" si="151"/>
        <v>0</v>
      </c>
      <c r="T1923" s="1718">
        <f>SUM($S$1920:S1923)</f>
        <v>0</v>
      </c>
      <c r="U1923" s="5182"/>
      <c r="V1923" s="2797">
        <f>Principal!O26</f>
        <v>0</v>
      </c>
      <c r="AB1923" s="363"/>
      <c r="AC1923" s="2577"/>
    </row>
    <row r="1924" spans="1:29" ht="12.75" customHeight="1" x14ac:dyDescent="0.2">
      <c r="A1924" s="1928">
        <v>1924</v>
      </c>
      <c r="B1924" s="5108"/>
      <c r="C1924" s="549" t="str">
        <f>IF(Ki!$P$31="-",", "&amp;Ki!$M$31,"")</f>
        <v/>
      </c>
      <c r="D1924" s="67"/>
      <c r="E1924" s="68"/>
      <c r="G1924" s="1703" t="str">
        <f t="shared" si="148"/>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49"/>
        <v>43</v>
      </c>
      <c r="R1924" s="1717" t="str">
        <f t="shared" si="150"/>
        <v/>
      </c>
      <c r="S1924" s="1715">
        <f t="shared" si="151"/>
        <v>0</v>
      </c>
      <c r="T1924" s="1718">
        <f>SUM($S$1920:S1924)</f>
        <v>0</v>
      </c>
      <c r="U1924" s="5182"/>
      <c r="V1924" s="2797">
        <f>Principal!O27</f>
        <v>0</v>
      </c>
      <c r="AB1924" s="363"/>
      <c r="AC1924" s="2577"/>
    </row>
    <row r="1925" spans="1:29" ht="12.75" customHeight="1" x14ac:dyDescent="0.2">
      <c r="A1925" s="1928">
        <v>1925</v>
      </c>
      <c r="B1925" s="5108"/>
      <c r="C1925" s="549" t="str">
        <f>IF(Ki!$P$32="-",", "&amp;Ki!$K$32,"")</f>
        <v/>
      </c>
      <c r="D1925" s="67"/>
      <c r="E1925" s="68"/>
      <c r="G1925" s="1703" t="str">
        <f t="shared" si="148"/>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49"/>
        <v>38</v>
      </c>
      <c r="R1925" s="1717" t="str">
        <f t="shared" si="150"/>
        <v/>
      </c>
      <c r="S1925" s="1715">
        <f t="shared" si="151"/>
        <v>0</v>
      </c>
      <c r="T1925" s="1718">
        <f>SUM($S$1920:S1925)</f>
        <v>0</v>
      </c>
      <c r="U1925" s="5182"/>
      <c r="V1925" s="2797">
        <f>Principal!O28</f>
        <v>0</v>
      </c>
      <c r="AB1925" s="363"/>
      <c r="AC1925" s="2577"/>
    </row>
    <row r="1926" spans="1:29" ht="12.75" customHeight="1" x14ac:dyDescent="0.2">
      <c r="A1926" s="1928">
        <v>1926</v>
      </c>
      <c r="B1926" s="5108"/>
      <c r="C1926" s="549" t="str">
        <f>IF(Ki!$P$33="-",", "&amp;Ki!$L$33,"")</f>
        <v/>
      </c>
      <c r="D1926" s="67"/>
      <c r="E1926" s="68"/>
      <c r="G1926" s="1703" t="str">
        <f t="shared" si="148"/>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49"/>
        <v>18</v>
      </c>
      <c r="R1926" s="1717" t="str">
        <f t="shared" si="150"/>
        <v/>
      </c>
      <c r="S1926" s="1715">
        <f t="shared" si="151"/>
        <v>0</v>
      </c>
      <c r="T1926" s="1718">
        <f>SUM($S$1920:S1926)</f>
        <v>0</v>
      </c>
      <c r="U1926" s="5182"/>
      <c r="V1926" s="2797">
        <f>Principal!O29</f>
        <v>0</v>
      </c>
      <c r="AB1926" s="363"/>
      <c r="AC1926" s="2577"/>
    </row>
    <row r="1927" spans="1:29" ht="12.75" customHeight="1" x14ac:dyDescent="0.2">
      <c r="A1927" s="1928">
        <v>1927</v>
      </c>
      <c r="B1927" s="5108"/>
      <c r="C1927" s="549" t="str">
        <f>IF(Ki!$P$34="-",", "&amp;Ki!$M$34,"")</f>
        <v/>
      </c>
      <c r="D1927" s="67"/>
      <c r="E1927" s="68"/>
      <c r="G1927" s="1703" t="str">
        <f t="shared" si="148"/>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49"/>
        <v>24</v>
      </c>
      <c r="R1927" s="1717" t="str">
        <f t="shared" si="150"/>
        <v/>
      </c>
      <c r="S1927" s="1715">
        <f t="shared" si="151"/>
        <v>0</v>
      </c>
      <c r="T1927" s="1718">
        <f>SUM($S$1920:S1927)</f>
        <v>0</v>
      </c>
      <c r="U1927" s="5182"/>
      <c r="V1927" s="2797">
        <f>Principal!O30</f>
        <v>0</v>
      </c>
      <c r="AB1927" s="363"/>
      <c r="AC1927" s="2577"/>
    </row>
    <row r="1928" spans="1:29" ht="12.75" customHeight="1" x14ac:dyDescent="0.2">
      <c r="A1928" s="1928">
        <v>1928</v>
      </c>
      <c r="B1928" s="5108"/>
      <c r="C1928" s="549" t="str">
        <f>IF(Ki!$P$35="-",", "&amp;Ki!$N$35,"")</f>
        <v/>
      </c>
      <c r="D1928" s="67"/>
      <c r="E1928" s="68"/>
      <c r="G1928" s="1703" t="str">
        <f t="shared" si="148"/>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49"/>
        <v>26</v>
      </c>
      <c r="R1928" s="1717" t="str">
        <f t="shared" si="150"/>
        <v/>
      </c>
      <c r="S1928" s="1715">
        <f t="shared" si="151"/>
        <v>0</v>
      </c>
      <c r="T1928" s="1718">
        <f>SUM($S$1920:S1928)</f>
        <v>0</v>
      </c>
      <c r="U1928" s="5182"/>
      <c r="V1928" s="2797">
        <f>Principal!O31</f>
        <v>0</v>
      </c>
      <c r="AB1928" s="363"/>
      <c r="AC1928" s="2577"/>
    </row>
    <row r="1929" spans="1:29" ht="12.75" customHeight="1" x14ac:dyDescent="0.2">
      <c r="A1929" s="1928">
        <v>1929</v>
      </c>
      <c r="B1929" s="5108"/>
      <c r="C1929" s="549" t="str">
        <f>IF(Extensióndelauraalarma,", "&amp;Ki!$L$36,"")</f>
        <v/>
      </c>
      <c r="D1929" s="67"/>
      <c r="E1929" s="68"/>
      <c r="G1929" s="1703" t="str">
        <f t="shared" si="148"/>
        <v/>
      </c>
      <c r="H1929" s="67"/>
      <c r="I1929" s="67"/>
      <c r="J1929" s="1710"/>
      <c r="K1929" s="2198" t="b">
        <f>AND(NOT(Persuasión_final="-"),OR(PDs!T136&gt;4,PDs!W136&gt;0,PDs!X136&gt;0,$G$303&gt;0))</f>
        <v>0</v>
      </c>
      <c r="L1929" s="1721" t="s">
        <v>1740</v>
      </c>
      <c r="M1929" s="1720"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19" t="str">
        <f>IF(PDs!I136=0,"","("&amp;PDs!I136&amp;")")</f>
        <v/>
      </c>
      <c r="O1929" s="1722">
        <f>IF($G$370&gt;0,60,0)+IF($J$1861&gt;0,$K$1861,0)</f>
        <v>0</v>
      </c>
      <c r="P1929" s="1722" t="str">
        <f>IF(PDs!AI136,MID(PDs!AH136,4,25)&amp;MID(PDs!AG136,4,25),IF(OR($G$370&gt;0,$J$1861&gt;0),"Persuasión (Seducción)",""))</f>
        <v/>
      </c>
      <c r="Q1929" s="1717">
        <f t="shared" si="149"/>
        <v>37</v>
      </c>
      <c r="R1929" s="1717" t="str">
        <f t="shared" si="150"/>
        <v/>
      </c>
      <c r="S1929" s="1715">
        <f t="shared" si="151"/>
        <v>0</v>
      </c>
      <c r="T1929" s="1718">
        <f>SUM($S$1920:S1929)</f>
        <v>0</v>
      </c>
      <c r="U1929" s="5182"/>
      <c r="V1929" s="2797">
        <f>Principal!O32</f>
        <v>0</v>
      </c>
      <c r="AB1929" s="363"/>
      <c r="AC1929" s="2577"/>
    </row>
    <row r="1930" spans="1:29" ht="12.75" customHeight="1" x14ac:dyDescent="0.2">
      <c r="A1930" s="1928">
        <v>1930</v>
      </c>
      <c r="B1930" s="5108"/>
      <c r="C1930" s="549" t="str">
        <f>IF(Ki!$P$37="-",", "&amp;Ki!$M$37,"")</f>
        <v/>
      </c>
      <c r="D1930" s="67"/>
      <c r="E1930" s="68"/>
      <c r="G1930" s="1703" t="str">
        <f t="shared" si="148"/>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49"/>
        <v>14</v>
      </c>
      <c r="R1930" s="1717" t="str">
        <f t="shared" si="150"/>
        <v/>
      </c>
      <c r="S1930" s="1715">
        <f t="shared" si="151"/>
        <v>0</v>
      </c>
      <c r="T1930" s="1718">
        <f>SUM($S$1920:S1930)</f>
        <v>0</v>
      </c>
      <c r="U1930" s="5182"/>
      <c r="V1930" s="2797">
        <f>Principal!O33</f>
        <v>0</v>
      </c>
      <c r="AB1930" s="363"/>
      <c r="AC1930" s="2577"/>
    </row>
    <row r="1931" spans="1:29" ht="12.75" customHeight="1" x14ac:dyDescent="0.2">
      <c r="A1931" s="1928">
        <v>1931</v>
      </c>
      <c r="B1931" s="5108"/>
      <c r="C1931" s="549" t="str">
        <f>IF(Ki!$P$38="-",", "&amp;Ki!$M$38,"")</f>
        <v/>
      </c>
      <c r="D1931" s="67"/>
      <c r="E1931" s="68"/>
      <c r="G1931" s="1703" t="str">
        <f t="shared" si="148"/>
        <v/>
      </c>
      <c r="H1931" s="67"/>
      <c r="I1931" s="67"/>
      <c r="J1931" s="1710"/>
      <c r="K1931" s="2198" t="b">
        <f>AND(NOT(Callejeo_final="-"),OR(PDs!T138&gt;4,PDs!W138&gt;0,PDs!X138&gt;0,$G$303&gt;0))</f>
        <v>0</v>
      </c>
      <c r="L1931" s="1721" t="s">
        <v>1086</v>
      </c>
      <c r="M1931" s="1720"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19" t="str">
        <f>IF(PDs!I138=0,"","("&amp;PDs!I138&amp;")")</f>
        <v/>
      </c>
      <c r="O1931" s="1722">
        <v>40</v>
      </c>
      <c r="P1931" s="1722" t="s">
        <v>7880</v>
      </c>
      <c r="Q1931" s="1717">
        <f t="shared" si="149"/>
        <v>11</v>
      </c>
      <c r="R1931" s="1717" t="str">
        <f t="shared" si="150"/>
        <v/>
      </c>
      <c r="S1931" s="1715">
        <f t="shared" si="151"/>
        <v>0</v>
      </c>
      <c r="T1931" s="1718">
        <f>SUM($S$1920:S1931)</f>
        <v>0</v>
      </c>
      <c r="U1931" s="5182"/>
      <c r="V1931" s="2797">
        <f>Principal!O34</f>
        <v>0</v>
      </c>
      <c r="AB1931" s="363"/>
      <c r="AC1931" s="2577"/>
    </row>
    <row r="1932" spans="1:29" ht="12.75" customHeight="1" x14ac:dyDescent="0.2">
      <c r="A1932" s="1928">
        <v>1932</v>
      </c>
      <c r="B1932" s="5108"/>
      <c r="C1932" s="549" t="str">
        <f>IF(Ki!$P$39="-",", "&amp;Ki!$M$39,"")</f>
        <v/>
      </c>
      <c r="D1932" s="67"/>
      <c r="E1932" s="68"/>
      <c r="G1932" s="1703" t="str">
        <f t="shared" si="148"/>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49"/>
        <v>19</v>
      </c>
      <c r="R1932" s="1717" t="str">
        <f t="shared" si="150"/>
        <v/>
      </c>
      <c r="S1932" s="1715">
        <f t="shared" si="151"/>
        <v>0</v>
      </c>
      <c r="T1932" s="1718">
        <f>SUM($S$1920:S1932)</f>
        <v>0</v>
      </c>
      <c r="U1932" s="5182"/>
      <c r="V1932" s="2797">
        <f>Principal!O35</f>
        <v>0</v>
      </c>
      <c r="AB1932" s="363"/>
      <c r="AC1932" s="2577"/>
    </row>
    <row r="1933" spans="1:29" ht="12.75" customHeight="1" x14ac:dyDescent="0.2">
      <c r="A1933" s="1928">
        <v>1933</v>
      </c>
      <c r="B1933" s="5108"/>
      <c r="C1933" s="549" t="str">
        <f>IF(Ki!$P$40="-",", "&amp;Ki!$M$40,"")</f>
        <v/>
      </c>
      <c r="D1933" s="67"/>
      <c r="E1933" s="68"/>
      <c r="G1933" s="1703" t="str">
        <f t="shared" si="148"/>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49"/>
        <v>2</v>
      </c>
      <c r="R1933" s="1717" t="str">
        <f t="shared" si="150"/>
        <v/>
      </c>
      <c r="S1933" s="1715">
        <f t="shared" si="151"/>
        <v>0</v>
      </c>
      <c r="T1933" s="1718">
        <f>SUM($S$1920:S1933)</f>
        <v>0</v>
      </c>
      <c r="U1933" s="5182"/>
      <c r="V1933" s="2797">
        <f>Principal!O36</f>
        <v>0</v>
      </c>
      <c r="AB1933" s="363"/>
      <c r="AC1933" s="2577"/>
    </row>
    <row r="1934" spans="1:29" ht="12.75" customHeight="1" x14ac:dyDescent="0.2">
      <c r="A1934" s="1928">
        <v>1934</v>
      </c>
      <c r="B1934" s="5108"/>
      <c r="C1934" s="549" t="str">
        <f>IF(Ki!$P$41="-",", "&amp;Ki!$L$41,"")</f>
        <v/>
      </c>
      <c r="D1934" s="67"/>
      <c r="E1934" s="68"/>
      <c r="G1934" s="1703" t="str">
        <f t="shared" si="148"/>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49"/>
        <v>9</v>
      </c>
      <c r="R1934" s="1717" t="str">
        <f t="shared" si="150"/>
        <v/>
      </c>
      <c r="S1934" s="1715">
        <f t="shared" si="151"/>
        <v>0</v>
      </c>
      <c r="T1934" s="1718">
        <f>SUM($S$1920:S1934)</f>
        <v>0</v>
      </c>
      <c r="U1934" s="5182"/>
      <c r="V1934" s="2797">
        <f>Principal!O37</f>
        <v>0</v>
      </c>
      <c r="AB1934" s="363"/>
      <c r="AC1934" s="2577"/>
    </row>
    <row r="1935" spans="1:29" ht="12.75" customHeight="1" x14ac:dyDescent="0.2">
      <c r="A1935" s="1928">
        <v>1935</v>
      </c>
      <c r="B1935" s="5108"/>
      <c r="C1935" s="549" t="str">
        <f>IF(Ki!$P$42="-",", "&amp;Ki!$L$42,"")</f>
        <v/>
      </c>
      <c r="D1935" s="67"/>
      <c r="E1935" s="68"/>
      <c r="G1935" s="1703" t="str">
        <f t="shared" si="148"/>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49"/>
        <v>39</v>
      </c>
      <c r="R1935" s="1717" t="str">
        <f t="shared" si="150"/>
        <v/>
      </c>
      <c r="S1935" s="1715">
        <f t="shared" si="151"/>
        <v>0</v>
      </c>
      <c r="T1935" s="1718">
        <f>SUM($S$1920:S1935)</f>
        <v>0</v>
      </c>
      <c r="U1935" s="5182"/>
      <c r="V1935" s="2797">
        <f>Principal!O38</f>
        <v>0</v>
      </c>
      <c r="AB1935" s="363"/>
      <c r="AC1935" s="2577"/>
    </row>
    <row r="1936" spans="1:29" ht="12.75" customHeight="1" x14ac:dyDescent="0.2">
      <c r="A1936" s="1928">
        <v>1936</v>
      </c>
      <c r="B1936" s="5108"/>
      <c r="C1936" s="549" t="str">
        <f>IF(Ki!$P$43="-",", "&amp;Ki!$L$43,"")</f>
        <v/>
      </c>
      <c r="D1936" s="67"/>
      <c r="E1936" s="68"/>
      <c r="G1936" s="1703" t="str">
        <f t="shared" si="148"/>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49"/>
        <v>4</v>
      </c>
      <c r="R1936" s="1717" t="str">
        <f t="shared" si="150"/>
        <v/>
      </c>
      <c r="S1936" s="1715">
        <f t="shared" si="151"/>
        <v>0</v>
      </c>
      <c r="T1936" s="1718">
        <f>SUM($S$1920:S1936)</f>
        <v>0</v>
      </c>
      <c r="U1936" s="5182"/>
      <c r="V1936" s="2797">
        <f>Principal!O39</f>
        <v>0</v>
      </c>
      <c r="AB1936" s="363"/>
      <c r="AC1936" s="2577"/>
    </row>
    <row r="1937" spans="1:29" ht="12.75" customHeight="1" x14ac:dyDescent="0.2">
      <c r="A1937" s="1928">
        <v>1937</v>
      </c>
      <c r="B1937" s="5108"/>
      <c r="C1937" s="549" t="str">
        <f>IF(Ki!$P$44="-",", "&amp;Ki!$K$44,"")</f>
        <v/>
      </c>
      <c r="D1937" s="67"/>
      <c r="E1937" s="68"/>
      <c r="G1937" s="1703" t="str">
        <f t="shared" si="148"/>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49"/>
        <v>13</v>
      </c>
      <c r="R1937" s="1717" t="str">
        <f t="shared" si="150"/>
        <v/>
      </c>
      <c r="S1937" s="1715">
        <f t="shared" si="151"/>
        <v>0</v>
      </c>
      <c r="T1937" s="1718">
        <f>SUM($S$1920:S1937)</f>
        <v>0</v>
      </c>
      <c r="U1937" s="5182"/>
      <c r="V1937" s="2797">
        <f>Principal!O40</f>
        <v>0</v>
      </c>
      <c r="AB1937" s="363"/>
      <c r="AC1937" s="2577"/>
    </row>
    <row r="1938" spans="1:29" ht="12.75" customHeight="1" x14ac:dyDescent="0.2">
      <c r="A1938" s="1928">
        <v>1938</v>
      </c>
      <c r="B1938" s="5108"/>
      <c r="C1938" s="549" t="str">
        <f>IF(Ki!$P$45="-",", "&amp;Ki!$L$45,"")</f>
        <v/>
      </c>
      <c r="D1938" s="67"/>
      <c r="E1938" s="68"/>
      <c r="G1938" s="1703" t="str">
        <f t="shared" si="148"/>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49"/>
        <v>25</v>
      </c>
      <c r="R1938" s="1717" t="str">
        <f t="shared" si="150"/>
        <v/>
      </c>
      <c r="S1938" s="1715">
        <f t="shared" si="151"/>
        <v>0</v>
      </c>
      <c r="T1938" s="1718">
        <f>SUM($S$1920:S1938)</f>
        <v>0</v>
      </c>
      <c r="U1938" s="5182"/>
      <c r="V1938" s="2797">
        <f>Principal!O41</f>
        <v>0</v>
      </c>
      <c r="AB1938" s="363"/>
      <c r="AC1938" s="2577"/>
    </row>
    <row r="1939" spans="1:29" ht="12.75" customHeight="1" x14ac:dyDescent="0.2">
      <c r="A1939" s="1928">
        <v>1939</v>
      </c>
      <c r="B1939" s="5108"/>
      <c r="C1939" s="549" t="str">
        <f>IF(Ki!$P$46="-",", "&amp;Ki!$M$46,"")</f>
        <v/>
      </c>
      <c r="D1939" s="67"/>
      <c r="E1939" s="68"/>
      <c r="G1939" s="1703" t="str">
        <f t="shared" si="148"/>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49"/>
        <v>22</v>
      </c>
      <c r="R1939" s="1717" t="str">
        <f t="shared" si="150"/>
        <v/>
      </c>
      <c r="S1939" s="1715">
        <f t="shared" si="151"/>
        <v>0</v>
      </c>
      <c r="T1939" s="1718">
        <f>SUM($S$1920:S1939)</f>
        <v>0</v>
      </c>
      <c r="U1939" s="5182"/>
      <c r="V1939" s="2797">
        <f>Principal!O42</f>
        <v>0</v>
      </c>
      <c r="AB1939" s="363"/>
      <c r="AC1939" s="2577"/>
    </row>
    <row r="1940" spans="1:29" ht="12.75" customHeight="1" x14ac:dyDescent="0.2">
      <c r="A1940" s="1928">
        <v>1940</v>
      </c>
      <c r="B1940" s="5108"/>
      <c r="C1940" s="549" t="str">
        <f>IF(Ki!$P$47="-",", "&amp;Ki!$M$47,"")</f>
        <v/>
      </c>
      <c r="D1940" s="67"/>
      <c r="E1940" s="68"/>
      <c r="G1940" s="1703" t="str">
        <f t="shared" si="148"/>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49"/>
        <v>23</v>
      </c>
      <c r="R1940" s="1717" t="str">
        <f t="shared" si="150"/>
        <v/>
      </c>
      <c r="S1940" s="1715">
        <f t="shared" si="151"/>
        <v>0</v>
      </c>
      <c r="T1940" s="1718">
        <f>SUM($S$1920:S1940)</f>
        <v>0</v>
      </c>
      <c r="U1940" s="5182"/>
      <c r="V1940" s="2797">
        <f>Principal!O43</f>
        <v>0</v>
      </c>
      <c r="AB1940" s="363"/>
      <c r="AC1940" s="2577"/>
    </row>
    <row r="1941" spans="1:29" ht="12.75" customHeight="1" x14ac:dyDescent="0.2">
      <c r="A1941" s="1928">
        <v>1941</v>
      </c>
      <c r="B1941" s="5108"/>
      <c r="C1941" s="549" t="str">
        <f>IF(Ki!$P$48="-",", "&amp;Ki!$L$48,"")</f>
        <v/>
      </c>
      <c r="D1941" s="67"/>
      <c r="E1941" s="68"/>
      <c r="G1941" s="1703" t="str">
        <f t="shared" si="148"/>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49"/>
        <v>46</v>
      </c>
      <c r="R1941" s="1717" t="str">
        <f t="shared" si="150"/>
        <v/>
      </c>
      <c r="S1941" s="1715">
        <f t="shared" si="151"/>
        <v>0</v>
      </c>
      <c r="T1941" s="1718">
        <f>SUM($S$1920:S1941)</f>
        <v>0</v>
      </c>
      <c r="U1941" s="5182"/>
      <c r="V1941" s="2797">
        <f>Principal!O44</f>
        <v>0</v>
      </c>
      <c r="AB1941" s="363"/>
      <c r="AC1941" s="2577"/>
    </row>
    <row r="1942" spans="1:29" ht="12.75" customHeight="1" x14ac:dyDescent="0.2">
      <c r="A1942" s="1928">
        <v>1942</v>
      </c>
      <c r="B1942" s="5108"/>
      <c r="C1942" s="549" t="str">
        <f>IF(Usodelaenergíanecesaria,", "&amp;Ki!$K$49,"")</f>
        <v/>
      </c>
      <c r="D1942" s="67"/>
      <c r="E1942" s="68"/>
      <c r="G1942" s="1703" t="str">
        <f t="shared" si="148"/>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49"/>
        <v>27</v>
      </c>
      <c r="R1942" s="1717" t="str">
        <f t="shared" si="150"/>
        <v/>
      </c>
      <c r="S1942" s="1715">
        <f t="shared" si="151"/>
        <v>0</v>
      </c>
      <c r="T1942" s="1718">
        <f>SUM($S$1920:S1942)</f>
        <v>0</v>
      </c>
      <c r="U1942" s="5182"/>
      <c r="V1942" s="2797">
        <f>Principal!O45</f>
        <v>0</v>
      </c>
      <c r="AB1942" s="363"/>
      <c r="AC1942" s="2577"/>
    </row>
    <row r="1943" spans="1:29" ht="12.75" customHeight="1" x14ac:dyDescent="0.2">
      <c r="A1943" s="1928">
        <v>1943</v>
      </c>
      <c r="B1943" s="5108"/>
      <c r="C1943" s="549" t="str">
        <f>IF(Ki!$P$50="-",", "&amp;Ki!$L$50&amp;" "&amp;Ki!$F$36,"")</f>
        <v/>
      </c>
      <c r="D1943" s="67"/>
      <c r="E1943" s="68"/>
      <c r="G1943" s="1703" t="str">
        <f t="shared" si="148"/>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49"/>
        <v>28</v>
      </c>
      <c r="R1943" s="1717" t="str">
        <f t="shared" si="150"/>
        <v/>
      </c>
      <c r="S1943" s="1715">
        <f t="shared" si="151"/>
        <v>0</v>
      </c>
      <c r="T1943" s="1718">
        <f>SUM($S$1920:S1943)</f>
        <v>0</v>
      </c>
      <c r="U1943" s="5182"/>
      <c r="V1943" s="2797">
        <f>Principal!O46</f>
        <v>0</v>
      </c>
      <c r="AB1943" s="363"/>
      <c r="AC1943" s="2577"/>
    </row>
    <row r="1944" spans="1:29" ht="12.75" customHeight="1" x14ac:dyDescent="0.2">
      <c r="A1944" s="1928">
        <v>1944</v>
      </c>
      <c r="B1944" s="5108"/>
      <c r="C1944" s="549" t="str">
        <f>IF(Ki!$P$51="-",", "&amp;Ki!$M$51,"")</f>
        <v/>
      </c>
      <c r="D1944" s="67"/>
      <c r="E1944" s="68"/>
      <c r="G1944" s="1703" t="str">
        <f t="shared" si="148"/>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49"/>
        <v>32</v>
      </c>
      <c r="R1944" s="1717" t="str">
        <f t="shared" si="150"/>
        <v/>
      </c>
      <c r="S1944" s="1715">
        <f t="shared" si="151"/>
        <v>0</v>
      </c>
      <c r="T1944" s="1718">
        <f>SUM($S$1920:S1944)</f>
        <v>0</v>
      </c>
      <c r="U1944" s="5182"/>
      <c r="V1944" s="2797">
        <f>Principal!O47</f>
        <v>0</v>
      </c>
      <c r="AB1944" s="363"/>
      <c r="AC1944" s="2577"/>
    </row>
    <row r="1945" spans="1:29" ht="12.75" customHeight="1" x14ac:dyDescent="0.2">
      <c r="A1945" s="1928">
        <v>1945</v>
      </c>
      <c r="B1945" s="5108"/>
      <c r="C1945" s="549" t="str">
        <f>IF(Ki!$P$52="-",", "&amp;Ki!$M$52,"")</f>
        <v/>
      </c>
      <c r="D1945" s="67"/>
      <c r="E1945" s="68"/>
      <c r="G1945" s="1703" t="str">
        <f t="shared" si="148"/>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49"/>
        <v>34</v>
      </c>
      <c r="R1945" s="1717" t="str">
        <f t="shared" si="150"/>
        <v/>
      </c>
      <c r="S1945" s="1715">
        <f t="shared" si="151"/>
        <v>0</v>
      </c>
      <c r="T1945" s="1718">
        <f>SUM($S$1920:S1945)</f>
        <v>0</v>
      </c>
      <c r="U1945" s="5182"/>
      <c r="V1945" s="2797">
        <f>Principal!O48</f>
        <v>0</v>
      </c>
      <c r="AB1945" s="363"/>
      <c r="AC1945" s="2577"/>
    </row>
    <row r="1946" spans="1:29" ht="12.75" customHeight="1" x14ac:dyDescent="0.2">
      <c r="A1946" s="1928">
        <v>1946</v>
      </c>
      <c r="B1946" s="5108"/>
      <c r="C1946" s="549" t="str">
        <f>IF(Ki!$P$53="-",", "&amp;Ki!$L$53,"")</f>
        <v/>
      </c>
      <c r="D1946" s="67"/>
      <c r="E1946" s="68"/>
      <c r="G1946" s="1703" t="str">
        <f t="shared" si="148"/>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49"/>
        <v>47</v>
      </c>
      <c r="R1946" s="1717" t="str">
        <f t="shared" si="150"/>
        <v/>
      </c>
      <c r="S1946" s="1715">
        <f t="shared" si="151"/>
        <v>0</v>
      </c>
      <c r="T1946" s="1718">
        <f>SUM($S$1920:S1946)</f>
        <v>0</v>
      </c>
      <c r="U1946" s="5182"/>
      <c r="V1946" s="2797">
        <f>Principal!O49</f>
        <v>0</v>
      </c>
      <c r="AB1946" s="363"/>
      <c r="AC1946" s="2577"/>
    </row>
    <row r="1947" spans="1:29" ht="12.75" customHeight="1" x14ac:dyDescent="0.2">
      <c r="A1947" s="1928">
        <v>1947</v>
      </c>
      <c r="B1947" s="5108"/>
      <c r="C1947" s="549" t="str">
        <f>IF(Ki!$P$54="-",", "&amp;Ki!$M$54,"")</f>
        <v/>
      </c>
      <c r="D1947" s="67"/>
      <c r="E1947" s="68"/>
      <c r="G1947" s="1703" t="str">
        <f t="shared" si="148"/>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49"/>
        <v>50</v>
      </c>
      <c r="R1947" s="1717" t="str">
        <f t="shared" si="150"/>
        <v/>
      </c>
      <c r="S1947" s="1715">
        <f t="shared" si="151"/>
        <v>0</v>
      </c>
      <c r="T1947" s="1718">
        <f>SUM($S$1920:S1947)</f>
        <v>0</v>
      </c>
      <c r="U1947" s="5182"/>
      <c r="V1947" s="2797">
        <f>Principal!O50</f>
        <v>0</v>
      </c>
      <c r="AB1947" s="363"/>
      <c r="AC1947" s="2577"/>
    </row>
    <row r="1948" spans="1:29" ht="12.75" customHeight="1" x14ac:dyDescent="0.2">
      <c r="A1948" s="1928">
        <v>1948</v>
      </c>
      <c r="B1948" s="5108"/>
      <c r="C1948" s="549" t="str">
        <f>IF(Ki!$P$55="-",", "&amp;Ki!$M$55,"")</f>
        <v/>
      </c>
      <c r="D1948" s="67"/>
      <c r="E1948" s="68"/>
      <c r="G1948" s="1703" t="str">
        <f t="shared" si="148"/>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49"/>
        <v>21</v>
      </c>
      <c r="R1948" s="1717" t="str">
        <f t="shared" si="150"/>
        <v/>
      </c>
      <c r="S1948" s="1715">
        <f t="shared" si="151"/>
        <v>0</v>
      </c>
      <c r="T1948" s="1718">
        <f>SUM($S$1920:S1948)</f>
        <v>0</v>
      </c>
      <c r="U1948" s="5182"/>
      <c r="V1948" s="2797">
        <f>Principal!O51</f>
        <v>0</v>
      </c>
      <c r="AB1948" s="363"/>
      <c r="AC1948" s="2577"/>
    </row>
    <row r="1949" spans="1:29" ht="12.75" customHeight="1" x14ac:dyDescent="0.2">
      <c r="A1949" s="1928">
        <v>1949</v>
      </c>
      <c r="B1949" s="5108"/>
      <c r="C1949" s="549" t="str">
        <f>IF(Ki!$P$56="-",", "&amp;Ki!$M$56,"")</f>
        <v/>
      </c>
      <c r="D1949" s="67"/>
      <c r="E1949" s="68"/>
      <c r="G1949" s="1703" t="str">
        <f t="shared" si="148"/>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49"/>
        <v>36</v>
      </c>
      <c r="R1949" s="1717" t="str">
        <f t="shared" si="150"/>
        <v/>
      </c>
      <c r="S1949" s="1715">
        <f t="shared" si="151"/>
        <v>0</v>
      </c>
      <c r="T1949" s="1718">
        <f>SUM($S$1920:S1949)</f>
        <v>0</v>
      </c>
      <c r="U1949" s="5182"/>
      <c r="V1949" s="2797">
        <f>Principal!O52</f>
        <v>0</v>
      </c>
      <c r="AB1949" s="363"/>
      <c r="AC1949" s="2577"/>
    </row>
    <row r="1950" spans="1:29" ht="12.75" customHeight="1" x14ac:dyDescent="0.2">
      <c r="A1950" s="1928">
        <v>1950</v>
      </c>
      <c r="B1950" s="5108"/>
      <c r="C1950" s="549" t="str">
        <f>IF(Ki!$P$57="-",", "&amp;Ki!$L$57,"")</f>
        <v/>
      </c>
      <c r="D1950" s="67"/>
      <c r="E1950" s="68"/>
      <c r="G1950" s="1703" t="str">
        <f t="shared" si="148"/>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49"/>
        <v>40</v>
      </c>
      <c r="R1950" s="1717" t="str">
        <f t="shared" si="150"/>
        <v/>
      </c>
      <c r="S1950" s="1715">
        <f t="shared" si="151"/>
        <v>0</v>
      </c>
      <c r="T1950" s="1718">
        <f>SUM($S$1920:S1950)</f>
        <v>0</v>
      </c>
      <c r="U1950" s="5182"/>
      <c r="V1950" s="2797">
        <f>Principal!O53</f>
        <v>0</v>
      </c>
      <c r="AB1950" s="363"/>
      <c r="AC1950" s="2577"/>
    </row>
    <row r="1951" spans="1:29" ht="12.75" customHeight="1" x14ac:dyDescent="0.2">
      <c r="A1951" s="1928">
        <v>1951</v>
      </c>
      <c r="B1951" s="5108"/>
      <c r="C1951" s="549" t="str">
        <f>IF(Ki!$P$58="-",", "&amp;Ki!$M$58,"")</f>
        <v/>
      </c>
      <c r="D1951" s="67"/>
      <c r="E1951" s="68"/>
      <c r="G1951" s="1703" t="str">
        <f t="shared" ref="G1951:G1969" si="152">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53">COUNTIF($L$1919:$L$1969,"&lt;="&amp;L1951)</f>
        <v>12</v>
      </c>
      <c r="R1951" s="1717" t="str">
        <f t="shared" ref="R1951:R1974" si="154">INDEX($M$1919:$M$1974,MATCH($A33,$Q$1919:$Q$1974,0))</f>
        <v/>
      </c>
      <c r="S1951" s="1715">
        <f t="shared" si="151"/>
        <v>0</v>
      </c>
      <c r="T1951" s="1718">
        <f>SUM($S$1920:S1951)</f>
        <v>0</v>
      </c>
      <c r="U1951" s="5182"/>
      <c r="V1951" s="2797">
        <f>Principal!O54</f>
        <v>0</v>
      </c>
      <c r="AB1951" s="363"/>
      <c r="AC1951" s="2577"/>
    </row>
    <row r="1952" spans="1:29" ht="12.75" customHeight="1" x14ac:dyDescent="0.2">
      <c r="A1952" s="1928">
        <v>1952</v>
      </c>
      <c r="B1952" s="5108"/>
      <c r="C1952" s="549" t="str">
        <f>IF(Ki!$P$59="-",", "&amp;Ki!$N$59,"")</f>
        <v/>
      </c>
      <c r="D1952" s="67"/>
      <c r="E1952" s="68"/>
      <c r="G1952" s="1703" t="str">
        <f t="shared" si="152"/>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53"/>
        <v>17</v>
      </c>
      <c r="R1952" s="1717" t="str">
        <f t="shared" si="154"/>
        <v/>
      </c>
      <c r="S1952" s="1715">
        <f t="shared" si="151"/>
        <v>0</v>
      </c>
      <c r="T1952" s="1718">
        <f>SUM($S$1920:S1952)</f>
        <v>0</v>
      </c>
      <c r="U1952" s="5182"/>
      <c r="V1952" s="2797">
        <f>Principal!O55</f>
        <v>0</v>
      </c>
      <c r="AB1952" s="363"/>
      <c r="AC1952" s="2577"/>
    </row>
    <row r="1953" spans="1:29" ht="12.75" customHeight="1" x14ac:dyDescent="0.2">
      <c r="A1953" s="1928">
        <v>1953</v>
      </c>
      <c r="B1953" s="5108"/>
      <c r="C1953" s="549" t="str">
        <f>IF(Ki!$P$60="-",", "&amp;Ki!$L$60,"")</f>
        <v/>
      </c>
      <c r="D1953" s="67"/>
      <c r="E1953" s="68"/>
      <c r="G1953" s="1703" t="str">
        <f t="shared" si="152"/>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53"/>
        <v>33</v>
      </c>
      <c r="R1953" s="1717" t="str">
        <f t="shared" si="154"/>
        <v/>
      </c>
      <c r="S1953" s="1715">
        <f t="shared" si="151"/>
        <v>0</v>
      </c>
      <c r="T1953" s="1718">
        <f>SUM($S$1920:S1953)</f>
        <v>0</v>
      </c>
      <c r="U1953" s="5182"/>
      <c r="V1953" s="2797">
        <f>Principal!O56</f>
        <v>0</v>
      </c>
      <c r="AB1953" s="363"/>
      <c r="AC1953" s="2577"/>
    </row>
    <row r="1954" spans="1:29" ht="12.75" customHeight="1" x14ac:dyDescent="0.2">
      <c r="A1954" s="1928">
        <v>1954</v>
      </c>
      <c r="B1954" s="5108"/>
      <c r="C1954" s="549" t="str">
        <f>IF(Ki!$P$61="-",", "&amp;Ki!$M$61,"")</f>
        <v/>
      </c>
      <c r="D1954" s="67"/>
      <c r="E1954" s="68"/>
      <c r="G1954" s="1703" t="str">
        <f t="shared" si="152"/>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53"/>
        <v>41</v>
      </c>
      <c r="R1954" s="1717" t="str">
        <f t="shared" si="154"/>
        <v/>
      </c>
      <c r="S1954" s="1715">
        <f t="shared" si="151"/>
        <v>0</v>
      </c>
      <c r="T1954" s="2809">
        <f>SUM($S$1920:S1954)</f>
        <v>0</v>
      </c>
      <c r="U1954" s="5182"/>
      <c r="V1954" s="2797">
        <f>Principal!O57</f>
        <v>0</v>
      </c>
      <c r="AB1954" s="363"/>
      <c r="AC1954" s="2577"/>
    </row>
    <row r="1955" spans="1:29" ht="12.75" customHeight="1" x14ac:dyDescent="0.2">
      <c r="A1955" s="1928">
        <v>1955</v>
      </c>
      <c r="B1955" s="5108"/>
      <c r="C1955" s="549" t="str">
        <f>IF(Ki!$P$62="-",", "&amp;Ki!$K$62,"")</f>
        <v/>
      </c>
      <c r="D1955" s="67"/>
      <c r="E1955" s="68"/>
      <c r="G1955" s="1703" t="str">
        <f>IF(AND(T1955&gt;0,NOT(R1955="")),", "&amp;R1955,R1955)</f>
        <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53"/>
        <v>44</v>
      </c>
      <c r="R1955" s="1717" t="str">
        <f t="shared" si="154"/>
        <v/>
      </c>
      <c r="S1955" s="1715">
        <f t="shared" si="151"/>
        <v>0</v>
      </c>
      <c r="T1955" s="2809">
        <f>SUM($S$1920:S1955)</f>
        <v>0</v>
      </c>
      <c r="U1955" s="5182"/>
      <c r="V1955" s="2797">
        <f>Principal!O58</f>
        <v>0</v>
      </c>
      <c r="AB1955" s="363"/>
      <c r="AC1955" s="2577"/>
    </row>
    <row r="1956" spans="1:29" ht="12.75" customHeight="1" x14ac:dyDescent="0.2">
      <c r="A1956" s="1928">
        <v>1956</v>
      </c>
      <c r="B1956" s="5108"/>
      <c r="C1956" s="549"/>
      <c r="D1956" s="67"/>
      <c r="E1956" s="68"/>
      <c r="G1956" s="1703" t="str">
        <f t="shared" si="152"/>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53"/>
        <v>48</v>
      </c>
      <c r="R1956" s="1717" t="str">
        <f t="shared" si="154"/>
        <v/>
      </c>
      <c r="S1956" s="1715">
        <f t="shared" si="151"/>
        <v>0</v>
      </c>
      <c r="T1956" s="2809">
        <f>SUM($S$1920:S1956)</f>
        <v>0</v>
      </c>
      <c r="U1956" s="5182"/>
      <c r="V1956" s="2797">
        <f>Principal!O59</f>
        <v>0</v>
      </c>
      <c r="AB1956" s="363"/>
      <c r="AC1956" s="2577"/>
    </row>
    <row r="1957" spans="1:29" ht="12.75" customHeight="1" x14ac:dyDescent="0.2">
      <c r="A1957" s="1928">
        <v>1957</v>
      </c>
      <c r="B1957" s="5108"/>
      <c r="C1957" s="549"/>
      <c r="D1957" s="67"/>
      <c r="E1957" s="68"/>
      <c r="G1957" s="1703" t="str">
        <f t="shared" si="152"/>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53"/>
        <v>51</v>
      </c>
      <c r="R1957" s="1717" t="str">
        <f t="shared" si="154"/>
        <v/>
      </c>
      <c r="S1957" s="1715">
        <f t="shared" si="151"/>
        <v>0</v>
      </c>
      <c r="T1957" s="2809">
        <f>SUM($S$1920:S1957)</f>
        <v>0</v>
      </c>
      <c r="U1957" s="5182"/>
      <c r="V1957" s="2797">
        <f>Principal!O60</f>
        <v>0</v>
      </c>
      <c r="AB1957" s="363"/>
      <c r="AC1957" s="2577"/>
    </row>
    <row r="1958" spans="1:29" ht="12.75" customHeight="1" x14ac:dyDescent="0.2">
      <c r="A1958" s="1928">
        <v>1958</v>
      </c>
      <c r="B1958" s="5108"/>
      <c r="C1958" s="549" t="str">
        <f>IF(Ki!$H$43="-",IF(SUM(Ki!$Q$10:$Q$64)=0,Ki!$C$43,", "&amp;Ki!$C$43),"")</f>
        <v/>
      </c>
      <c r="D1958" s="67"/>
      <c r="E1958" s="68"/>
      <c r="G1958" s="1703" t="str">
        <f t="shared" si="152"/>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53"/>
        <v>6</v>
      </c>
      <c r="R1958" s="1717" t="str">
        <f t="shared" si="154"/>
        <v/>
      </c>
      <c r="S1958" s="1715">
        <f t="shared" si="151"/>
        <v>0</v>
      </c>
      <c r="T1958" s="2809">
        <f>SUM($S$1920:S1958)</f>
        <v>0</v>
      </c>
      <c r="U1958" s="5182"/>
      <c r="V1958" s="2797">
        <f>Principal!O61</f>
        <v>0</v>
      </c>
      <c r="AB1958" s="363"/>
      <c r="AC1958" s="2577"/>
    </row>
    <row r="1959" spans="1:29" ht="12.75" customHeight="1" x14ac:dyDescent="0.2">
      <c r="A1959" s="1928">
        <v>1959</v>
      </c>
      <c r="B1959" s="5108"/>
      <c r="C1959" s="549" t="str">
        <f>IF(Ki!$H$45="-",", "&amp;Ki!$C$45,"")</f>
        <v/>
      </c>
      <c r="D1959" s="67"/>
      <c r="E1959" s="68"/>
      <c r="G1959" s="1703" t="str">
        <f t="shared" si="152"/>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53"/>
        <v>8</v>
      </c>
      <c r="R1959" s="1717" t="str">
        <f t="shared" si="154"/>
        <v/>
      </c>
      <c r="S1959" s="1715">
        <f t="shared" si="151"/>
        <v>0</v>
      </c>
      <c r="T1959" s="2809">
        <f>SUM($S$1920:S1959)</f>
        <v>0</v>
      </c>
      <c r="U1959" s="5182"/>
      <c r="V1959" s="2797">
        <f>Principal!O62</f>
        <v>0</v>
      </c>
      <c r="AB1959" s="363"/>
      <c r="AC1959" s="2577"/>
    </row>
    <row r="1960" spans="1:29" ht="12.75" customHeight="1" x14ac:dyDescent="0.2">
      <c r="A1960" s="1928">
        <v>1960</v>
      </c>
      <c r="B1960" s="5108"/>
      <c r="C1960" s="549" t="str">
        <f>IF(Ki!$H$46="-",", "&amp;Ki!$D$46,"")</f>
        <v/>
      </c>
      <c r="D1960" s="67"/>
      <c r="E1960" s="68"/>
      <c r="G1960" s="1703" t="str">
        <f t="shared" si="152"/>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53"/>
        <v>20</v>
      </c>
      <c r="R1960" s="1717" t="str">
        <f t="shared" si="154"/>
        <v/>
      </c>
      <c r="S1960" s="1715">
        <f t="shared" si="151"/>
        <v>0</v>
      </c>
      <c r="T1960" s="2809">
        <f>SUM($S$1920:S1960)</f>
        <v>0</v>
      </c>
      <c r="U1960" s="5182"/>
      <c r="V1960" s="2797">
        <f>Principal!O63</f>
        <v>0</v>
      </c>
      <c r="AB1960" s="363"/>
      <c r="AC1960" s="2577"/>
    </row>
    <row r="1961" spans="1:29" ht="12.75" customHeight="1" x14ac:dyDescent="0.2">
      <c r="A1961" s="1928">
        <v>1961</v>
      </c>
      <c r="B1961" s="5108"/>
      <c r="C1961" s="549" t="str">
        <f>IF(Ki!$H$47="-",", "&amp;Ki!$C$47,"")</f>
        <v/>
      </c>
      <c r="D1961" s="67"/>
      <c r="E1961" s="68"/>
      <c r="G1961" s="1703" t="str">
        <f t="shared" si="152"/>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53"/>
        <v>42</v>
      </c>
      <c r="R1961" s="1717" t="str">
        <f t="shared" si="154"/>
        <v/>
      </c>
      <c r="S1961" s="1715">
        <f t="shared" si="151"/>
        <v>0</v>
      </c>
      <c r="T1961" s="2809">
        <f>SUM($S$1920:S1961)</f>
        <v>0</v>
      </c>
      <c r="U1961" s="5182"/>
      <c r="V1961" s="2797">
        <f>Principal!O64</f>
        <v>0</v>
      </c>
      <c r="AB1961" s="363"/>
      <c r="AC1961" s="2577"/>
    </row>
    <row r="1962" spans="1:29" ht="12.75" customHeight="1" x14ac:dyDescent="0.2">
      <c r="A1962" s="1928">
        <v>1962</v>
      </c>
      <c r="B1962" s="5108"/>
      <c r="C1962" s="549" t="str">
        <f>IF(Ki!$H$48="-",", "&amp;Ki!$D$48,"")</f>
        <v/>
      </c>
      <c r="D1962" s="67"/>
      <c r="E1962" s="68"/>
      <c r="G1962" s="1703" t="str">
        <f t="shared" si="152"/>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53"/>
        <v>3</v>
      </c>
      <c r="R1962" s="1717" t="str">
        <f t="shared" si="154"/>
        <v/>
      </c>
      <c r="S1962" s="1715">
        <f t="shared" si="151"/>
        <v>0</v>
      </c>
      <c r="T1962" s="2809">
        <f>SUM($S$1920:S1962)</f>
        <v>0</v>
      </c>
      <c r="U1962" s="5182"/>
      <c r="V1962" s="2797">
        <f>Principal!O65</f>
        <v>0</v>
      </c>
      <c r="AB1962" s="363"/>
      <c r="AC1962" s="2577"/>
    </row>
    <row r="1963" spans="1:29" ht="12.75" customHeight="1" x14ac:dyDescent="0.2">
      <c r="A1963" s="1928">
        <v>1963</v>
      </c>
      <c r="B1963" s="5108"/>
      <c r="C1963" s="549" t="str">
        <f>IF(Ki!$H$49="-",", "&amp;Ki!$C$49,"")</f>
        <v/>
      </c>
      <c r="D1963" s="67"/>
      <c r="E1963" s="68"/>
      <c r="G1963" s="1703" t="str">
        <f t="shared" si="152"/>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53"/>
        <v>5</v>
      </c>
      <c r="R1963" s="1717" t="str">
        <f t="shared" si="154"/>
        <v/>
      </c>
      <c r="S1963" s="1715">
        <f t="shared" si="151"/>
        <v>0</v>
      </c>
      <c r="T1963" s="2809">
        <f>SUM($S$1920:S1963)</f>
        <v>0</v>
      </c>
      <c r="U1963" s="5182"/>
      <c r="V1963" s="2797">
        <f>Principal!O66</f>
        <v>0</v>
      </c>
      <c r="AB1963" s="363"/>
      <c r="AC1963" s="2577"/>
    </row>
    <row r="1964" spans="1:29" ht="12.75" customHeight="1" x14ac:dyDescent="0.2">
      <c r="A1964" s="1928">
        <v>1964</v>
      </c>
      <c r="B1964" s="5108"/>
      <c r="C1964" s="549" t="str">
        <f>IF(Ki!$H$50="-",", "&amp;Ki!$D$50,"")</f>
        <v/>
      </c>
      <c r="D1964" s="67"/>
      <c r="E1964" s="68"/>
      <c r="G1964" s="1703" t="str">
        <f t="shared" si="152"/>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53"/>
        <v>30</v>
      </c>
      <c r="R1964" s="1717" t="str">
        <f t="shared" si="154"/>
        <v/>
      </c>
      <c r="S1964" s="1715">
        <f t="shared" si="151"/>
        <v>0</v>
      </c>
      <c r="T1964" s="2809">
        <f>SUM($S$1920:S1964)</f>
        <v>0</v>
      </c>
      <c r="U1964" s="5182"/>
      <c r="V1964" s="2797">
        <f>Principal!O67</f>
        <v>0</v>
      </c>
      <c r="AB1964" s="363"/>
      <c r="AC1964" s="2577"/>
    </row>
    <row r="1965" spans="1:29" ht="12.75" customHeight="1" x14ac:dyDescent="0.2">
      <c r="A1965" s="1928">
        <v>1965</v>
      </c>
      <c r="B1965" s="5108"/>
      <c r="C1965" s="549" t="str">
        <f>IF(Ki!$H$51="-",", "&amp;Ki!$C$51,"")</f>
        <v/>
      </c>
      <c r="D1965" s="67"/>
      <c r="E1965" s="68"/>
      <c r="G1965" s="1703" t="str">
        <f t="shared" si="152"/>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53"/>
        <v>45</v>
      </c>
      <c r="R1965" s="1717" t="str">
        <f t="shared" si="154"/>
        <v/>
      </c>
      <c r="S1965" s="1715">
        <f t="shared" si="151"/>
        <v>0</v>
      </c>
      <c r="T1965" s="2809">
        <f>SUM($S$1920:S1965)</f>
        <v>0</v>
      </c>
      <c r="U1965" s="5182"/>
      <c r="V1965" s="2797">
        <f>Principal!O68</f>
        <v>0</v>
      </c>
      <c r="AB1965" s="363"/>
      <c r="AC1965" s="2577"/>
    </row>
    <row r="1966" spans="1:29" ht="12.75" customHeight="1" x14ac:dyDescent="0.2">
      <c r="A1966" s="1928">
        <v>1966</v>
      </c>
      <c r="B1966" s="5108"/>
      <c r="C1966" s="549" t="str">
        <f>IF(Ki!$H$52="-",", "&amp;Ki!$D$52,"")</f>
        <v/>
      </c>
      <c r="D1966" s="67"/>
      <c r="E1966" s="68"/>
      <c r="G1966" s="1703" t="str">
        <f t="shared" si="152"/>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53"/>
        <v>10</v>
      </c>
      <c r="R1966" s="1717" t="str">
        <f t="shared" si="154"/>
        <v/>
      </c>
      <c r="S1966" s="1715">
        <f t="shared" si="151"/>
        <v>0</v>
      </c>
      <c r="T1966" s="2809">
        <f>SUM($S$1920:S1966)</f>
        <v>0</v>
      </c>
      <c r="U1966" s="5182"/>
      <c r="V1966" s="2797">
        <f>Principal!O69</f>
        <v>0</v>
      </c>
      <c r="AB1966" s="363"/>
      <c r="AC1966" s="2577"/>
    </row>
    <row r="1967" spans="1:29" ht="12.75" customHeight="1" x14ac:dyDescent="0.2">
      <c r="A1967" s="1928">
        <v>1967</v>
      </c>
      <c r="B1967" s="5108"/>
      <c r="C1967" s="549" t="str">
        <f>IF(Ki!$H$53="-",", "&amp;Ki!$C$53,"")</f>
        <v/>
      </c>
      <c r="D1967" s="67"/>
      <c r="E1967" s="68"/>
      <c r="G1967" s="1703" t="str">
        <f t="shared" si="152"/>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53"/>
        <v>35</v>
      </c>
      <c r="R1967" s="1717" t="str">
        <f t="shared" si="154"/>
        <v/>
      </c>
      <c r="S1967" s="1715">
        <f t="shared" si="151"/>
        <v>0</v>
      </c>
      <c r="T1967" s="2809">
        <f>SUM($S$1920:S1967)</f>
        <v>0</v>
      </c>
      <c r="U1967" s="5182"/>
      <c r="V1967" s="2797">
        <f>Principal!O70</f>
        <v>0</v>
      </c>
      <c r="AB1967" s="363"/>
      <c r="AC1967" s="2577"/>
    </row>
    <row r="1968" spans="1:29" ht="12.75" customHeight="1" x14ac:dyDescent="0.2">
      <c r="A1968" s="1928">
        <v>1968</v>
      </c>
      <c r="B1968" s="5108"/>
      <c r="C1968" s="549" t="str">
        <f>IF(Ki!$H$54="-",", "&amp;Ki!$C$54,"")</f>
        <v/>
      </c>
      <c r="D1968" s="67"/>
      <c r="E1968" s="68"/>
      <c r="G1968" s="1703" t="str">
        <f t="shared" si="152"/>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53"/>
        <v>16</v>
      </c>
      <c r="R1968" s="1717" t="str">
        <f t="shared" si="154"/>
        <v/>
      </c>
      <c r="S1968" s="1715">
        <f t="shared" si="151"/>
        <v>0</v>
      </c>
      <c r="T1968" s="2809">
        <f>SUM($S$1920:S1968)</f>
        <v>0</v>
      </c>
      <c r="U1968" s="5182"/>
      <c r="V1968" s="2797">
        <f>Principal!O71</f>
        <v>0</v>
      </c>
      <c r="AB1968" s="363"/>
      <c r="AC1968" s="2577"/>
    </row>
    <row r="1969" spans="1:29" ht="12.75" customHeight="1" x14ac:dyDescent="0.2">
      <c r="A1969" s="1928">
        <v>1969</v>
      </c>
      <c r="B1969" s="5108"/>
      <c r="C1969" s="549" t="str">
        <f>IF(CuerpodeVacío,", "&amp;Ki!$C$56,"")</f>
        <v/>
      </c>
      <c r="D1969" s="67"/>
      <c r="E1969" s="68"/>
      <c r="G1969" s="1703" t="str">
        <f t="shared" si="152"/>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53"/>
        <v>15</v>
      </c>
      <c r="R1969" s="1717" t="str">
        <f t="shared" si="154"/>
        <v/>
      </c>
      <c r="S1969" s="1715">
        <f t="shared" si="151"/>
        <v>0</v>
      </c>
      <c r="T1969" s="2809">
        <f>SUM($S$1920:S1969)</f>
        <v>0</v>
      </c>
      <c r="U1969" s="5182"/>
      <c r="V1969" s="2797">
        <f>Principal!O72</f>
        <v>0</v>
      </c>
      <c r="AB1969" s="363"/>
      <c r="AC1969" s="2577"/>
    </row>
    <row r="1970" spans="1:29" ht="12.75" customHeight="1" x14ac:dyDescent="0.2">
      <c r="A1970" s="1928">
        <v>1970</v>
      </c>
      <c r="B1970" s="5108"/>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54"/>
        <v/>
      </c>
      <c r="S1970" s="1715">
        <f t="shared" si="151"/>
        <v>0</v>
      </c>
      <c r="T1970" s="2809">
        <f>SUM($S$1920:S1970)</f>
        <v>0</v>
      </c>
      <c r="U1970" s="5182"/>
      <c r="V1970" s="2797">
        <f>Principal!O73</f>
        <v>0</v>
      </c>
      <c r="AB1970" s="363"/>
      <c r="AC1970" s="2577"/>
    </row>
    <row r="1971" spans="1:29" ht="12.75" customHeight="1" x14ac:dyDescent="0.2">
      <c r="A1971" s="1928">
        <v>1971</v>
      </c>
      <c r="B1971" s="5108"/>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54"/>
        <v/>
      </c>
      <c r="S1971" s="1715">
        <f t="shared" si="151"/>
        <v>0</v>
      </c>
      <c r="T1971" s="2809">
        <f>SUM($S$1920:S1971)</f>
        <v>0</v>
      </c>
      <c r="U1971" s="5182"/>
      <c r="V1971" s="2797">
        <f>Principal!O74</f>
        <v>0</v>
      </c>
      <c r="AB1971" s="363"/>
      <c r="AC1971" s="2577"/>
    </row>
    <row r="1972" spans="1:29" ht="12.75" customHeight="1" x14ac:dyDescent="0.2">
      <c r="A1972" s="1928">
        <v>1972</v>
      </c>
      <c r="B1972" s="5108"/>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55">Q1971+1</f>
        <v>54</v>
      </c>
      <c r="R1972" s="1717" t="str">
        <f t="shared" si="154"/>
        <v/>
      </c>
      <c r="S1972" s="1715">
        <f t="shared" si="151"/>
        <v>0</v>
      </c>
      <c r="T1972" s="2809">
        <f>SUM($S$1920:S1972)</f>
        <v>0</v>
      </c>
      <c r="U1972" s="5182"/>
      <c r="V1972" s="2797">
        <f>Principal!O75</f>
        <v>0</v>
      </c>
      <c r="AB1972" s="363"/>
      <c r="AC1972" s="2577"/>
    </row>
    <row r="1973" spans="1:29" ht="12.75" customHeight="1" x14ac:dyDescent="0.2">
      <c r="A1973" s="1928">
        <v>1973</v>
      </c>
      <c r="B1973" s="5108"/>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55"/>
        <v>55</v>
      </c>
      <c r="R1973" s="1717" t="str">
        <f t="shared" si="154"/>
        <v/>
      </c>
      <c r="S1973" s="1715">
        <f t="shared" si="151"/>
        <v>0</v>
      </c>
      <c r="T1973" s="2809">
        <f>SUM($S$1920:S1973)</f>
        <v>0</v>
      </c>
      <c r="U1973" s="5182"/>
      <c r="V1973" s="2797">
        <f>Principal!O76</f>
        <v>0</v>
      </c>
      <c r="AB1973" s="363"/>
      <c r="AC1973" s="2577"/>
    </row>
    <row r="1974" spans="1:29" ht="12.75" customHeight="1" thickBot="1" x14ac:dyDescent="0.25">
      <c r="A1974" s="1928">
        <v>1974</v>
      </c>
      <c r="B1974" s="5108"/>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55"/>
        <v>56</v>
      </c>
      <c r="R1974" s="2795" t="str">
        <f t="shared" si="154"/>
        <v/>
      </c>
      <c r="S1974" s="2791">
        <f t="shared" si="151"/>
        <v>0</v>
      </c>
      <c r="T1974" s="2796">
        <f>SUM($S$1920:S1974)</f>
        <v>0</v>
      </c>
      <c r="U1974" s="5183"/>
      <c r="V1974" s="2798">
        <f>Principal!O77</f>
        <v>0</v>
      </c>
      <c r="AB1974" s="363"/>
      <c r="AC1974" s="2577"/>
    </row>
    <row r="1975" spans="1:29" ht="12.75" customHeight="1" x14ac:dyDescent="0.2">
      <c r="A1975" s="1928">
        <v>1975</v>
      </c>
      <c r="B1975" s="5108"/>
      <c r="C1975" s="549" t="str">
        <f>IF(Ki!$H$61="-",", "&amp;Ki!$C$61,"")</f>
        <v/>
      </c>
      <c r="D1975" s="67"/>
      <c r="E1975" s="68"/>
      <c r="H1975" s="363"/>
      <c r="I1975" s="1665"/>
      <c r="N1975" s="363"/>
      <c r="O1975" s="2011"/>
      <c r="AB1975" s="363"/>
      <c r="AC1975" s="2577"/>
    </row>
    <row r="1976" spans="1:29" ht="12.75" customHeight="1" x14ac:dyDescent="0.2">
      <c r="A1976" s="1928">
        <v>1976</v>
      </c>
      <c r="B1976" s="5108"/>
      <c r="C1976" s="549" t="str">
        <f>IF(Ki!$H$62="-",", "&amp;Ki!$C$62,"")</f>
        <v/>
      </c>
      <c r="D1976" s="67"/>
      <c r="E1976" s="68"/>
      <c r="H1976" s="363"/>
      <c r="I1976" s="1665"/>
      <c r="N1976" s="363"/>
      <c r="O1976" s="2011"/>
      <c r="AB1976" s="363"/>
      <c r="AC1976" s="2577"/>
    </row>
    <row r="1977" spans="1:29" ht="12.75" customHeight="1" x14ac:dyDescent="0.2">
      <c r="A1977" s="1928">
        <v>1977</v>
      </c>
      <c r="B1977" s="5108"/>
      <c r="C1977" s="549" t="str">
        <f>IF(Inhumanidad,", "&amp;"Inhumanidad","")</f>
        <v/>
      </c>
      <c r="D1977" s="67"/>
      <c r="E1977" s="68"/>
      <c r="H1977" s="363"/>
      <c r="I1977" s="1665"/>
      <c r="N1977" s="363"/>
      <c r="O1977" s="2011"/>
      <c r="AB1977" s="363"/>
      <c r="AC1977" s="2577"/>
    </row>
    <row r="1978" spans="1:29" ht="12.75" customHeight="1" thickBot="1" x14ac:dyDescent="0.25">
      <c r="A1978" s="1928">
        <v>1978</v>
      </c>
      <c r="B1978" s="5108"/>
      <c r="C1978" s="550" t="str">
        <f>IF(Zen,", "&amp;"Zen","")</f>
        <v/>
      </c>
      <c r="D1978" s="179"/>
      <c r="E1978" s="180"/>
      <c r="H1978" s="363"/>
      <c r="I1978" s="1665"/>
      <c r="N1978" s="363"/>
      <c r="O1978" s="2011"/>
      <c r="AB1978" s="363"/>
      <c r="AC1978" s="2577"/>
    </row>
    <row r="1979" spans="1:29" ht="12.75" customHeight="1" x14ac:dyDescent="0.2">
      <c r="A1979" s="1928">
        <v>1979</v>
      </c>
      <c r="B1979" s="5108"/>
      <c r="H1979" s="363"/>
      <c r="I1979" s="1665"/>
      <c r="N1979" s="363"/>
      <c r="O1979" s="2011"/>
      <c r="AB1979" s="363"/>
      <c r="AC1979" s="2577"/>
    </row>
    <row r="1980" spans="1:29" ht="12.75" customHeight="1" x14ac:dyDescent="0.2">
      <c r="A1980" s="1928">
        <v>1980</v>
      </c>
      <c r="B1980" s="5108"/>
      <c r="C1980" s="5173" t="s">
        <v>913</v>
      </c>
      <c r="D1980" s="5173"/>
      <c r="E1980" s="5173"/>
      <c r="F1980" s="5174"/>
      <c r="H1980" s="363"/>
      <c r="I1980" s="1665"/>
      <c r="N1980" s="363"/>
      <c r="O1980" s="2011"/>
      <c r="AB1980" s="363"/>
      <c r="AC1980" s="2577"/>
    </row>
    <row r="1981" spans="1:29" ht="12.75" customHeight="1" x14ac:dyDescent="0.2">
      <c r="A1981" s="1928">
        <v>1981</v>
      </c>
      <c r="B1981" s="5108"/>
      <c r="C1981" s="5175"/>
      <c r="D1981" s="5175"/>
      <c r="E1981" s="5175"/>
      <c r="F1981" s="4084"/>
      <c r="H1981" s="363"/>
      <c r="I1981" s="1665"/>
      <c r="N1981" s="363"/>
      <c r="O1981" s="2011"/>
      <c r="AB1981" s="363"/>
      <c r="AC1981" s="2577"/>
    </row>
    <row r="1982" spans="1:29" ht="12.75" customHeight="1" x14ac:dyDescent="0.2">
      <c r="A1982" s="1928">
        <v>1982</v>
      </c>
      <c r="B1982" s="5108"/>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108"/>
      <c r="C1983" s="2244" t="str">
        <f t="shared" ref="C1983:C1998" si="156">IF(D1983="","",COUNTIF($D$1983:$D$2025,"&lt;="&amp;D1983)-SUMPRODUCT(--($D$1983:$D$2025="")))</f>
        <v/>
      </c>
      <c r="D1983" s="1703" t="str">
        <f>IF(Combate!AL11=" ","",Combate!AL11)</f>
        <v/>
      </c>
      <c r="E1983" s="2178" t="str">
        <f>IF(ISNA(VLOOKUP(MIN($C$1983:$C$2025)+A1-1,$C$1983:$D$2025,2,0)),"",VLOOKUP(MIN($C$1983:$C$2025)+A1-1,$C$1983:$D$2025,2,0))</f>
        <v/>
      </c>
      <c r="F1983" s="525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65"/>
      <c r="N1983" s="363"/>
      <c r="O1983" s="2011"/>
      <c r="AB1983" s="363"/>
      <c r="AC1983" s="2577"/>
    </row>
    <row r="1984" spans="1:29" ht="12.75" customHeight="1" thickBot="1" x14ac:dyDescent="0.25">
      <c r="A1984" s="1928">
        <v>1984</v>
      </c>
      <c r="B1984" s="5108"/>
      <c r="C1984" s="2243" t="str">
        <f t="shared" si="156"/>
        <v/>
      </c>
      <c r="D1984" s="1703" t="str">
        <f>IF(Combate!AL12=" ","",Combate!AL12)</f>
        <v/>
      </c>
      <c r="E1984" s="2179" t="str">
        <f t="shared" ref="E1984:E2025" si="157">IF(ISNA(VLOOKUP(MIN($C$1983:$C$2025)+A2-1,$C$1983:$D$2025,2,0)),"",", "&amp;VLOOKUP(MIN($C$1983:$C$2025)+A2-1,$C$1983:$D$2025,2,0))</f>
        <v/>
      </c>
      <c r="F1984" s="5254"/>
      <c r="H1984" s="363"/>
      <c r="I1984" s="1665"/>
      <c r="N1984" s="363"/>
      <c r="O1984" s="2011"/>
      <c r="AB1984" s="363"/>
      <c r="AC1984" s="2577"/>
    </row>
    <row r="1985" spans="1:31" ht="12.75" customHeight="1" x14ac:dyDescent="0.2">
      <c r="A1985" s="1928">
        <v>1985</v>
      </c>
      <c r="B1985" s="5108"/>
      <c r="C1985" s="2243" t="str">
        <f t="shared" si="156"/>
        <v/>
      </c>
      <c r="D1985" s="1703" t="str">
        <f>IF(Combate!AL13=" ","",Combate!AL13)</f>
        <v/>
      </c>
      <c r="E1985" s="2179" t="str">
        <f t="shared" si="157"/>
        <v/>
      </c>
      <c r="F1985" s="5254"/>
      <c r="H1985" s="3130" t="s">
        <v>8679</v>
      </c>
      <c r="I1985" s="3131"/>
      <c r="J1985" s="3131"/>
      <c r="K1985" s="3131"/>
      <c r="L1985" s="3131"/>
      <c r="M1985" s="3131"/>
      <c r="N1985" s="3131"/>
      <c r="O1985" s="3131"/>
      <c r="P1985" s="3131"/>
      <c r="Q1985" s="3131"/>
      <c r="R1985" s="3131"/>
      <c r="S1985" s="3131"/>
      <c r="T1985" s="3131"/>
      <c r="U1985" s="3131"/>
      <c r="V1985" s="3131"/>
      <c r="W1985" s="3131"/>
      <c r="X1985" s="3131"/>
      <c r="Y1985" s="3131"/>
      <c r="Z1985" s="3131"/>
      <c r="AA1985" s="3131"/>
      <c r="AB1985" s="3131"/>
      <c r="AC1985" s="3132"/>
    </row>
    <row r="1986" spans="1:31" ht="12.75" customHeight="1" x14ac:dyDescent="0.2">
      <c r="A1986" s="1928">
        <v>1986</v>
      </c>
      <c r="B1986" s="5108"/>
      <c r="C1986" s="2243" t="str">
        <f t="shared" si="156"/>
        <v/>
      </c>
      <c r="D1986" s="1703" t="str">
        <f>IF(Combate!AL14=" ","",Combate!AL14)</f>
        <v/>
      </c>
      <c r="E1986" s="2179" t="str">
        <f t="shared" si="157"/>
        <v/>
      </c>
      <c r="F1986" s="5254"/>
      <c r="H1986" s="4922" t="s">
        <v>8678</v>
      </c>
      <c r="I1986" s="5173"/>
      <c r="J1986" s="4264" t="s">
        <v>8677</v>
      </c>
      <c r="K1986" s="4264"/>
      <c r="L1986" s="4264"/>
      <c r="M1986" s="4264"/>
      <c r="N1986" s="4264"/>
      <c r="O1986" s="4264"/>
      <c r="P1986" s="4264"/>
      <c r="Q1986" s="4264"/>
      <c r="R1986" s="4264"/>
      <c r="S1986" s="4264"/>
      <c r="T1986" s="4264"/>
      <c r="U1986" s="4264"/>
      <c r="V1986" s="4264"/>
      <c r="W1986" s="4264"/>
      <c r="X1986" s="4264"/>
      <c r="Y1986" s="4264"/>
      <c r="Z1986" s="4264"/>
      <c r="AA1986" s="4264"/>
      <c r="AB1986" s="4264"/>
      <c r="AC1986" s="4084"/>
    </row>
    <row r="1987" spans="1:31" ht="12.75" customHeight="1" x14ac:dyDescent="0.2">
      <c r="A1987" s="1928">
        <v>1987</v>
      </c>
      <c r="B1987" s="5108"/>
      <c r="C1987" s="2243" t="str">
        <f t="shared" si="156"/>
        <v/>
      </c>
      <c r="D1987" s="1703" t="str">
        <f>IF(Combate!AL15=" ","",Combate!AL15)</f>
        <v/>
      </c>
      <c r="E1987" s="2179" t="str">
        <f t="shared" si="157"/>
        <v/>
      </c>
      <c r="F1987" s="5254"/>
      <c r="H1987" s="2189" t="s">
        <v>1674</v>
      </c>
      <c r="I1987" s="2673" t="s">
        <v>8687</v>
      </c>
      <c r="J1987" s="5258" t="str">
        <f>IF(ISNA(VLOOKUP(A1,$AD$1990:$AE$2017,2,FALSE)),"",VLOOKUP(A1,$AD$1990:$AE$2017,2,FALSE))</f>
        <v/>
      </c>
      <c r="K1987" s="5259"/>
      <c r="L1987" s="5259" t="str">
        <f>IF(ISNA(VLOOKUP(B1,$AD$1990:$AE$2017,2,FALSE)),"",VLOOKUP(B1,$AD$1990:$AE$2017,2,FALSE))</f>
        <v/>
      </c>
      <c r="M1987" s="5259"/>
      <c r="N1987" s="5259" t="str">
        <f>IF(ISNA(VLOOKUP(C1,$AD$1990:$AE$2017,2,FALSE)),"",VLOOKUP(C1,$AD$1990:$AE$2017,2,FALSE))</f>
        <v/>
      </c>
      <c r="O1987" s="5259"/>
      <c r="P1987" s="5259" t="str">
        <f>IF(ISNA(VLOOKUP(D1,$AD$1990:$AE$2017,2,FALSE)),"",VLOOKUP(D1,$AD$1990:$AE$2017,2,FALSE))</f>
        <v/>
      </c>
      <c r="Q1987" s="5259"/>
      <c r="R1987" s="5259" t="str">
        <f>IF(ISNA(VLOOKUP(E1,$AD$1990:$AE$2017,2,FALSE)),"",VLOOKUP(E1,$AD$1990:$AE$2017,2,FALSE))</f>
        <v/>
      </c>
      <c r="S1987" s="5259"/>
      <c r="T1987" s="5259" t="str">
        <f>IF(ISNA(VLOOKUP(F1,$AD$1990:$AE$2017,2,FALSE)),"",VLOOKUP(F1,$AD$1990:$AE$2017,2,FALSE))</f>
        <v/>
      </c>
      <c r="U1987" s="5259"/>
      <c r="V1987" s="5259" t="str">
        <f>IF(ISNA(VLOOKUP(G1,$AD$1990:$AE$2017,2,FALSE)),"",VLOOKUP(G1,$AD$1990:$AE$2017,2,FALSE))</f>
        <v/>
      </c>
      <c r="W1987" s="5259"/>
      <c r="X1987" s="5259" t="str">
        <f>IF(ISNA(VLOOKUP(H1,$AD$1990:$AE$2017,2,FALSE)),"",VLOOKUP(H1,$AD$1990:$AE$2017,2,FALSE))</f>
        <v/>
      </c>
      <c r="Y1987" s="5259"/>
      <c r="Z1987" s="5259" t="str">
        <f>IF(ISNA(VLOOKUP(I1,$AD$1990:$AE$2017,2,FALSE)),"",VLOOKUP(I1,$AD$1990:$AE$2017,2,FALSE))</f>
        <v/>
      </c>
      <c r="AA1987" s="5259"/>
      <c r="AB1987" s="5259" t="str">
        <f>IF(ISNA(VLOOKUP(J1,$AD$1990:$AE$2017,2,FALSE)),"",VLOOKUP(J1,$AD$1990:$AE$2017,2,FALSE))</f>
        <v/>
      </c>
      <c r="AC1987" s="5260"/>
    </row>
    <row r="1988" spans="1:31" ht="12.75" customHeight="1" x14ac:dyDescent="0.2">
      <c r="A1988" s="1928">
        <v>1988</v>
      </c>
      <c r="B1988" s="5108"/>
      <c r="C1988" s="2243" t="str">
        <f t="shared" si="156"/>
        <v/>
      </c>
      <c r="D1988" s="2167" t="str">
        <f>IF(Combate!AL16=" ","",Combate!AL16)</f>
        <v/>
      </c>
      <c r="E1988" s="2179" t="str">
        <f t="shared" si="157"/>
        <v/>
      </c>
      <c r="F1988" s="5254"/>
      <c r="H1988" s="2154" t="str">
        <f>IF(ISNA(VLOOKUP(A1,Principal!$S$42:$AH$69,10,FALSE)),"",IF(VLOOKUP(A1,Principal!$S$42:$AH$69,10,FALSE)=0,"",INDEX(PoderesDeCriatura_Adquiridos,MATCH(A1,Principal!$S$42:$S$69,0))))</f>
        <v/>
      </c>
      <c r="I1988" s="2301" t="str">
        <f>H1988</f>
        <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268" t="s">
        <v>8680</v>
      </c>
      <c r="AE1988" s="5269"/>
    </row>
    <row r="1989" spans="1:31" ht="12.75" customHeight="1" x14ac:dyDescent="0.2">
      <c r="A1989" s="1928">
        <v>1989</v>
      </c>
      <c r="B1989" s="5108"/>
      <c r="C1989" s="2243" t="str">
        <f t="shared" si="156"/>
        <v/>
      </c>
      <c r="D1989" s="1703" t="str">
        <f>Combate!AB19</f>
        <v/>
      </c>
      <c r="E1989" s="2179" t="str">
        <f t="shared" si="157"/>
        <v/>
      </c>
      <c r="F1989" s="5254"/>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108"/>
      <c r="C1990" s="2243" t="str">
        <f t="shared" si="156"/>
        <v/>
      </c>
      <c r="D1990" s="1703" t="str">
        <f>Combate!AB20</f>
        <v/>
      </c>
      <c r="E1990" s="2179" t="str">
        <f t="shared" si="157"/>
        <v/>
      </c>
      <c r="F1990" s="5254"/>
      <c r="H1990" s="2154" t="str">
        <f>IF(ISNA(VLOOKUP(A3,Principal!$S$42:$AH$69,10,FALSE)),"",IF(VLOOKUP(A3,Principal!$S$42:$AH$69,10,FALSE)=0,"",INDEX(PoderesDeCriatura_Adquiridos,MATCH(A3,Principal!$S$42:$S$69,0))))</f>
        <v/>
      </c>
      <c r="I1990" s="2301" t="str">
        <f t="shared" ref="I1990:I2017" si="158">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108"/>
      <c r="C1991" s="2243" t="str">
        <f t="shared" si="156"/>
        <v/>
      </c>
      <c r="D1991" s="1703" t="str">
        <f>Combate!AB21</f>
        <v/>
      </c>
      <c r="E1991" s="2179" t="str">
        <f t="shared" si="157"/>
        <v/>
      </c>
      <c r="F1991" s="5254"/>
      <c r="H1991" s="2154" t="str">
        <f>IF(ISNA(VLOOKUP(A4,Principal!$S$42:$AH$69,10,FALSE)),"",IF(VLOOKUP(A4,Principal!$S$42:$AH$69,10,FALSE)=0,"",INDEX(PoderesDeCriatura_Adquiridos,MATCH(A4,Principal!$S$42:$S$69,0))))</f>
        <v/>
      </c>
      <c r="I1991" s="2301" t="str">
        <f t="shared" si="158"/>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59">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59"/>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60">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61">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62">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63">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64">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65">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6">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7">IF(AB1991="","",", "&amp;AB1991)</f>
        <v/>
      </c>
      <c r="AD1991" s="2166" t="str">
        <f>IF(OR(AE1991=0,ISNUMBER(MATCH(AE1991,$AE$1990:$AE1990,0))),"",MAX($AD$1989:AD1990)+1)</f>
        <v/>
      </c>
      <c r="AE1991" s="2194">
        <f>Principal!V43</f>
        <v>0</v>
      </c>
    </row>
    <row r="1992" spans="1:31" ht="12.75" customHeight="1" x14ac:dyDescent="0.2">
      <c r="A1992" s="1928">
        <v>1992</v>
      </c>
      <c r="B1992" s="5108"/>
      <c r="C1992" s="2243" t="str">
        <f t="shared" si="156"/>
        <v/>
      </c>
      <c r="D1992" s="1703" t="str">
        <f>Combate!AB22</f>
        <v/>
      </c>
      <c r="E1992" s="2179" t="str">
        <f t="shared" si="157"/>
        <v/>
      </c>
      <c r="F1992" s="5254"/>
      <c r="H1992" s="2154" t="str">
        <f>IF(ISNA(VLOOKUP(A5,Principal!$S$42:$AH$69,10,FALSE)),"",IF(VLOOKUP(A5,Principal!$S$42:$AH$69,10,FALSE)=0,"",INDEX(PoderesDeCriatura_Adquiridos,MATCH(A5,Principal!$S$42:$S$69,0))))</f>
        <v/>
      </c>
      <c r="I1992" s="2301" t="str">
        <f t="shared" si="158"/>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59"/>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59"/>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68">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69">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70">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71">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72">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73">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74">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75">IF(AB1992="","",", "&amp;AB1992)</f>
        <v/>
      </c>
      <c r="AD1992" s="2166" t="str">
        <f>IF(OR(AE1992=0,ISNUMBER(MATCH(AE1992,$AE$1990:$AE1991,0))),"",MAX($AD$1989:AD1991)+1)</f>
        <v/>
      </c>
      <c r="AE1992" s="2194">
        <f>Principal!V44</f>
        <v>0</v>
      </c>
    </row>
    <row r="1993" spans="1:31" ht="12.75" customHeight="1" x14ac:dyDescent="0.2">
      <c r="A1993" s="1928">
        <v>1993</v>
      </c>
      <c r="B1993" s="5108"/>
      <c r="C1993" s="2243" t="str">
        <f t="shared" si="156"/>
        <v/>
      </c>
      <c r="D1993" s="1703" t="str">
        <f>Combate!AB23</f>
        <v/>
      </c>
      <c r="E1993" s="2179" t="str">
        <f t="shared" si="157"/>
        <v/>
      </c>
      <c r="F1993" s="5254"/>
      <c r="H1993" s="2154" t="str">
        <f>IF(ISNA(VLOOKUP(A6,Principal!$S$42:$AH$69,10,FALSE)),"",IF(VLOOKUP(A6,Principal!$S$42:$AH$69,10,FALSE)=0,"",INDEX(PoderesDeCriatura_Adquiridos,MATCH(A6,Principal!$S$42:$S$69,0))))</f>
        <v/>
      </c>
      <c r="I1993" s="2301" t="str">
        <f t="shared" si="158"/>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59"/>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59"/>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6">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7">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78">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79">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80">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81">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82">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83">IF(AB1993="","",", "&amp;AB1993)</f>
        <v/>
      </c>
      <c r="AD1993" s="2166" t="str">
        <f>IF(OR(AE1993=0,ISNUMBER(MATCH(AE1993,$AE$1990:$AE1992,0))),"",MAX($AD$1989:AD1992)+1)</f>
        <v/>
      </c>
      <c r="AE1993" s="2194">
        <f>Principal!V45</f>
        <v>0</v>
      </c>
    </row>
    <row r="1994" spans="1:31" ht="12.75" customHeight="1" x14ac:dyDescent="0.2">
      <c r="A1994" s="1928">
        <v>1994</v>
      </c>
      <c r="B1994" s="5108"/>
      <c r="C1994" s="2243" t="str">
        <f t="shared" si="156"/>
        <v/>
      </c>
      <c r="D1994" s="1703" t="str">
        <f>Combate!AB24</f>
        <v/>
      </c>
      <c r="E1994" s="2179" t="str">
        <f t="shared" si="157"/>
        <v/>
      </c>
      <c r="F1994" s="5254"/>
      <c r="H1994" s="2154" t="str">
        <f>IF(ISNA(VLOOKUP(A7,Principal!$S$42:$AH$69,10,FALSE)),"",IF(VLOOKUP(A7,Principal!$S$42:$AH$69,10,FALSE)=0,"",INDEX(PoderesDeCriatura_Adquiridos,MATCH(A7,Principal!$S$42:$S$69,0))))</f>
        <v/>
      </c>
      <c r="I1994" s="2301" t="str">
        <f t="shared" si="158"/>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59"/>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59"/>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84">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85">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6">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7">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88">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89">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90">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91">IF(AB1994="","",", "&amp;AB1994)</f>
        <v/>
      </c>
      <c r="AD1994" s="2166" t="str">
        <f>IF(OR(AE1994=0,ISNUMBER(MATCH(AE1994,$AE$1990:$AE1993,0))),"",MAX($AD$1989:AD1993)+1)</f>
        <v/>
      </c>
      <c r="AE1994" s="2194">
        <f>Principal!V46</f>
        <v>0</v>
      </c>
    </row>
    <row r="1995" spans="1:31" ht="12.75" customHeight="1" x14ac:dyDescent="0.2">
      <c r="A1995" s="1928">
        <v>1995</v>
      </c>
      <c r="B1995" s="5108"/>
      <c r="C1995" s="2243" t="str">
        <f t="shared" si="156"/>
        <v/>
      </c>
      <c r="D1995" s="1703" t="str">
        <f>Combate!AB25</f>
        <v/>
      </c>
      <c r="E1995" s="2179" t="str">
        <f t="shared" si="157"/>
        <v/>
      </c>
      <c r="F1995" s="5254"/>
      <c r="H1995" s="2154" t="str">
        <f>IF(ISNA(VLOOKUP(A8,Principal!$S$42:$AH$69,10,FALSE)),"",IF(VLOOKUP(A8,Principal!$S$42:$AH$69,10,FALSE)=0,"",INDEX(PoderesDeCriatura_Adquiridos,MATCH(A8,Principal!$S$42:$S$69,0))))</f>
        <v/>
      </c>
      <c r="I1995" s="2301" t="str">
        <f t="shared" si="158"/>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59"/>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59"/>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92">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93">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94">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95">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6">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7">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198">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199">IF(AB1995="","",", "&amp;AB1995)</f>
        <v/>
      </c>
      <c r="AD1995" s="2166" t="str">
        <f>IF(OR(AE1995=0,ISNUMBER(MATCH(AE1995,$AE$1990:$AE1994,0))),"",MAX($AD$1989:AD1994)+1)</f>
        <v/>
      </c>
      <c r="AE1995" s="2194">
        <f>Principal!V47</f>
        <v>0</v>
      </c>
    </row>
    <row r="1996" spans="1:31" ht="12.75" customHeight="1" x14ac:dyDescent="0.2">
      <c r="A1996" s="1928">
        <v>1996</v>
      </c>
      <c r="B1996" s="5108"/>
      <c r="C1996" s="2243" t="str">
        <f t="shared" si="156"/>
        <v/>
      </c>
      <c r="D1996" s="1703" t="str">
        <f>Combate!AB26</f>
        <v/>
      </c>
      <c r="E1996" s="2179" t="str">
        <f t="shared" si="157"/>
        <v/>
      </c>
      <c r="F1996" s="5254"/>
      <c r="H1996" s="2154" t="str">
        <f>IF(ISNA(VLOOKUP(A9,Principal!$S$42:$AH$69,10,FALSE)),"",IF(VLOOKUP(A9,Principal!$S$42:$AH$69,10,FALSE)=0,"",INDEX(PoderesDeCriatura_Adquiridos,MATCH(A9,Principal!$S$42:$S$69,0))))</f>
        <v/>
      </c>
      <c r="I1996" s="2301" t="str">
        <f t="shared" si="158"/>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59"/>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59"/>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200">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201">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202">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203">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204">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205">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6">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7">IF(AB1996="","",", "&amp;AB1996)</f>
        <v/>
      </c>
      <c r="AD1996" s="2166" t="str">
        <f>IF(OR(AE1996=0,ISNUMBER(MATCH(AE1996,$AE$1990:$AE1995,0))),"",MAX($AD$1989:AD1995)+1)</f>
        <v/>
      </c>
      <c r="AE1996" s="2194">
        <f>Principal!V48</f>
        <v>0</v>
      </c>
    </row>
    <row r="1997" spans="1:31" ht="12.75" customHeight="1" x14ac:dyDescent="0.2">
      <c r="A1997" s="1928">
        <v>1997</v>
      </c>
      <c r="B1997" s="5108"/>
      <c r="C1997" s="2243" t="str">
        <f t="shared" si="156"/>
        <v/>
      </c>
      <c r="D1997" s="1703" t="str">
        <f>Combate!AB27</f>
        <v/>
      </c>
      <c r="E1997" s="2179" t="str">
        <f t="shared" si="157"/>
        <v/>
      </c>
      <c r="F1997" s="5254"/>
      <c r="H1997" s="2154" t="str">
        <f>IF(ISNA(VLOOKUP(A10,Principal!$S$42:$AH$69,10,FALSE)),"",IF(VLOOKUP(A10,Principal!$S$42:$AH$69,10,FALSE)=0,"",INDEX(PoderesDeCriatura_Adquiridos,MATCH(A10,Principal!$S$42:$S$69,0))))</f>
        <v/>
      </c>
      <c r="I1997" s="2301" t="str">
        <f t="shared" si="158"/>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59"/>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59"/>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08">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09">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10">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11">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12">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13">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14">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15">IF(AB1997="","",", "&amp;AB1997)</f>
        <v/>
      </c>
      <c r="AD1997" s="2166" t="str">
        <f>IF(OR(AE1997=0,ISNUMBER(MATCH(AE1997,$AE$1990:$AE1996,0))),"",MAX($AD$1989:AD1996)+1)</f>
        <v/>
      </c>
      <c r="AE1997" s="2194">
        <f>Principal!V49</f>
        <v>0</v>
      </c>
    </row>
    <row r="1998" spans="1:31" ht="12.75" customHeight="1" x14ac:dyDescent="0.2">
      <c r="A1998" s="1928">
        <v>1998</v>
      </c>
      <c r="B1998" s="5108"/>
      <c r="C1998" s="2243" t="str">
        <f t="shared" si="156"/>
        <v/>
      </c>
      <c r="D1998" s="2168" t="str">
        <f>Combate!AB28</f>
        <v/>
      </c>
      <c r="E1998" s="2179" t="str">
        <f t="shared" si="157"/>
        <v/>
      </c>
      <c r="F1998" s="5254"/>
      <c r="H1998" s="2154" t="str">
        <f>IF(ISNA(VLOOKUP(A11,Principal!$S$42:$AH$69,10,FALSE)),"",IF(VLOOKUP(A11,Principal!$S$42:$AH$69,10,FALSE)=0,"",INDEX(PoderesDeCriatura_Adquiridos,MATCH(A11,Principal!$S$42:$S$69,0))))</f>
        <v/>
      </c>
      <c r="I1998" s="2301" t="str">
        <f t="shared" si="158"/>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59"/>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59"/>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6">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7">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18">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19">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20">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21">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22">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23">IF(AB1998="","",", "&amp;AB1998)</f>
        <v/>
      </c>
      <c r="AD1998" s="2166" t="str">
        <f>IF(OR(AE1998=0,ISNUMBER(MATCH(AE1998,$AE$1990:$AE1997,0))),"",MAX($AD$1989:AD1997)+1)</f>
        <v/>
      </c>
      <c r="AE1998" s="2194">
        <f>Principal!V50</f>
        <v>0</v>
      </c>
    </row>
    <row r="1999" spans="1:31" ht="12.75" customHeight="1" x14ac:dyDescent="0.2">
      <c r="A1999" s="1928">
        <v>1999</v>
      </c>
      <c r="B1999" s="5108"/>
      <c r="C1999" s="2247"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3" t="str">
        <f>Combate!AB31</f>
        <v/>
      </c>
      <c r="E1999" s="2179" t="str">
        <f t="shared" si="157"/>
        <v/>
      </c>
      <c r="F1999" s="5254"/>
      <c r="H1999" s="2154" t="str">
        <f>IF(ISNA(VLOOKUP(A12,Principal!$S$42:$AH$69,10,FALSE)),"",IF(VLOOKUP(A12,Principal!$S$42:$AH$69,10,FALSE)=0,"",INDEX(PoderesDeCriatura_Adquiridos,MATCH(A12,Principal!$S$42:$S$69,0))))</f>
        <v/>
      </c>
      <c r="I1999" s="2301" t="str">
        <f t="shared" si="158"/>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59"/>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59"/>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25">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6">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7">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28">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29">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30">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31">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32">IF(AB1999="","",", "&amp;AB1999)</f>
        <v/>
      </c>
      <c r="AD1999" s="2166" t="str">
        <f>IF(OR(AE1999=0,ISNUMBER(MATCH(AE1999,$AE$1990:$AE1998,0))),"",MAX($AD$1989:AD1998)+1)</f>
        <v/>
      </c>
      <c r="AE1999" s="2194">
        <f>Principal!V51</f>
        <v>0</v>
      </c>
    </row>
    <row r="2000" spans="1:31" ht="12.75" customHeight="1" x14ac:dyDescent="0.2">
      <c r="A2000" s="1928">
        <v>2000</v>
      </c>
      <c r="B2000" s="5108"/>
      <c r="C2000" s="2247" t="str">
        <f t="shared" si="224"/>
        <v/>
      </c>
      <c r="D2000" s="1703" t="str">
        <f>Combate!AB32</f>
        <v/>
      </c>
      <c r="E2000" s="2179" t="str">
        <f t="shared" si="157"/>
        <v/>
      </c>
      <c r="F2000" s="5254"/>
      <c r="H2000" s="2154" t="str">
        <f>IF(ISNA(VLOOKUP(A13,Principal!$S$42:$AH$69,10,FALSE)),"",IF(VLOOKUP(A13,Principal!$S$42:$AH$69,10,FALSE)=0,"",INDEX(PoderesDeCriatura_Adquiridos,MATCH(A13,Principal!$S$42:$S$69,0))))</f>
        <v/>
      </c>
      <c r="I2000" s="2301" t="str">
        <f t="shared" si="158"/>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59"/>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59"/>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33">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34">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35">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6">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7">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38">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39">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40">IF(AB2000="","",", "&amp;AB2000)</f>
        <v/>
      </c>
      <c r="AD2000" s="2166" t="str">
        <f>IF(OR(AE2000=0,ISNUMBER(MATCH(AE2000,$AE$1990:$AE1999,0))),"",MAX($AD$1989:AD1999)+1)</f>
        <v/>
      </c>
      <c r="AE2000" s="2194">
        <f>Principal!V52</f>
        <v>0</v>
      </c>
    </row>
    <row r="2001" spans="1:31" ht="12.75" customHeight="1" x14ac:dyDescent="0.2">
      <c r="A2001" s="1928">
        <v>2001</v>
      </c>
      <c r="B2001" s="5108"/>
      <c r="C2001" s="2247" t="str">
        <f t="shared" si="224"/>
        <v/>
      </c>
      <c r="D2001" s="1703" t="str">
        <f>Combate!AB33</f>
        <v/>
      </c>
      <c r="E2001" s="2179" t="str">
        <f t="shared" si="157"/>
        <v/>
      </c>
      <c r="F2001" s="5254"/>
      <c r="H2001" s="2154" t="str">
        <f>IF(ISNA(VLOOKUP(A14,Principal!$S$42:$AH$69,10,FALSE)),"",IF(VLOOKUP(A14,Principal!$S$42:$AH$69,10,FALSE)=0,"",INDEX(PoderesDeCriatura_Adquiridos,MATCH(A14,Principal!$S$42:$S$69,0))))</f>
        <v/>
      </c>
      <c r="I2001" s="2301" t="str">
        <f t="shared" si="158"/>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59"/>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59"/>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41">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42">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43">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44">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45">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6">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7">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48">IF(AB2001="","",", "&amp;AB2001)</f>
        <v/>
      </c>
      <c r="AD2001" s="2166" t="str">
        <f>IF(OR(AE2001=0,ISNUMBER(MATCH(AE2001,$AE$1990:$AE2000,0))),"",MAX($AD$1989:AD2000)+1)</f>
        <v/>
      </c>
      <c r="AE2001" s="2194">
        <f>Principal!V53</f>
        <v>0</v>
      </c>
    </row>
    <row r="2002" spans="1:31" ht="12.75" customHeight="1" x14ac:dyDescent="0.2">
      <c r="A2002" s="1928">
        <v>2002</v>
      </c>
      <c r="B2002" s="5108"/>
      <c r="C2002" s="2247" t="str">
        <f t="shared" si="224"/>
        <v/>
      </c>
      <c r="D2002" s="1703" t="str">
        <f>Combate!AB34</f>
        <v/>
      </c>
      <c r="E2002" s="2179" t="str">
        <f t="shared" si="157"/>
        <v/>
      </c>
      <c r="F2002" s="5254"/>
      <c r="H2002" s="2154" t="str">
        <f>IF(ISNA(VLOOKUP(A15,Principal!$S$42:$AH$69,10,FALSE)),"",IF(VLOOKUP(A15,Principal!$S$42:$AH$69,10,FALSE)=0,"",INDEX(PoderesDeCriatura_Adquiridos,MATCH(A15,Principal!$S$42:$S$69,0))))</f>
        <v/>
      </c>
      <c r="I2002" s="2301" t="str">
        <f t="shared" si="158"/>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59"/>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59"/>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49">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50">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51">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52">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53">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54">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55">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6">IF(AB2002="","",", "&amp;AB2002)</f>
        <v/>
      </c>
      <c r="AD2002" s="2166" t="str">
        <f>IF(OR(AE2002=0,ISNUMBER(MATCH(AE2002,$AE$1990:$AE2001,0))),"",MAX($AD$1989:AD2001)+1)</f>
        <v/>
      </c>
      <c r="AE2002" s="2194">
        <f>Principal!V54</f>
        <v>0</v>
      </c>
    </row>
    <row r="2003" spans="1:31" ht="12.75" customHeight="1" x14ac:dyDescent="0.2">
      <c r="A2003" s="1928">
        <v>2003</v>
      </c>
      <c r="B2003" s="5108"/>
      <c r="C2003" s="2247" t="str">
        <f t="shared" si="224"/>
        <v/>
      </c>
      <c r="D2003" s="1703" t="str">
        <f>Combate!AB35</f>
        <v/>
      </c>
      <c r="E2003" s="2179" t="str">
        <f t="shared" si="157"/>
        <v/>
      </c>
      <c r="F2003" s="5254"/>
      <c r="H2003" s="2154" t="str">
        <f>IF(ISNA(VLOOKUP(A16,Principal!$S$42:$AH$69,10,FALSE)),"",IF(VLOOKUP(A16,Principal!$S$42:$AH$69,10,FALSE)=0,"",INDEX(PoderesDeCriatura_Adquiridos,MATCH(A16,Principal!$S$42:$S$69,0))))</f>
        <v/>
      </c>
      <c r="I2003" s="2301" t="str">
        <f t="shared" si="158"/>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59"/>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59"/>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7">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58">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59">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60">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61">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62">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63">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64">IF(AB2003="","",", "&amp;AB2003)</f>
        <v/>
      </c>
      <c r="AD2003" s="2166" t="str">
        <f>IF(OR(AE2003=0,ISNUMBER(MATCH(AE2003,$AE$1990:$AE2002,0))),"",MAX($AD$1989:AD2002)+1)</f>
        <v/>
      </c>
      <c r="AE2003" s="2194">
        <f>Principal!V55</f>
        <v>0</v>
      </c>
    </row>
    <row r="2004" spans="1:31" ht="12.75" customHeight="1" x14ac:dyDescent="0.2">
      <c r="A2004" s="1928">
        <v>2004</v>
      </c>
      <c r="B2004" s="5108"/>
      <c r="C2004" s="2247" t="str">
        <f t="shared" si="224"/>
        <v/>
      </c>
      <c r="D2004" s="1703" t="str">
        <f>Combate!AB36</f>
        <v/>
      </c>
      <c r="E2004" s="2179" t="str">
        <f t="shared" si="157"/>
        <v/>
      </c>
      <c r="F2004" s="5254"/>
      <c r="H2004" s="2154" t="str">
        <f>IF(ISNA(VLOOKUP(A17,Principal!$S$42:$AH$69,10,FALSE)),"",IF(VLOOKUP(A17,Principal!$S$42:$AH$69,10,FALSE)=0,"",INDEX(PoderesDeCriatura_Adquiridos,MATCH(A17,Principal!$S$42:$S$69,0))))</f>
        <v/>
      </c>
      <c r="I2004" s="2301" t="str">
        <f t="shared" si="158"/>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59"/>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59"/>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65">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6">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7">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68">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69">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70">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71">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72">IF(AB2004="","",", "&amp;AB2004)</f>
        <v/>
      </c>
      <c r="AD2004" s="2166" t="str">
        <f>IF(OR(AE2004=0,ISNUMBER(MATCH(AE2004,$AE$1990:$AE2003,0))),"",MAX($AD$1989:AD2003)+1)</f>
        <v/>
      </c>
      <c r="AE2004" s="2194">
        <f>Principal!V56</f>
        <v>0</v>
      </c>
    </row>
    <row r="2005" spans="1:31" ht="12.75" customHeight="1" x14ac:dyDescent="0.2">
      <c r="A2005" s="1928">
        <v>2005</v>
      </c>
      <c r="B2005" s="5108"/>
      <c r="C2005" s="2247" t="str">
        <f t="shared" si="224"/>
        <v/>
      </c>
      <c r="D2005" s="1703" t="str">
        <f>Combate!AB37</f>
        <v/>
      </c>
      <c r="E2005" s="2179" t="str">
        <f t="shared" si="157"/>
        <v/>
      </c>
      <c r="F2005" s="5254"/>
      <c r="H2005" s="2154" t="str">
        <f>IF(ISNA(VLOOKUP(A18,Principal!$S$42:$AH$69,10,FALSE)),"",IF(VLOOKUP(A18,Principal!$S$42:$AH$69,10,FALSE)=0,"",INDEX(PoderesDeCriatura_Adquiridos,MATCH(A18,Principal!$S$42:$S$69,0))))</f>
        <v/>
      </c>
      <c r="I2005" s="2301" t="str">
        <f t="shared" si="158"/>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59"/>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59"/>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73">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74">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75">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6">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7">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78">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79">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80">IF(AB2005="","",", "&amp;AB2005)</f>
        <v/>
      </c>
      <c r="AD2005" s="2166" t="str">
        <f>IF(OR(AE2005=0,ISNUMBER(MATCH(AE2005,$AE$1990:$AE2004,0))),"",MAX($AD$1989:AD2004)+1)</f>
        <v/>
      </c>
      <c r="AE2005" s="2194">
        <f>Principal!V57</f>
        <v>0</v>
      </c>
    </row>
    <row r="2006" spans="1:31" ht="12.75" customHeight="1" x14ac:dyDescent="0.2">
      <c r="A2006" s="1928">
        <v>2006</v>
      </c>
      <c r="B2006" s="5108"/>
      <c r="C2006" s="2247" t="str">
        <f t="shared" si="224"/>
        <v/>
      </c>
      <c r="D2006" s="1703" t="str">
        <f>Combate!AB38</f>
        <v/>
      </c>
      <c r="E2006" s="2179" t="str">
        <f t="shared" si="157"/>
        <v/>
      </c>
      <c r="F2006" s="5254"/>
      <c r="H2006" s="2154" t="str">
        <f>IF(ISNA(VLOOKUP(A19,Principal!$S$42:$AH$69,10,FALSE)),"",IF(VLOOKUP(A19,Principal!$S$42:$AH$69,10,FALSE)=0,"",INDEX(PoderesDeCriatura_Adquiridos,MATCH(A19,Principal!$S$42:$S$69,0))))</f>
        <v/>
      </c>
      <c r="I2006" s="2301" t="str">
        <f t="shared" si="158"/>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59"/>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59"/>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81">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82">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83">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84">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85">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6">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7">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88">IF(AB2006="","",", "&amp;AB2006)</f>
        <v/>
      </c>
      <c r="AD2006" s="2166" t="str">
        <f>IF(OR(AE2006=0,ISNUMBER(MATCH(AE2006,$AE$1990:$AE2005,0))),"",MAX($AD$1989:AD2005)+1)</f>
        <v/>
      </c>
      <c r="AE2006" s="2194">
        <f>Principal!V58</f>
        <v>0</v>
      </c>
    </row>
    <row r="2007" spans="1:31" ht="12.75" customHeight="1" x14ac:dyDescent="0.2">
      <c r="A2007" s="1928">
        <v>2007</v>
      </c>
      <c r="B2007" s="5108"/>
      <c r="C2007" s="2247" t="str">
        <f t="shared" si="224"/>
        <v/>
      </c>
      <c r="D2007" s="1703" t="str">
        <f>Combate!AB39</f>
        <v/>
      </c>
      <c r="E2007" s="2179" t="str">
        <f t="shared" si="157"/>
        <v/>
      </c>
      <c r="F2007" s="5254"/>
      <c r="H2007" s="2154" t="str">
        <f>IF(ISNA(VLOOKUP(A20,Principal!$S$42:$AH$69,10,FALSE)),"",IF(VLOOKUP(A20,Principal!$S$42:$AH$69,10,FALSE)=0,"",INDEX(PoderesDeCriatura_Adquiridos,MATCH(A20,Principal!$S$42:$S$69,0))))</f>
        <v/>
      </c>
      <c r="I2007" s="2301" t="str">
        <f t="shared" si="158"/>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59"/>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59"/>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89">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90">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91">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92">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93">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94">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95">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6">IF(AB2007="","",", "&amp;AB2007)</f>
        <v/>
      </c>
      <c r="AD2007" s="2166" t="str">
        <f>IF(OR(AE2007=0,ISNUMBER(MATCH(AE2007,$AE$1990:$AE2006,0))),"",MAX($AD$1989:AD2006)+1)</f>
        <v/>
      </c>
      <c r="AE2007" s="2194">
        <f>Principal!V59</f>
        <v>0</v>
      </c>
    </row>
    <row r="2008" spans="1:31" ht="12.75" customHeight="1" x14ac:dyDescent="0.2">
      <c r="A2008" s="1928">
        <v>2008</v>
      </c>
      <c r="B2008" s="5108"/>
      <c r="C2008" s="2247" t="str">
        <f t="shared" si="224"/>
        <v/>
      </c>
      <c r="D2008" s="1703" t="str">
        <f>Combate!AB40</f>
        <v/>
      </c>
      <c r="E2008" s="2179" t="str">
        <f t="shared" si="157"/>
        <v/>
      </c>
      <c r="F2008" s="5254"/>
      <c r="H2008" s="2154" t="str">
        <f>IF(ISNA(VLOOKUP(A21,Principal!$S$42:$AH$69,10,FALSE)),"",IF(VLOOKUP(A21,Principal!$S$42:$AH$69,10,FALSE)=0,"",INDEX(PoderesDeCriatura_Adquiridos,MATCH(A21,Principal!$S$42:$S$69,0))))</f>
        <v/>
      </c>
      <c r="I2008" s="2301" t="str">
        <f t="shared" si="158"/>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59"/>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59"/>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7">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298">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299">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300">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301">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302">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303">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304">IF(AB2008="","",", "&amp;AB2008)</f>
        <v/>
      </c>
      <c r="AD2008" s="2166" t="str">
        <f>IF(OR(AE2008=0,ISNUMBER(MATCH(AE2008,$AE$1990:$AE2007,0))),"",MAX($AD$1989:AD2007)+1)</f>
        <v/>
      </c>
      <c r="AE2008" s="2194">
        <f>Principal!V60</f>
        <v>0</v>
      </c>
    </row>
    <row r="2009" spans="1:31" ht="12.75" customHeight="1" x14ac:dyDescent="0.2">
      <c r="A2009" s="1928">
        <v>2009</v>
      </c>
      <c r="B2009" s="5108"/>
      <c r="C2009" s="2247" t="str">
        <f t="shared" si="224"/>
        <v/>
      </c>
      <c r="D2009" s="1703" t="str">
        <f>Combate!AB41</f>
        <v/>
      </c>
      <c r="E2009" s="2179" t="str">
        <f t="shared" si="157"/>
        <v/>
      </c>
      <c r="F2009" s="5254"/>
      <c r="H2009" s="2154" t="str">
        <f>IF(ISNA(VLOOKUP(A22,Principal!$S$42:$AH$69,10,FALSE)),"",IF(VLOOKUP(A22,Principal!$S$42:$AH$69,10,FALSE)=0,"",INDEX(PoderesDeCriatura_Adquiridos,MATCH(A22,Principal!$S$42:$S$69,0))))</f>
        <v/>
      </c>
      <c r="I2009" s="2301" t="str">
        <f t="shared" si="158"/>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59"/>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59"/>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305">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6">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7">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08">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09">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10">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11">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12">IF(AB2009="","",", "&amp;AB2009)</f>
        <v/>
      </c>
      <c r="AD2009" s="2166" t="str">
        <f>IF(OR(AE2009=0,ISNUMBER(MATCH(AE2009,$AE$1990:$AE2008,0))),"",MAX($AD$1989:AD2008)+1)</f>
        <v/>
      </c>
      <c r="AE2009" s="2194">
        <f>Principal!V61</f>
        <v>0</v>
      </c>
    </row>
    <row r="2010" spans="1:31" ht="12.75" customHeight="1" x14ac:dyDescent="0.2">
      <c r="A2010" s="1928">
        <v>2010</v>
      </c>
      <c r="B2010" s="5108"/>
      <c r="C2010" s="2247" t="str">
        <f t="shared" si="224"/>
        <v/>
      </c>
      <c r="D2010" s="1703" t="str">
        <f>Combate!AB42</f>
        <v/>
      </c>
      <c r="E2010" s="2179" t="str">
        <f t="shared" si="157"/>
        <v/>
      </c>
      <c r="F2010" s="5254"/>
      <c r="H2010" s="2154" t="str">
        <f>IF(ISNA(VLOOKUP(A23,Principal!$S$42:$AH$69,10,FALSE)),"",IF(VLOOKUP(A23,Principal!$S$42:$AH$69,10,FALSE)=0,"",INDEX(PoderesDeCriatura_Adquiridos,MATCH(A23,Principal!$S$42:$S$69,0))))</f>
        <v/>
      </c>
      <c r="I2010" s="2301" t="str">
        <f t="shared" si="158"/>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59"/>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59"/>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13">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14">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15">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6">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7">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18">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19">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20">IF(AB2010="","",", "&amp;AB2010)</f>
        <v/>
      </c>
      <c r="AD2010" s="2166" t="str">
        <f>IF(OR(AE2010=0,ISNUMBER(MATCH(AE2010,$AE$1990:$AE2009,0))),"",MAX($AD$1989:AD2009)+1)</f>
        <v/>
      </c>
      <c r="AE2010" s="2194">
        <f>Principal!V62</f>
        <v>0</v>
      </c>
    </row>
    <row r="2011" spans="1:31" ht="12.75" customHeight="1" x14ac:dyDescent="0.2">
      <c r="A2011" s="1928">
        <v>2011</v>
      </c>
      <c r="B2011" s="5108"/>
      <c r="C2011" s="2247" t="str">
        <f t="shared" si="224"/>
        <v/>
      </c>
      <c r="D2011" s="1703" t="str">
        <f>Combate!AB43</f>
        <v/>
      </c>
      <c r="E2011" s="2179" t="str">
        <f t="shared" si="157"/>
        <v/>
      </c>
      <c r="F2011" s="5254"/>
      <c r="H2011" s="2154" t="str">
        <f>IF(ISNA(VLOOKUP(A24,Principal!$S$42:$AH$69,10,FALSE)),"",IF(VLOOKUP(A24,Principal!$S$42:$AH$69,10,FALSE)=0,"",INDEX(PoderesDeCriatura_Adquiridos,MATCH(A24,Principal!$S$42:$S$69,0))))</f>
        <v/>
      </c>
      <c r="I2011" s="2301" t="str">
        <f t="shared" si="158"/>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59"/>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59"/>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21">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22">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23">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24">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25">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6">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7">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28">IF(AB2011="","",", "&amp;AB2011)</f>
        <v/>
      </c>
      <c r="AD2011" s="2166" t="str">
        <f>IF(OR(AE2011=0,ISNUMBER(MATCH(AE2011,$AE$1990:$AE2010,0))),"",MAX($AD$1989:AD2010)+1)</f>
        <v/>
      </c>
      <c r="AE2011" s="2194">
        <f>Principal!V63</f>
        <v>0</v>
      </c>
    </row>
    <row r="2012" spans="1:31" ht="12.75" customHeight="1" x14ac:dyDescent="0.2">
      <c r="A2012" s="1928">
        <v>2012</v>
      </c>
      <c r="B2012" s="5108"/>
      <c r="C2012" s="2247" t="str">
        <f t="shared" si="224"/>
        <v/>
      </c>
      <c r="D2012" s="1703" t="str">
        <f>Combate!AB44</f>
        <v/>
      </c>
      <c r="E2012" s="2179" t="str">
        <f t="shared" si="157"/>
        <v/>
      </c>
      <c r="F2012" s="5254"/>
      <c r="H2012" s="2154" t="str">
        <f>IF(ISNA(VLOOKUP(A25,Principal!$S$42:$AH$69,10,FALSE)),"",IF(VLOOKUP(A25,Principal!$S$42:$AH$69,10,FALSE)=0,"",INDEX(PoderesDeCriatura_Adquiridos,MATCH(A25,Principal!$S$42:$S$69,0))))</f>
        <v/>
      </c>
      <c r="I2012" s="2301" t="str">
        <f t="shared" si="158"/>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59"/>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59"/>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29">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30">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31">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32">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33">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34">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35">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6">IF(AB2012="","",", "&amp;AB2012)</f>
        <v/>
      </c>
      <c r="AD2012" s="2166" t="str">
        <f>IF(OR(AE2012=0,ISNUMBER(MATCH(AE2012,$AE$1990:$AE2011,0))),"",MAX($AD$1989:AD2011)+1)</f>
        <v/>
      </c>
      <c r="AE2012" s="2194">
        <f>Principal!V64</f>
        <v>0</v>
      </c>
    </row>
    <row r="2013" spans="1:31" ht="12.75" customHeight="1" x14ac:dyDescent="0.2">
      <c r="A2013" s="1928">
        <v>2013</v>
      </c>
      <c r="B2013" s="5108"/>
      <c r="C2013" s="2247" t="str">
        <f t="shared" si="224"/>
        <v/>
      </c>
      <c r="D2013" s="1703" t="str">
        <f>Combate!AB45</f>
        <v/>
      </c>
      <c r="E2013" s="2179" t="str">
        <f t="shared" si="157"/>
        <v/>
      </c>
      <c r="F2013" s="5254"/>
      <c r="H2013" s="2154" t="str">
        <f>IF(ISNA(VLOOKUP(A26,Principal!$S$42:$AH$69,10,FALSE)),"",IF(VLOOKUP(A26,Principal!$S$42:$AH$69,10,FALSE)=0,"",INDEX(PoderesDeCriatura_Adquiridos,MATCH(A26,Principal!$S$42:$S$69,0))))</f>
        <v/>
      </c>
      <c r="I2013" s="2301" t="str">
        <f t="shared" si="158"/>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59"/>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59"/>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7">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38">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39">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40">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41">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42">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43">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44">IF(AB2013="","",", "&amp;AB2013)</f>
        <v/>
      </c>
      <c r="AD2013" s="2166" t="str">
        <f>IF(OR(AE2013=0,ISNUMBER(MATCH(AE2013,$AE$1990:$AE2012,0))),"",MAX($AD$1989:AD2012)+1)</f>
        <v/>
      </c>
      <c r="AE2013" s="2194">
        <f>Principal!V65</f>
        <v>0</v>
      </c>
    </row>
    <row r="2014" spans="1:31" ht="12.75" customHeight="1" x14ac:dyDescent="0.2">
      <c r="A2014" s="1928">
        <v>2014</v>
      </c>
      <c r="B2014" s="5108"/>
      <c r="C2014" s="2247" t="str">
        <f t="shared" si="224"/>
        <v/>
      </c>
      <c r="D2014" s="1703" t="str">
        <f>Combate!AB46</f>
        <v/>
      </c>
      <c r="E2014" s="2179" t="str">
        <f t="shared" si="157"/>
        <v/>
      </c>
      <c r="F2014" s="5254"/>
      <c r="H2014" s="2154" t="str">
        <f>IF(ISNA(VLOOKUP(A27,Principal!$S$42:$AH$69,10,FALSE)),"",IF(VLOOKUP(A27,Principal!$S$42:$AH$69,10,FALSE)=0,"",INDEX(PoderesDeCriatura_Adquiridos,MATCH(A27,Principal!$S$42:$S$69,0))))</f>
        <v/>
      </c>
      <c r="I2014" s="2301" t="str">
        <f t="shared" si="158"/>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59"/>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59"/>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45">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6">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7">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48">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49">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50">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51">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52">IF(AB2014="","",", "&amp;AB2014)</f>
        <v/>
      </c>
      <c r="AD2014" s="2166" t="str">
        <f>IF(OR(AE2014=0,ISNUMBER(MATCH(AE2014,$AE$1990:$AE2013,0))),"",MAX($AD$1989:AD2013)+1)</f>
        <v/>
      </c>
      <c r="AE2014" s="2194">
        <f>Principal!V66</f>
        <v>0</v>
      </c>
    </row>
    <row r="2015" spans="1:31" ht="12.75" customHeight="1" x14ac:dyDescent="0.2">
      <c r="A2015" s="1928">
        <v>2015</v>
      </c>
      <c r="B2015" s="5108"/>
      <c r="C2015" s="2247" t="str">
        <f t="shared" si="224"/>
        <v/>
      </c>
      <c r="D2015" s="1703" t="str">
        <f>Combate!AB47</f>
        <v/>
      </c>
      <c r="E2015" s="2179" t="str">
        <f t="shared" si="157"/>
        <v/>
      </c>
      <c r="F2015" s="5254"/>
      <c r="H2015" s="2154" t="str">
        <f>IF(ISNA(VLOOKUP(A28,Principal!$S$42:$AH$69,10,FALSE)),"",IF(VLOOKUP(A28,Principal!$S$42:$AH$69,10,FALSE)=0,"",INDEX(PoderesDeCriatura_Adquiridos,MATCH(A28,Principal!$S$42:$S$69,0))))</f>
        <v/>
      </c>
      <c r="I2015" s="2301" t="str">
        <f t="shared" si="158"/>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59"/>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59"/>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53">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54">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55">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6">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7">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58">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59">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60">IF(AB2015="","",", "&amp;AB2015)</f>
        <v/>
      </c>
      <c r="AD2015" s="2166" t="str">
        <f>IF(OR(AE2015=0,ISNUMBER(MATCH(AE2015,$AE$1990:$AE2014,0))),"",MAX($AD$1989:AD2014)+1)</f>
        <v/>
      </c>
      <c r="AE2015" s="2194">
        <f>Principal!V67</f>
        <v>0</v>
      </c>
    </row>
    <row r="2016" spans="1:31" ht="12.75" customHeight="1" x14ac:dyDescent="0.2">
      <c r="A2016" s="1928">
        <v>2016</v>
      </c>
      <c r="B2016" s="5108"/>
      <c r="C2016" s="2247" t="str">
        <f t="shared" si="224"/>
        <v/>
      </c>
      <c r="D2016" s="1703" t="str">
        <f>Combate!AB48</f>
        <v/>
      </c>
      <c r="E2016" s="2179" t="str">
        <f t="shared" si="157"/>
        <v/>
      </c>
      <c r="F2016" s="5254"/>
      <c r="H2016" s="2154" t="str">
        <f>IF(ISNA(VLOOKUP(A29,Principal!$S$42:$AH$69,10,FALSE)),"",IF(VLOOKUP(A29,Principal!$S$42:$AH$69,10,FALSE)=0,"",INDEX(PoderesDeCriatura_Adquiridos,MATCH(A29,Principal!$S$42:$S$69,0))))</f>
        <v/>
      </c>
      <c r="I2016" s="2301" t="str">
        <f t="shared" si="158"/>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59"/>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59"/>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61">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62">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63">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64">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65">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6">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7">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68">IF(AB2016="","",", "&amp;AB2016)</f>
        <v/>
      </c>
      <c r="AD2016" s="2166" t="str">
        <f>IF(OR(AE2016=0,ISNUMBER(MATCH(AE2016,$AE$1990:$AE2015,0))),"",MAX($AD$1989:AD2015)+1)</f>
        <v/>
      </c>
      <c r="AE2016" s="2194">
        <f>Principal!V68</f>
        <v>0</v>
      </c>
    </row>
    <row r="2017" spans="1:31" ht="12.75" customHeight="1" x14ac:dyDescent="0.2">
      <c r="A2017" s="1928">
        <v>2017</v>
      </c>
      <c r="B2017" s="5108"/>
      <c r="C2017" s="2247" t="str">
        <f t="shared" si="224"/>
        <v/>
      </c>
      <c r="D2017" s="1703" t="str">
        <f>Combate!AB49</f>
        <v/>
      </c>
      <c r="E2017" s="2179" t="str">
        <f t="shared" si="157"/>
        <v/>
      </c>
      <c r="F2017" s="5254"/>
      <c r="H2017" s="2154" t="str">
        <f>IF(ISNA(VLOOKUP(A30,Principal!$S$42:$AH$69,10,FALSE)),"",IF(VLOOKUP(A30,Principal!$S$42:$AH$69,10,FALSE)=0,"",INDEX(PoderesDeCriatura_Adquiridos,MATCH(A30,Principal!$S$42:$S$69,0))))</f>
        <v/>
      </c>
      <c r="I2017" s="2674" t="str">
        <f t="shared" si="158"/>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59"/>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59"/>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69">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70">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71">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72">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73">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74">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75">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6">IF(AB2017="","",", "&amp;AB2017)</f>
        <v/>
      </c>
      <c r="AD2017" s="2196" t="str">
        <f>IF(OR(AE2017=0,ISNUMBER(MATCH(AE2017,$AE$1990:$AE2016,0))),"",MAX($AD$1989:AD2016)+1)</f>
        <v/>
      </c>
      <c r="AE2017" s="2195">
        <f>Principal!V69</f>
        <v>0</v>
      </c>
    </row>
    <row r="2018" spans="1:31" ht="12.75" customHeight="1" x14ac:dyDescent="0.2">
      <c r="A2018" s="1928">
        <v>2018</v>
      </c>
      <c r="B2018" s="5108"/>
      <c r="C2018" s="2243" t="str">
        <f t="shared" ref="C2018:C2025" si="377">IF(D2018="","",COUNTIF($D$1983:$D$2025,"&lt;="&amp;D2018)-SUMPRODUCT(--($D$1983:$D$2025="")))</f>
        <v/>
      </c>
      <c r="D2018" s="1703" t="str">
        <f>Combate!AB50</f>
        <v/>
      </c>
      <c r="E2018" s="2179" t="str">
        <f t="shared" si="157"/>
        <v/>
      </c>
      <c r="F2018" s="5254"/>
      <c r="H2018" s="5256" t="str">
        <f>I1988&amp;I1989&amp;I1990&amp;I1991&amp;I1992&amp;I1993&amp;I1994&amp;I1995&amp;I1996&amp;I1997&amp;I1998&amp;I1999&amp;I2000&amp;I2001&amp;I2002&amp;I2003&amp;I2004&amp;I2005&amp;I2006&amp;I2007&amp;I2008&amp;I2009&amp;I2010&amp;I2012&amp;I2011&amp;I2013&amp;I2014&amp;I2016&amp;I2015&amp;I2017</f>
        <v/>
      </c>
      <c r="I2018" s="5257"/>
      <c r="J2018" s="5263" t="str">
        <f>IF(J1987="","",J1987&amp;" ("&amp;K1989&amp;K1990&amp;K1991&amp;K1992&amp;K1993&amp;K1994&amp;K1995&amp;K1996&amp;K1997&amp;K1998&amp;K1999&amp;K2000&amp;K2001&amp;K2002&amp;K2003&amp;K2004&amp;K2005&amp;K2006&amp;K2007&amp;K2008&amp;K2009&amp;K2010&amp;K2011&amp;K2012&amp;K2013&amp;K2014&amp;K2015&amp;K2016&amp;K2017&amp;")")</f>
        <v/>
      </c>
      <c r="K2018" s="5263"/>
      <c r="L2018" s="5263" t="str">
        <f>IF(L1987="","",L1987&amp;" ("&amp;M1989&amp;M1990&amp;M1991&amp;M1992&amp;M1993&amp;M1994&amp;M1995&amp;M1996&amp;M1997&amp;M1998&amp;M1999&amp;M2000&amp;M2001&amp;M2002&amp;M2003&amp;M2004&amp;M2005&amp;M2006&amp;M2007&amp;M2008&amp;M2009&amp;M2010&amp;M2011&amp;M2012&amp;M2013&amp;M2014&amp;M2015&amp;M2016&amp;M2017&amp;")")</f>
        <v/>
      </c>
      <c r="M2018" s="5263"/>
      <c r="N2018" s="5263" t="str">
        <f>IF(N1987="","",N1987&amp;" ("&amp;O1989&amp;O1990&amp;O1991&amp;O1992&amp;O1993&amp;O1994&amp;O1995&amp;O1996&amp;O1997&amp;O1998&amp;O1999&amp;O2000&amp;O2001&amp;O2002&amp;O2003&amp;O2004&amp;O2005&amp;O2006&amp;O2007&amp;O2008&amp;O2009&amp;O2010&amp;O2011&amp;O2012&amp;O2013&amp;O2014&amp;O2015&amp;O2016&amp;O2017&amp;")")</f>
        <v/>
      </c>
      <c r="O2018" s="5263"/>
      <c r="P2018" s="5263" t="str">
        <f>IF(P1987="","",P1987&amp;" ("&amp;Q1989&amp;Q1990&amp;Q1991&amp;Q1992&amp;Q1993&amp;Q1994&amp;Q1995&amp;Q1996&amp;Q1997&amp;Q1998&amp;Q1999&amp;Q2000&amp;Q2001&amp;Q2002&amp;Q2003&amp;Q2004&amp;Q2005&amp;Q2006&amp;Q2007&amp;Q2008&amp;Q2009&amp;Q2010&amp;Q2011&amp;Q2012&amp;Q2013&amp;Q2014&amp;Q2015&amp;Q2016&amp;Q2017&amp;")")</f>
        <v/>
      </c>
      <c r="Q2018" s="5263"/>
      <c r="R2018" s="5263" t="str">
        <f>IF(R1987="","",R1987&amp;" ("&amp;S1989&amp;S1990&amp;S1991&amp;S1992&amp;S1993&amp;S1994&amp;S1995&amp;S1996&amp;S1997&amp;S1998&amp;S1999&amp;S2000&amp;S2001&amp;S2002&amp;S2003&amp;S2004&amp;S2005&amp;S2006&amp;S2007&amp;S2008&amp;S2009&amp;S2010&amp;S2011&amp;S2012&amp;S2013&amp;S2014&amp;S2015&amp;S2016&amp;S2017&amp;")")</f>
        <v/>
      </c>
      <c r="S2018" s="5263"/>
      <c r="T2018" s="5263" t="str">
        <f>IF(T1987="","",T1987&amp;" ("&amp;U1989&amp;U1990&amp;U1991&amp;U1992&amp;U1993&amp;U1994&amp;U1995&amp;U1996&amp;U1997&amp;U1998&amp;U1999&amp;U2000&amp;U2001&amp;U2002&amp;U2003&amp;U2004&amp;U2005&amp;U2006&amp;U2007&amp;U2008&amp;U2009&amp;U2010&amp;U2011&amp;U2012&amp;U2013&amp;U2014&amp;U2015&amp;U2016&amp;U2017&amp;")")</f>
        <v/>
      </c>
      <c r="U2018" s="5263"/>
      <c r="V2018" s="5263" t="str">
        <f>IF(V1987="","",V1987&amp;" ("&amp;W1989&amp;W1990&amp;W1991&amp;W1992&amp;W1993&amp;W1994&amp;W1995&amp;W1996&amp;W1997&amp;W1998&amp;W1999&amp;W2000&amp;W2001&amp;W2002&amp;W2003&amp;W2004&amp;W2005&amp;W2006&amp;W2007&amp;W2008&amp;W2009&amp;W2010&amp;W2011&amp;W2012&amp;W2013&amp;W2014&amp;W2015&amp;W2016&amp;W2017&amp;")")</f>
        <v/>
      </c>
      <c r="W2018" s="5263"/>
      <c r="X2018" s="5263" t="str">
        <f>IF(X1987="","",X1987&amp;" ("&amp;Y1989&amp;Y1990&amp;Y1991&amp;Y1992&amp;Y1993&amp;Y1994&amp;Y1995&amp;Y1996&amp;Y1997&amp;Y1998&amp;Y1999&amp;Y2000&amp;Y2001&amp;Y2002&amp;Y2003&amp;Y2004&amp;Y2005&amp;Y2006&amp;Y2007&amp;Y2008&amp;Y2009&amp;Y2010&amp;Y2011&amp;Y2012&amp;Y2013&amp;Y2014&amp;Y2015&amp;Y2016&amp;Y2017&amp;")")</f>
        <v/>
      </c>
      <c r="Y2018" s="5263"/>
      <c r="Z2018" s="526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63"/>
      <c r="AB2018" s="526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63"/>
    </row>
    <row r="2019" spans="1:31" ht="12.75" customHeight="1" x14ac:dyDescent="0.2">
      <c r="A2019" s="1928">
        <v>2019</v>
      </c>
      <c r="B2019" s="5108"/>
      <c r="C2019" s="2243" t="str">
        <f t="shared" si="377"/>
        <v/>
      </c>
      <c r="D2019" s="1703" t="str">
        <f>Combate!AB51</f>
        <v/>
      </c>
      <c r="E2019" s="2179" t="str">
        <f t="shared" si="157"/>
        <v/>
      </c>
      <c r="F2019" s="5254"/>
      <c r="H2019" s="5256"/>
      <c r="I2019" s="5257"/>
      <c r="J2019" s="5261" t="str">
        <f>J2018&amp;IF(L2018="","",", "&amp;L2018)&amp;IF(N2018="","",", "&amp;N2018)&amp;IF(P2018="","",", "&amp;P2018)&amp;IF(R2018="","",", "&amp;R2018)&amp;IF(T2018="","",", "&amp;T2018)&amp;IF(V2018="","",", "&amp;V2018)&amp;IF(X2018="","",", "&amp;X2018)&amp;IF(Z2018="","",", "&amp;Z2018)&amp;IF(AB2018="","",", "&amp;AB2018)</f>
        <v/>
      </c>
      <c r="K2019" s="5261"/>
      <c r="L2019" s="5261"/>
      <c r="M2019" s="5261"/>
      <c r="N2019" s="5261"/>
      <c r="O2019" s="5261"/>
      <c r="P2019" s="5261"/>
      <c r="Q2019" s="5261"/>
      <c r="R2019" s="5261"/>
      <c r="S2019" s="5261"/>
      <c r="T2019" s="5261"/>
      <c r="U2019" s="5261"/>
      <c r="V2019" s="5261"/>
      <c r="W2019" s="5261"/>
      <c r="X2019" s="5261"/>
      <c r="Y2019" s="5261"/>
      <c r="Z2019" s="5261"/>
      <c r="AA2019" s="5261"/>
      <c r="AB2019" s="5261"/>
      <c r="AC2019" s="5262"/>
    </row>
    <row r="2020" spans="1:31" ht="12.75" customHeight="1" x14ac:dyDescent="0.2">
      <c r="A2020" s="1928">
        <v>2020</v>
      </c>
      <c r="B2020" s="5108"/>
      <c r="C2020" s="2243" t="str">
        <f t="shared" si="377"/>
        <v/>
      </c>
      <c r="D2020" s="1703" t="str">
        <f>Combate!AB52</f>
        <v/>
      </c>
      <c r="E2020" s="2179" t="str">
        <f t="shared" si="157"/>
        <v/>
      </c>
      <c r="F2020" s="5254"/>
      <c r="H2020" s="5248" t="str">
        <f>J2019&amp;IF(J2019="",H2018,", "&amp;H2018)</f>
        <v/>
      </c>
      <c r="I2020" s="5249"/>
      <c r="J2020" s="5249"/>
      <c r="K2020" s="5249"/>
      <c r="L2020" s="5249"/>
      <c r="M2020" s="5249"/>
      <c r="N2020" s="5249"/>
      <c r="O2020" s="5249"/>
      <c r="P2020" s="5249"/>
      <c r="Q2020" s="5249"/>
      <c r="R2020" s="5249"/>
      <c r="S2020" s="5249"/>
      <c r="T2020" s="5249"/>
      <c r="U2020" s="5249"/>
      <c r="V2020" s="5249"/>
      <c r="W2020" s="5249"/>
      <c r="X2020" s="5249"/>
      <c r="Y2020" s="5249"/>
      <c r="Z2020" s="5249"/>
      <c r="AA2020" s="5249"/>
      <c r="AB2020" s="5249"/>
      <c r="AC2020" s="5250"/>
    </row>
    <row r="2021" spans="1:31" ht="12.75" customHeight="1" thickBot="1" x14ac:dyDescent="0.25">
      <c r="A2021" s="1928">
        <v>2021</v>
      </c>
      <c r="B2021" s="5108"/>
      <c r="C2021" s="2243" t="str">
        <f t="shared" si="377"/>
        <v/>
      </c>
      <c r="D2021" s="2000" t="str">
        <f>Combate!AB55</f>
        <v/>
      </c>
      <c r="E2021" s="2179" t="str">
        <f t="shared" si="157"/>
        <v/>
      </c>
      <c r="F2021" s="5254"/>
      <c r="H2021" s="5251"/>
      <c r="I2021" s="5252"/>
      <c r="J2021" s="5252"/>
      <c r="K2021" s="5252"/>
      <c r="L2021" s="5252"/>
      <c r="M2021" s="5252"/>
      <c r="N2021" s="5252"/>
      <c r="O2021" s="5252"/>
      <c r="P2021" s="5252"/>
      <c r="Q2021" s="5252"/>
      <c r="R2021" s="5252"/>
      <c r="S2021" s="5252"/>
      <c r="T2021" s="5252"/>
      <c r="U2021" s="5252"/>
      <c r="V2021" s="5252"/>
      <c r="W2021" s="5252"/>
      <c r="X2021" s="5252"/>
      <c r="Y2021" s="5252"/>
      <c r="Z2021" s="5252"/>
      <c r="AA2021" s="5252"/>
      <c r="AB2021" s="5252"/>
      <c r="AC2021" s="5253"/>
    </row>
    <row r="2022" spans="1:31" ht="12.75" customHeight="1" x14ac:dyDescent="0.2">
      <c r="A2022" s="1928">
        <v>2022</v>
      </c>
      <c r="B2022" s="5108"/>
      <c r="C2022" s="2243" t="str">
        <f t="shared" si="377"/>
        <v/>
      </c>
      <c r="D2022" s="1703" t="str">
        <f>Combate!AB57</f>
        <v/>
      </c>
      <c r="E2022" s="2179" t="str">
        <f t="shared" si="157"/>
        <v/>
      </c>
      <c r="F2022" s="5254"/>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108"/>
      <c r="C2023" s="2243" t="str">
        <f t="shared" si="377"/>
        <v/>
      </c>
      <c r="D2023" s="1703" t="str">
        <f>Combate!AB59</f>
        <v/>
      </c>
      <c r="E2023" s="2179" t="str">
        <f t="shared" si="157"/>
        <v/>
      </c>
      <c r="F2023" s="5254"/>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108"/>
      <c r="C2024" s="2243" t="str">
        <f t="shared" si="377"/>
        <v/>
      </c>
      <c r="D2024" s="1703" t="str">
        <f>Combate!AB61</f>
        <v/>
      </c>
      <c r="E2024" s="2179" t="str">
        <f t="shared" si="157"/>
        <v/>
      </c>
      <c r="F2024" s="5254"/>
      <c r="H2024" s="363"/>
      <c r="I2024" s="1665"/>
      <c r="N2024" s="363"/>
      <c r="O2024" s="2011"/>
      <c r="AB2024" s="363"/>
      <c r="AC2024" s="2577"/>
    </row>
    <row r="2025" spans="1:31" ht="12.75" customHeight="1" thickBot="1" x14ac:dyDescent="0.25">
      <c r="A2025" s="1928">
        <v>2025</v>
      </c>
      <c r="B2025" s="5108"/>
      <c r="C2025" s="2245" t="str">
        <f t="shared" si="377"/>
        <v/>
      </c>
      <c r="D2025" s="1704" t="str">
        <f>Combate!AB63</f>
        <v/>
      </c>
      <c r="E2025" s="2180" t="str">
        <f t="shared" si="157"/>
        <v/>
      </c>
      <c r="F2025" s="5255"/>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V773:X773"/>
    <mergeCell ref="V712:X71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T2018:U2018"/>
    <mergeCell ref="V2018:W2018"/>
    <mergeCell ref="X2018:Y2018"/>
    <mergeCell ref="V44:AE45"/>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C35:G36"/>
    <mergeCell ref="F113:G113"/>
    <mergeCell ref="V716:X716"/>
    <mergeCell ref="V717:X717"/>
    <mergeCell ref="C609:Q609"/>
    <mergeCell ref="X19:X20"/>
    <mergeCell ref="X21:X22"/>
    <mergeCell ref="E39:F39"/>
    <mergeCell ref="S47:S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C805:D805"/>
    <mergeCell ref="V726:X726"/>
    <mergeCell ref="V725:X725"/>
    <mergeCell ref="C572:R573"/>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T597:U597"/>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s>
  <phoneticPr fontId="10"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344" t="s">
        <v>4558</v>
      </c>
      <c r="D2" s="5345"/>
      <c r="E2" s="5345"/>
      <c r="F2" s="5345"/>
      <c r="G2" s="5345"/>
      <c r="H2" s="5345"/>
      <c r="I2" s="5345"/>
      <c r="J2" s="5345"/>
      <c r="K2" s="5345"/>
      <c r="L2" s="5345"/>
      <c r="M2" s="5345"/>
      <c r="N2" s="5345"/>
      <c r="O2" s="5345"/>
      <c r="P2" s="5345"/>
      <c r="Q2" s="5345"/>
      <c r="R2" s="5345"/>
      <c r="S2" s="5345"/>
      <c r="T2" s="5345"/>
      <c r="U2" s="5345"/>
      <c r="V2" s="5345"/>
      <c r="W2" s="5345"/>
      <c r="X2" s="5345"/>
      <c r="Y2" s="5345"/>
      <c r="Z2" s="5346"/>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347"/>
      <c r="D3" s="5348"/>
      <c r="E3" s="5348"/>
      <c r="F3" s="5348"/>
      <c r="G3" s="5348"/>
      <c r="H3" s="5348"/>
      <c r="I3" s="5348"/>
      <c r="J3" s="5348"/>
      <c r="K3" s="5348"/>
      <c r="L3" s="5348"/>
      <c r="M3" s="5348"/>
      <c r="N3" s="5348"/>
      <c r="O3" s="5348"/>
      <c r="P3" s="5348"/>
      <c r="Q3" s="5348"/>
      <c r="R3" s="5348"/>
      <c r="S3" s="5348"/>
      <c r="T3" s="5348"/>
      <c r="U3" s="5348"/>
      <c r="V3" s="5348"/>
      <c r="W3" s="5348"/>
      <c r="X3" s="5348"/>
      <c r="Y3" s="5348"/>
      <c r="Z3" s="5349"/>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343"/>
      <c r="AB4" s="5343"/>
      <c r="AC4" s="1098"/>
      <c r="AD4" s="5343"/>
      <c r="AE4" s="5343"/>
      <c r="AF4" s="1098"/>
      <c r="AG4" s="1099"/>
      <c r="AH4" s="1100"/>
      <c r="AI4" s="1098"/>
      <c r="AJ4" s="5343"/>
      <c r="AK4" s="5343"/>
      <c r="AL4" s="1098"/>
      <c r="AM4" s="5343"/>
      <c r="AN4" s="5343"/>
      <c r="AO4" s="1098"/>
      <c r="AP4" s="5343"/>
      <c r="AQ4" s="5343"/>
      <c r="AR4" s="1098"/>
      <c r="AS4" s="5343"/>
      <c r="AT4" s="5343"/>
      <c r="AU4" s="1098"/>
      <c r="AV4" s="5343"/>
      <c r="AW4" s="5343"/>
      <c r="AX4" s="1098"/>
      <c r="AY4" s="5343"/>
      <c r="AZ4" s="5343"/>
      <c r="BA4" s="1098"/>
      <c r="BB4" s="5343"/>
      <c r="BC4" s="5343"/>
      <c r="BD4" s="1098"/>
      <c r="BE4" s="5343"/>
      <c r="BF4" s="5343"/>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342"/>
      <c r="AB5" s="5342"/>
      <c r="AC5" s="1103"/>
      <c r="AD5" s="5342"/>
      <c r="AE5" s="5342"/>
      <c r="AF5" s="1103"/>
      <c r="AG5" s="1104"/>
      <c r="AH5" s="1105"/>
      <c r="AI5" s="1103"/>
      <c r="AJ5" s="5342"/>
      <c r="AK5" s="5342"/>
      <c r="AL5" s="1103"/>
      <c r="AM5" s="5342"/>
      <c r="AN5" s="5342"/>
      <c r="AO5" s="1103"/>
      <c r="AP5" s="5342"/>
      <c r="AQ5" s="5342"/>
      <c r="AR5" s="1103"/>
      <c r="AS5" s="5342"/>
      <c r="AT5" s="5342"/>
      <c r="AU5" s="1103"/>
      <c r="AV5" s="5342"/>
      <c r="AW5" s="5342"/>
      <c r="AX5" s="1103"/>
      <c r="AY5" s="5342"/>
      <c r="AZ5" s="5342"/>
      <c r="BA5" s="1103"/>
      <c r="BB5" s="5342"/>
      <c r="BC5" s="5342"/>
      <c r="BD5" s="1103"/>
      <c r="BE5" s="5342"/>
      <c r="BF5" s="5342"/>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415" t="s">
        <v>2997</v>
      </c>
      <c r="D2" s="4416"/>
      <c r="E2" s="4416"/>
      <c r="F2" s="4416"/>
      <c r="G2" s="4417"/>
      <c r="I2" s="4462" t="s">
        <v>2998</v>
      </c>
      <c r="J2" s="4463"/>
      <c r="L2" s="5396" t="s">
        <v>2999</v>
      </c>
    </row>
    <row r="3" spans="1:27" x14ac:dyDescent="0.2">
      <c r="A3" s="552">
        <v>3</v>
      </c>
      <c r="C3" s="4462"/>
      <c r="D3" s="4463"/>
      <c r="E3" s="4463"/>
      <c r="F3" s="4463"/>
      <c r="G3" s="4464"/>
      <c r="I3" s="4462"/>
      <c r="J3" s="4463"/>
      <c r="L3" s="5397"/>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415" t="s">
        <v>2636</v>
      </c>
      <c r="D15" s="4417"/>
      <c r="F15" s="4415" t="s">
        <v>3041</v>
      </c>
      <c r="G15" s="4416"/>
      <c r="H15" s="4416"/>
      <c r="I15" s="4416"/>
      <c r="J15" s="4416"/>
      <c r="K15" s="4416"/>
      <c r="L15" s="4416"/>
      <c r="M15" s="4416"/>
      <c r="N15" s="4417"/>
      <c r="AA15" s="564"/>
    </row>
    <row r="16" spans="1:27" x14ac:dyDescent="0.2">
      <c r="A16" s="552">
        <v>16</v>
      </c>
      <c r="C16" s="4462"/>
      <c r="D16" s="4464"/>
      <c r="F16" s="4462"/>
      <c r="G16" s="4463"/>
      <c r="H16" s="4463"/>
      <c r="I16" s="4463"/>
      <c r="J16" s="4463"/>
      <c r="K16" s="4463"/>
      <c r="L16" s="4463"/>
      <c r="M16" s="4463"/>
      <c r="N16" s="4464"/>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415" t="s">
        <v>3058</v>
      </c>
      <c r="D27" s="4416"/>
      <c r="E27" s="4416"/>
      <c r="F27" s="4416"/>
      <c r="G27" s="4416"/>
      <c r="H27" s="4416"/>
      <c r="I27" s="4416"/>
      <c r="J27" s="4416"/>
      <c r="K27" s="4417"/>
    </row>
    <row r="28" spans="1:27" ht="12.75" customHeight="1" thickBot="1" x14ac:dyDescent="0.25">
      <c r="A28" s="552">
        <v>28</v>
      </c>
      <c r="C28" s="5398"/>
      <c r="D28" s="5399"/>
      <c r="E28" s="5399"/>
      <c r="F28" s="5399"/>
      <c r="G28" s="5399"/>
      <c r="H28" s="5399"/>
      <c r="I28" s="5399"/>
      <c r="J28" s="5399"/>
      <c r="K28" s="5400"/>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88" t="s">
        <v>3059</v>
      </c>
      <c r="D89" s="5389"/>
      <c r="E89" s="5389"/>
      <c r="F89" s="5389"/>
      <c r="G89" s="585" t="s">
        <v>3060</v>
      </c>
      <c r="H89" s="586"/>
      <c r="I89" s="587"/>
      <c r="J89" s="587"/>
      <c r="K89" s="587"/>
      <c r="L89" s="587"/>
      <c r="M89" s="587"/>
      <c r="N89" s="587"/>
      <c r="O89" s="587"/>
      <c r="P89" s="587"/>
      <c r="Q89" s="587"/>
      <c r="R89" s="5392" t="s">
        <v>3061</v>
      </c>
    </row>
    <row r="90" spans="1:18" ht="13.5" thickBot="1" x14ac:dyDescent="0.25">
      <c r="C90" s="5394" t="s">
        <v>3062</v>
      </c>
      <c r="D90" s="5394"/>
      <c r="E90" s="5394"/>
      <c r="F90" s="589" t="s">
        <v>2637</v>
      </c>
      <c r="G90" s="588" t="s">
        <v>3063</v>
      </c>
      <c r="H90" s="589" t="s">
        <v>3064</v>
      </c>
      <c r="I90" s="565"/>
      <c r="J90" s="565"/>
      <c r="K90" s="565"/>
      <c r="L90" s="5395" t="s">
        <v>1861</v>
      </c>
      <c r="M90" s="5395"/>
      <c r="N90" s="5395"/>
      <c r="O90" s="5395"/>
      <c r="P90" s="5395"/>
      <c r="Q90" s="5395"/>
      <c r="R90" s="5393"/>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60" t="s">
        <v>3067</v>
      </c>
      <c r="M92" s="5378"/>
      <c r="N92" s="5378"/>
      <c r="O92" s="5378"/>
      <c r="P92" s="5378"/>
      <c r="Q92" s="5378"/>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60" t="s">
        <v>3069</v>
      </c>
      <c r="M93" s="5378"/>
      <c r="N93" s="5378"/>
      <c r="O93" s="5378"/>
      <c r="P93" s="5378"/>
      <c r="Q93" s="5378"/>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60" t="s">
        <v>3071</v>
      </c>
      <c r="M94" s="5378"/>
      <c r="N94" s="5378"/>
      <c r="O94" s="5378"/>
      <c r="P94" s="5378"/>
      <c r="Q94" s="5378"/>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60" t="s">
        <v>3073</v>
      </c>
      <c r="M95" s="5378"/>
      <c r="N95" s="5378"/>
      <c r="O95" s="5378"/>
      <c r="P95" s="5378"/>
      <c r="Q95" s="5378"/>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86" t="s">
        <v>3075</v>
      </c>
      <c r="M96" s="5378"/>
      <c r="N96" s="5378"/>
      <c r="O96" s="5378"/>
      <c r="P96" s="5378"/>
      <c r="Q96" s="5378"/>
      <c r="R96" s="1846" t="s">
        <v>1766</v>
      </c>
    </row>
    <row r="97" spans="2:18" x14ac:dyDescent="0.2">
      <c r="B97" s="593">
        <f t="shared" si="0"/>
        <v>0</v>
      </c>
      <c r="C97" s="591" t="s">
        <v>3076</v>
      </c>
      <c r="D97" s="591"/>
      <c r="E97" s="591"/>
      <c r="F97" s="592"/>
      <c r="G97" s="1827"/>
      <c r="H97" s="1827"/>
      <c r="I97" s="1827" t="s">
        <v>1766</v>
      </c>
      <c r="J97" s="1829" t="s">
        <v>1766</v>
      </c>
      <c r="K97" s="1827" t="s">
        <v>1766</v>
      </c>
      <c r="L97" s="5360"/>
      <c r="M97" s="5378"/>
      <c r="N97" s="5378"/>
      <c r="O97" s="5378"/>
      <c r="P97" s="5378"/>
      <c r="Q97" s="5378"/>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60" t="s">
        <v>3078</v>
      </c>
      <c r="M98" s="5378"/>
      <c r="N98" s="5378"/>
      <c r="O98" s="5378"/>
      <c r="P98" s="5378"/>
      <c r="Q98" s="5378"/>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60" t="s">
        <v>3080</v>
      </c>
      <c r="M99" s="5378"/>
      <c r="N99" s="5378"/>
      <c r="O99" s="5378"/>
      <c r="P99" s="5378"/>
      <c r="Q99" s="5378"/>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60" t="s">
        <v>3082</v>
      </c>
      <c r="M100" s="5378"/>
      <c r="N100" s="5378"/>
      <c r="O100" s="5378"/>
      <c r="P100" s="5378"/>
      <c r="Q100" s="5378"/>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86" t="s">
        <v>3084</v>
      </c>
      <c r="M101" s="5378"/>
      <c r="N101" s="5378"/>
      <c r="O101" s="5378"/>
      <c r="P101" s="5378"/>
      <c r="Q101" s="5378"/>
      <c r="R101" s="1847"/>
    </row>
    <row r="102" spans="2:18" x14ac:dyDescent="0.2">
      <c r="B102" s="593">
        <f t="shared" si="0"/>
        <v>0</v>
      </c>
      <c r="C102" s="591" t="s">
        <v>3085</v>
      </c>
      <c r="D102" s="591"/>
      <c r="E102" s="591"/>
      <c r="F102" s="592"/>
      <c r="G102" s="1827"/>
      <c r="H102" s="1827"/>
      <c r="I102" s="1827" t="s">
        <v>1766</v>
      </c>
      <c r="J102" s="1827" t="s">
        <v>1766</v>
      </c>
      <c r="K102" s="1827" t="s">
        <v>1766</v>
      </c>
      <c r="L102" s="5360"/>
      <c r="M102" s="5378"/>
      <c r="N102" s="5378"/>
      <c r="O102" s="5378"/>
      <c r="P102" s="5378"/>
      <c r="Q102" s="5378"/>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86" t="s">
        <v>3087</v>
      </c>
      <c r="M103" s="5378"/>
      <c r="N103" s="5378"/>
      <c r="O103" s="5378"/>
      <c r="P103" s="5378"/>
      <c r="Q103" s="5378"/>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86" t="s">
        <v>3089</v>
      </c>
      <c r="M104" s="5378"/>
      <c r="N104" s="5378"/>
      <c r="O104" s="5378"/>
      <c r="P104" s="5378"/>
      <c r="Q104" s="5378"/>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86" t="s">
        <v>3091</v>
      </c>
      <c r="M105" s="5378"/>
      <c r="N105" s="5378"/>
      <c r="O105" s="5378"/>
      <c r="P105" s="5378"/>
      <c r="Q105" s="5378"/>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60"/>
      <c r="M106" s="5378"/>
      <c r="N106" s="5378"/>
      <c r="O106" s="5378"/>
      <c r="P106" s="5378"/>
      <c r="Q106" s="5378"/>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60" t="s">
        <v>3094</v>
      </c>
      <c r="M107" s="5378"/>
      <c r="N107" s="5378"/>
      <c r="O107" s="5378"/>
      <c r="P107" s="5378"/>
      <c r="Q107" s="5378"/>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86" t="s">
        <v>3096</v>
      </c>
      <c r="M108" s="5378"/>
      <c r="N108" s="5378"/>
      <c r="O108" s="5378"/>
      <c r="P108" s="5378"/>
      <c r="Q108" s="5378"/>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87" t="s">
        <v>3098</v>
      </c>
      <c r="M109" s="5382"/>
      <c r="N109" s="5382"/>
      <c r="O109" s="5382"/>
      <c r="P109" s="5382"/>
      <c r="Q109" s="5382"/>
      <c r="R109" s="1846" t="s">
        <v>1766</v>
      </c>
    </row>
    <row r="110" spans="2:18" ht="13.5" thickBot="1" x14ac:dyDescent="0.25">
      <c r="B110" s="593">
        <f>G110</f>
        <v>0</v>
      </c>
      <c r="C110" s="5390" t="s">
        <v>3099</v>
      </c>
      <c r="D110" s="5391"/>
      <c r="E110" s="5391"/>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83" t="s">
        <v>1861</v>
      </c>
      <c r="M111" s="5383"/>
      <c r="N111" s="5383"/>
      <c r="O111" s="5383"/>
      <c r="P111" s="5383"/>
      <c r="Q111" s="5383"/>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100</v>
      </c>
      <c r="K112" s="1830">
        <f>Sheele!N21*2</f>
        <v>50</v>
      </c>
      <c r="L112" s="5378" t="s">
        <v>3104</v>
      </c>
      <c r="M112" s="5378"/>
      <c r="N112" s="5378"/>
      <c r="O112" s="5378"/>
      <c r="P112" s="5378"/>
      <c r="Q112" s="5378"/>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50</v>
      </c>
      <c r="K113" s="1830">
        <v>60</v>
      </c>
      <c r="L113" s="5378" t="s">
        <v>3106</v>
      </c>
      <c r="M113" s="5378"/>
      <c r="N113" s="5378"/>
      <c r="O113" s="5378"/>
      <c r="P113" s="5378"/>
      <c r="Q113" s="5378"/>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78" t="s">
        <v>3108</v>
      </c>
      <c r="M114" s="5378"/>
      <c r="N114" s="5378"/>
      <c r="O114" s="5378"/>
      <c r="P114" s="5378"/>
      <c r="Q114" s="5378"/>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50</v>
      </c>
      <c r="K115" s="1830" t="str">
        <f>"+"&amp;Sheele!H15</f>
        <v>+10</v>
      </c>
      <c r="L115" s="5378" t="s">
        <v>3110</v>
      </c>
      <c r="M115" s="5378"/>
      <c r="N115" s="5378"/>
      <c r="O115" s="5378"/>
      <c r="P115" s="5378"/>
      <c r="Q115" s="5378"/>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78" t="s">
        <v>3111</v>
      </c>
      <c r="M116" s="5378"/>
      <c r="N116" s="5378"/>
      <c r="O116" s="5378"/>
      <c r="P116" s="5378"/>
      <c r="Q116" s="5378"/>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78" t="s">
        <v>3113</v>
      </c>
      <c r="M117" s="5378"/>
      <c r="N117" s="5378"/>
      <c r="O117" s="5378"/>
      <c r="P117" s="5378"/>
      <c r="Q117" s="5378"/>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79" t="str">
        <f>"+2 FUE al alcance y +"&amp;Sheele!H15&amp;" al daño de proyectiles de quien esté en contacto con ella."</f>
        <v>+2 FUE al alcance y +10 al daño de proyectiles de quien esté en contacto con ella.</v>
      </c>
      <c r="M118" s="5378"/>
      <c r="N118" s="5378"/>
      <c r="O118" s="5378"/>
      <c r="P118" s="5378"/>
      <c r="Q118" s="5378"/>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79" t="s">
        <v>3116</v>
      </c>
      <c r="M119" s="5378"/>
      <c r="N119" s="5378"/>
      <c r="O119" s="5378"/>
      <c r="P119" s="5378"/>
      <c r="Q119" s="5378"/>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78" t="str">
        <f>"Aquel en contacto RF "&amp;Sheele!N21*2+Sheele!H15&amp;" o daño igual al nivel de fracaso. Inmune a ataques físicos"</f>
        <v>Aquel en contacto RF 60 o daño igual al nivel de fracaso. Inmune a ataques físicos</v>
      </c>
      <c r="M120" s="5378"/>
      <c r="N120" s="5378"/>
      <c r="O120" s="5378"/>
      <c r="P120" s="5378"/>
      <c r="Q120" s="5378"/>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81" t="s">
        <v>3120</v>
      </c>
      <c r="M121" s="5382"/>
      <c r="N121" s="5382"/>
      <c r="O121" s="5382"/>
      <c r="P121" s="5382"/>
      <c r="Q121" s="5382"/>
      <c r="R121" s="1846" t="s">
        <v>1766</v>
      </c>
    </row>
    <row r="122" spans="2:18" x14ac:dyDescent="0.2">
      <c r="B122" s="593">
        <f t="shared" si="0"/>
        <v>0</v>
      </c>
      <c r="C122" s="1838" t="s">
        <v>3011</v>
      </c>
      <c r="D122" s="607"/>
      <c r="E122" s="607"/>
      <c r="F122" s="599"/>
      <c r="G122" s="604"/>
      <c r="H122" s="603"/>
      <c r="I122" s="608" t="s">
        <v>3101</v>
      </c>
      <c r="J122" s="601" t="s">
        <v>3102</v>
      </c>
      <c r="K122" s="600" t="s">
        <v>1882</v>
      </c>
      <c r="L122" s="5383" t="s">
        <v>1861</v>
      </c>
      <c r="M122" s="5383"/>
      <c r="N122" s="5383"/>
      <c r="O122" s="5383"/>
      <c r="P122" s="5383"/>
      <c r="Q122" s="5383"/>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50</v>
      </c>
      <c r="K123" s="1830">
        <v>50</v>
      </c>
      <c r="L123" s="5378" t="s">
        <v>3123</v>
      </c>
      <c r="M123" s="5378"/>
      <c r="N123" s="5378"/>
      <c r="O123" s="5378"/>
      <c r="P123" s="5378"/>
      <c r="Q123" s="5378"/>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50</v>
      </c>
      <c r="K124" s="1830">
        <f>Sheele!N21</f>
        <v>25</v>
      </c>
      <c r="L124" s="5378" t="str">
        <f>"Ataque CON, Área "&amp;Sheele!N21&amp;"m. Aquellos en contacto son inmunes. Impacto FUE "&amp;Sheele!G15</f>
        <v>Ataque CON, Área 25m. Aquellos en contacto son inmunes. Impacto FUE 8</v>
      </c>
      <c r="M124" s="5378"/>
      <c r="N124" s="5378"/>
      <c r="O124" s="5378"/>
      <c r="P124" s="5378"/>
      <c r="Q124" s="5378"/>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78" t="s">
        <v>3126</v>
      </c>
      <c r="M125" s="5378"/>
      <c r="N125" s="5378"/>
      <c r="O125" s="5378"/>
      <c r="P125" s="5378"/>
      <c r="Q125" s="5378"/>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78" t="str">
        <f>"Ataque automático 50m. RM o RF "&amp;Sheele!N21*2+Sheele!H15&amp;", -5 por cada TA en FRI. Parálisis total si &gt; 40"</f>
        <v>Ataque automático 50m. RM o RF 60, -5 por cada TA en FRI. Parálisis total si &gt; 40</v>
      </c>
      <c r="M126" s="5378"/>
      <c r="N126" s="5378"/>
      <c r="O126" s="5378"/>
      <c r="P126" s="5378"/>
      <c r="Q126" s="5378"/>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100</v>
      </c>
      <c r="K127" s="1830" t="s">
        <v>1766</v>
      </c>
      <c r="L127" s="5378" t="s">
        <v>3129</v>
      </c>
      <c r="M127" s="5378"/>
      <c r="N127" s="5378"/>
      <c r="O127" s="5378"/>
      <c r="P127" s="5378"/>
      <c r="Q127" s="5378"/>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78" t="s">
        <v>3131</v>
      </c>
      <c r="M128" s="5378"/>
      <c r="N128" s="5378"/>
      <c r="O128" s="5378"/>
      <c r="P128" s="5378"/>
      <c r="Q128" s="5378"/>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78" t="s">
        <v>3133</v>
      </c>
      <c r="M129" s="5378"/>
      <c r="N129" s="5378"/>
      <c r="O129" s="5378"/>
      <c r="P129" s="5378"/>
      <c r="Q129" s="5378"/>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79" t="s">
        <v>3116</v>
      </c>
      <c r="M130" s="5378"/>
      <c r="N130" s="5378"/>
      <c r="O130" s="5378"/>
      <c r="P130" s="5378"/>
      <c r="Q130" s="5378"/>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78" t="s">
        <v>3135</v>
      </c>
      <c r="M131" s="5378"/>
      <c r="N131" s="5378"/>
      <c r="O131" s="5378"/>
      <c r="P131" s="5378"/>
      <c r="Q131" s="5378"/>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82" t="s">
        <v>3136</v>
      </c>
      <c r="M132" s="5382"/>
      <c r="N132" s="5382"/>
      <c r="O132" s="5382"/>
      <c r="P132" s="5382"/>
      <c r="Q132" s="5382"/>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83" t="s">
        <v>1861</v>
      </c>
      <c r="M133" s="5383"/>
      <c r="N133" s="5383"/>
      <c r="O133" s="5383"/>
      <c r="P133" s="5383"/>
      <c r="Q133" s="5383"/>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100</v>
      </c>
      <c r="K134" s="1830">
        <f>Sheele!N21*2</f>
        <v>50</v>
      </c>
      <c r="L134" s="5378" t="s">
        <v>3138</v>
      </c>
      <c r="M134" s="5378"/>
      <c r="N134" s="5378"/>
      <c r="O134" s="5378"/>
      <c r="P134" s="5378"/>
      <c r="Q134" s="5378"/>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78" t="s">
        <v>3140</v>
      </c>
      <c r="M135" s="5378"/>
      <c r="N135" s="5378"/>
      <c r="O135" s="5378"/>
      <c r="P135" s="5378"/>
      <c r="Q135" s="5378"/>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78" t="s">
        <v>3142</v>
      </c>
      <c r="M136" s="5378"/>
      <c r="N136" s="5378"/>
      <c r="O136" s="5378"/>
      <c r="P136" s="5378"/>
      <c r="Q136" s="5378"/>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50</v>
      </c>
      <c r="K137" s="1830">
        <f>Sheele!N21</f>
        <v>25</v>
      </c>
      <c r="L137" s="5378" t="str">
        <f>"Area CAL "&amp;Sheele!G16&amp;"m. Cada aatque sucesivo dobla el área y +10 daño"</f>
        <v>Area CAL 6m. Cada aatque sucesivo dobla el área y +10 daño</v>
      </c>
      <c r="M137" s="5378"/>
      <c r="N137" s="5378"/>
      <c r="O137" s="5378"/>
      <c r="P137" s="5378"/>
      <c r="Q137" s="5378"/>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50</v>
      </c>
      <c r="K138" s="1830" t="s">
        <v>1766</v>
      </c>
      <c r="L138" s="5378" t="str">
        <f>"La Sheele controla el fuego de hasta "&amp;Sheele!G15&amp;" intensidades. Puede atacar con él."</f>
        <v>La Sheele controla el fuego de hasta 8 intensidades. Puede atacar con él.</v>
      </c>
      <c r="M138" s="5378"/>
      <c r="N138" s="5378"/>
      <c r="O138" s="5378"/>
      <c r="P138" s="5378"/>
      <c r="Q138" s="5378"/>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79" t="s">
        <v>3116</v>
      </c>
      <c r="M139" s="5378"/>
      <c r="N139" s="5378"/>
      <c r="O139" s="5378"/>
      <c r="P139" s="5378"/>
      <c r="Q139" s="5378"/>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78" t="str">
        <f>"Aquel en contacto puede usar CAL como crítico secundario en sus armas, y éstas tienen +"&amp;Sheele!H15&amp;" daño."</f>
        <v>Aquel en contacto puede usar CAL como crítico secundario en sus armas, y éstas tienen +10 daño.</v>
      </c>
      <c r="M140" s="5378"/>
      <c r="N140" s="5378"/>
      <c r="O140" s="5378"/>
      <c r="P140" s="5378"/>
      <c r="Q140" s="5378"/>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78" t="str">
        <f>"A voluntad, solo vulnerable a energía o frío. En contacto RF "&amp;Sheele!N21*2+Sheele!H15&amp;" o daño = nivel fracaso."</f>
        <v>A voluntad, solo vulnerable a energía o frío. En contacto RF 60 o daño = nivel fracaso.</v>
      </c>
      <c r="M141" s="5378"/>
      <c r="N141" s="5378"/>
      <c r="O141" s="5378"/>
      <c r="P141" s="5378"/>
      <c r="Q141" s="5378"/>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79" t="s">
        <v>3149</v>
      </c>
      <c r="M142" s="5378"/>
      <c r="N142" s="5378"/>
      <c r="O142" s="5378"/>
      <c r="P142" s="5378"/>
      <c r="Q142" s="5378"/>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81" t="s">
        <v>3151</v>
      </c>
      <c r="M143" s="5382"/>
      <c r="N143" s="5382"/>
      <c r="O143" s="5382"/>
      <c r="P143" s="5382"/>
      <c r="Q143" s="5382"/>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83" t="s">
        <v>1861</v>
      </c>
      <c r="M144" s="5383"/>
      <c r="N144" s="5383"/>
      <c r="O144" s="5383"/>
      <c r="P144" s="5383"/>
      <c r="Q144" s="5383"/>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75</v>
      </c>
      <c r="L145" s="5378" t="s">
        <v>3153</v>
      </c>
      <c r="M145" s="5378"/>
      <c r="N145" s="5378"/>
      <c r="O145" s="5378"/>
      <c r="P145" s="5378"/>
      <c r="Q145" s="5378"/>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78" t="str">
        <f>"Ataque automático  25m. RM "&amp;Sheele!N21*2+Sheele!H15&amp;" o -50 turno y x0.5 movimiento"</f>
        <v>Ataque automático  25m. RM 60 o -50 turno y x0.5 movimiento</v>
      </c>
      <c r="M146" s="5378"/>
      <c r="N146" s="5378"/>
      <c r="O146" s="5378"/>
      <c r="P146" s="5378"/>
      <c r="Q146" s="5378"/>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78" t="s">
        <v>3156</v>
      </c>
      <c r="M147" s="5378"/>
      <c r="N147" s="5378"/>
      <c r="O147" s="5378"/>
      <c r="P147" s="5378"/>
      <c r="Q147" s="5378"/>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78" t="str">
        <f>"Area "&amp;Sheele!N21*2&amp;"m. Construcciones e individuos sobre el suelo control de AGI "&amp;Sheele!E12*2&amp;" o derribados"</f>
        <v>Area 50m. Construcciones e individuos sobre el suelo control de AGI 4 o derribados</v>
      </c>
      <c r="M148" s="5378"/>
      <c r="N148" s="5378"/>
      <c r="O148" s="5378"/>
      <c r="P148" s="5378"/>
      <c r="Q148" s="5378"/>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79" t="s">
        <v>3159</v>
      </c>
      <c r="M149" s="5378"/>
      <c r="N149" s="5378"/>
      <c r="O149" s="5378"/>
      <c r="P149" s="5378"/>
      <c r="Q149" s="5378"/>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78" t="s">
        <v>3161</v>
      </c>
      <c r="M150" s="5378"/>
      <c r="N150" s="5378"/>
      <c r="O150" s="5378"/>
      <c r="P150" s="5378"/>
      <c r="Q150" s="5378"/>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100</v>
      </c>
      <c r="K151" s="1830"/>
      <c r="L151" s="5378" t="str">
        <f>"Ataque 100m. De lograr daño, Control FUE "&amp;Sheele!E12+Sheele!E15+Sheele!E16&amp;" -1 por TA CON. 10 daño/fallo (50 a acumulación)"</f>
        <v>Ataque 100m. De lograr daño, Control FUE 16 -1 por TA CON. 10 daño/fallo (50 a acumulación)</v>
      </c>
      <c r="M151" s="5378"/>
      <c r="N151" s="5378"/>
      <c r="O151" s="5378"/>
      <c r="P151" s="5378"/>
      <c r="Q151" s="5378"/>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79" t="s">
        <v>3116</v>
      </c>
      <c r="M152" s="5378"/>
      <c r="N152" s="5378"/>
      <c r="O152" s="5378"/>
      <c r="P152" s="5378"/>
      <c r="Q152" s="5378"/>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78" t="str">
        <f>"Movimiento subterráneo de Tipo "&amp;Sheele!L31</f>
        <v>Movimiento subterráneo de Tipo 8</v>
      </c>
      <c r="M153" s="5378"/>
      <c r="N153" s="5378"/>
      <c r="O153" s="5378"/>
      <c r="P153" s="5378"/>
      <c r="Q153" s="5378"/>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82" t="s">
        <v>3165</v>
      </c>
      <c r="M154" s="5382"/>
      <c r="N154" s="5382"/>
      <c r="O154" s="5382"/>
      <c r="P154" s="5382"/>
      <c r="Q154" s="5382"/>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83" t="s">
        <v>1861</v>
      </c>
      <c r="M155" s="5383"/>
      <c r="N155" s="5383"/>
      <c r="O155" s="5383"/>
      <c r="P155" s="5383"/>
      <c r="Q155" s="5383"/>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50</v>
      </c>
      <c r="K156" s="1830">
        <v>40</v>
      </c>
      <c r="L156" s="5378" t="str">
        <f>"Crea "&amp;Sheele!G15&amp;" proyectiles durante máximo "&amp;Sheele!G16&amp;" asaltos. Máximo "&amp;ROUNDDOWN(Sheele!G11/2,0)&amp;" ataques/ turno. Ataca en ENE."</f>
        <v>Crea 8 proyectiles durante máximo 6 asaltos. Máximo 4 ataques/ turno. Ataca en ENE.</v>
      </c>
      <c r="M156" s="5378"/>
      <c r="N156" s="5378"/>
      <c r="O156" s="5378"/>
      <c r="P156" s="5378"/>
      <c r="Q156" s="5378"/>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50+</v>
      </c>
      <c r="K157" s="1830">
        <f>Sheele!N21</f>
        <v>25</v>
      </c>
      <c r="L157" s="5378" t="str">
        <f>"Ataque ENE. +15 Proy cada asalto que lo prepare, máximo "&amp;Sheele!G15&amp;" asaltos."</f>
        <v>Ataque ENE. +15 Proy cada asalto que lo prepare, máximo 8 asaltos.</v>
      </c>
      <c r="M157" s="5378"/>
      <c r="N157" s="5378"/>
      <c r="O157" s="5378"/>
      <c r="P157" s="5378"/>
      <c r="Q157" s="5378"/>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78" t="str">
        <f>"5 asaltos. +"&amp;Sheele!H15*2&amp;" a toda acción y al ACT transferible. Después, -50 ata (10/ asalto)"</f>
        <v>5 asaltos. +20 a toda acción y al ACT transferible. Después, -50 ata (10/ asalto)</v>
      </c>
      <c r="M158" s="5378"/>
      <c r="N158" s="5378"/>
      <c r="O158" s="5378"/>
      <c r="P158" s="5378"/>
      <c r="Q158" s="5378"/>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78" t="str">
        <f>"Cura "&amp;Sheele!N21&amp;" PV o elimina penalizadores por el mismo valor. 1 uso/ persona/ día."</f>
        <v>Cura 25 PV o elimina penalizadores por el mismo valor. 1 uso/ persona/ día.</v>
      </c>
      <c r="M159" s="5378"/>
      <c r="N159" s="5378"/>
      <c r="O159" s="5378"/>
      <c r="P159" s="5378"/>
      <c r="Q159" s="5378"/>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78" t="s">
        <v>3170</v>
      </c>
      <c r="M160" s="5378"/>
      <c r="N160" s="5378"/>
      <c r="O160" s="5378"/>
      <c r="P160" s="5378"/>
      <c r="Q160" s="5378"/>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79" t="s">
        <v>3171</v>
      </c>
      <c r="M161" s="5378"/>
      <c r="N161" s="5378"/>
      <c r="O161" s="5378"/>
      <c r="P161" s="5378"/>
      <c r="Q161" s="5378"/>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79" t="s">
        <v>3173</v>
      </c>
      <c r="M162" s="5378"/>
      <c r="N162" s="5378"/>
      <c r="O162" s="5378"/>
      <c r="P162" s="5378"/>
      <c r="Q162" s="5378"/>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79" t="s">
        <v>3116</v>
      </c>
      <c r="M163" s="5378"/>
      <c r="N163" s="5378"/>
      <c r="O163" s="5378"/>
      <c r="P163" s="5378"/>
      <c r="Q163" s="5378"/>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78" t="str">
        <f>"A voluntad. inmune a los ataques físicos. Puede cegar 1 turno por cada 10 de fallo en RM "&amp;Sheele!N21*2+Sheele!H15</f>
        <v>A voluntad. inmune a los ataques físicos. Puede cegar 1 turno por cada 10 de fallo en RM 60</v>
      </c>
      <c r="M164" s="5378"/>
      <c r="N164" s="5378"/>
      <c r="O164" s="5378"/>
      <c r="P164" s="5378"/>
      <c r="Q164" s="5378"/>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81" t="s">
        <v>3176</v>
      </c>
      <c r="M165" s="5382"/>
      <c r="N165" s="5382"/>
      <c r="O165" s="5382"/>
      <c r="P165" s="5382"/>
      <c r="Q165" s="5382"/>
      <c r="R165" s="1846" t="s">
        <v>1766</v>
      </c>
    </row>
    <row r="166" spans="2:18" x14ac:dyDescent="0.2">
      <c r="B166" s="1837">
        <f t="shared" si="1"/>
        <v>0</v>
      </c>
      <c r="C166" s="1838" t="s">
        <v>3028</v>
      </c>
      <c r="D166" s="607"/>
      <c r="E166" s="607"/>
      <c r="F166" s="599"/>
      <c r="G166" s="604"/>
      <c r="H166" s="603"/>
      <c r="I166" s="608" t="s">
        <v>3101</v>
      </c>
      <c r="J166" s="601" t="s">
        <v>3102</v>
      </c>
      <c r="K166" s="600" t="s">
        <v>1882</v>
      </c>
      <c r="L166" s="5383" t="s">
        <v>1861</v>
      </c>
      <c r="M166" s="5383"/>
      <c r="N166" s="5383"/>
      <c r="O166" s="5383"/>
      <c r="P166" s="5383"/>
      <c r="Q166" s="5383"/>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84" t="s">
        <v>3178</v>
      </c>
      <c r="M167" s="5385"/>
      <c r="N167" s="5385"/>
      <c r="O167" s="5385"/>
      <c r="P167" s="5385"/>
      <c r="Q167" s="5385"/>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50</v>
      </c>
      <c r="K168" s="1830">
        <f>Sheele!N21*2</f>
        <v>50</v>
      </c>
      <c r="L168" s="5378" t="s">
        <v>3180</v>
      </c>
      <c r="M168" s="5378"/>
      <c r="N168" s="5378"/>
      <c r="O168" s="5378"/>
      <c r="P168" s="5378"/>
      <c r="Q168" s="5378"/>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150</v>
      </c>
      <c r="K169" s="1830" t="s">
        <v>1766</v>
      </c>
      <c r="L169" s="5378" t="str">
        <f>"Defensa. RM "&amp;Sheele!N21*2+Sheele!H15&amp;" (Pres·2+ POD) o -50 a toda acción que se recupera a 10/asalto"</f>
        <v>Defensa. RM 60 (Pres·2+ POD) o -50 a toda acción que se recupera a 10/asalto</v>
      </c>
      <c r="M169" s="5378"/>
      <c r="N169" s="5378"/>
      <c r="O169" s="5378"/>
      <c r="P169" s="5378"/>
      <c r="Q169" s="5378"/>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78" t="s">
        <v>3183</v>
      </c>
      <c r="M170" s="5378"/>
      <c r="N170" s="5378"/>
      <c r="O170" s="5378"/>
      <c r="P170" s="5378"/>
      <c r="Q170" s="5378"/>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78" t="str">
        <f>"Un blanco a 50m. RM "&amp;Sheele!N21*2&amp;" (Pres·2) o sufre -"&amp;Sheele!H15*2&amp;" (POD·2) a toda acción."</f>
        <v>Un blanco a 50m. RM 50 (Pres·2) o sufre -20 (POD·2) a toda acción.</v>
      </c>
      <c r="M171" s="5378"/>
      <c r="N171" s="5378"/>
      <c r="O171" s="5378"/>
      <c r="P171" s="5378"/>
      <c r="Q171" s="5378"/>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78" t="str">
        <f>"5 asaltos. +"&amp;Sheele!H15*2&amp;" (POD·2) ATA y al ACT trasferible. Al finalizar, -50 ATA (-10/asalto)"</f>
        <v>5 asaltos. +20 (POD·2) ATA y al ACT trasferible. Al finalizar, -50 ATA (-10/asalto)</v>
      </c>
      <c r="M172" s="5378"/>
      <c r="N172" s="5378"/>
      <c r="O172" s="5378"/>
      <c r="P172" s="5378"/>
      <c r="Q172" s="5378"/>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78" t="str">
        <f>"Objetivo durmiendo. RM "&amp;Sheele!N21*2+Sheele!H15&amp;" (Pres·2+ POD) o malos sueños. En la Vigilia es más potente"</f>
        <v>Objetivo durmiendo. RM 60 (Pres·2+ POD) o malos sueños. En la Vigilia es más potente</v>
      </c>
      <c r="M173" s="5378"/>
      <c r="N173" s="5378"/>
      <c r="O173" s="5378"/>
      <c r="P173" s="5378"/>
      <c r="Q173" s="5378"/>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78" t="s">
        <v>3188</v>
      </c>
      <c r="M174" s="5378"/>
      <c r="N174" s="5378"/>
      <c r="O174" s="5378"/>
      <c r="P174" s="5378"/>
      <c r="Q174" s="5378"/>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79" t="s">
        <v>3116</v>
      </c>
      <c r="M175" s="5378"/>
      <c r="N175" s="5378"/>
      <c r="O175" s="5378"/>
      <c r="P175" s="5378"/>
      <c r="Q175" s="5378"/>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5</v>
      </c>
      <c r="L176" s="5382" t="str">
        <f>"Puede atacar y defender usando su proyección. Daño base "&amp;Sheele!N21+Sheele!H12</f>
        <v>Puede atacar y defender usando su proyección. Daño base 5</v>
      </c>
      <c r="M176" s="5382"/>
      <c r="N176" s="5382"/>
      <c r="O176" s="5382"/>
      <c r="P176" s="5382"/>
      <c r="Q176" s="5382"/>
      <c r="R176" s="1846"/>
    </row>
    <row r="177" spans="2:18" x14ac:dyDescent="0.2">
      <c r="B177" s="593">
        <f t="shared" si="1"/>
        <v>0</v>
      </c>
      <c r="C177" s="1838" t="s">
        <v>3033</v>
      </c>
      <c r="D177" s="607"/>
      <c r="E177" s="607"/>
      <c r="F177" s="599"/>
      <c r="G177" s="604"/>
      <c r="H177" s="603"/>
      <c r="I177" s="608" t="s">
        <v>3101</v>
      </c>
      <c r="J177" s="601" t="s">
        <v>3102</v>
      </c>
      <c r="K177" s="600" t="s">
        <v>1882</v>
      </c>
      <c r="L177" s="5383" t="s">
        <v>1861</v>
      </c>
      <c r="M177" s="5383"/>
      <c r="N177" s="5383"/>
      <c r="O177" s="5383"/>
      <c r="P177" s="5383"/>
      <c r="Q177" s="5383"/>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100</v>
      </c>
      <c r="K178" s="610" t="s">
        <v>1766</v>
      </c>
      <c r="L178" s="5378" t="str">
        <f>"Ataque de presa de FUE "&amp;Sheele!G15&amp;". Se puede mantener pagando el coste de zeon."</f>
        <v>Ataque de presa de FUE 8. Se puede mantener pagando el coste de zeon.</v>
      </c>
      <c r="M178" s="5378"/>
      <c r="N178" s="5378"/>
      <c r="O178" s="5378"/>
      <c r="P178" s="5378"/>
      <c r="Q178" s="5378"/>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50</v>
      </c>
      <c r="K179" s="1830" t="s">
        <v>1766</v>
      </c>
      <c r="L179" s="5378" t="str">
        <f>"Escudo de aguante "&amp;10*Sheele!N21&amp;", que dura máximo "&amp;Sheele!G16&amp;" asaltos."</f>
        <v>Escudo de aguante 250, que dura máximo 6 asaltos.</v>
      </c>
      <c r="M179" s="5378"/>
      <c r="N179" s="5378"/>
      <c r="O179" s="5378"/>
      <c r="P179" s="5378"/>
      <c r="Q179" s="5378"/>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78" t="s">
        <v>3194</v>
      </c>
      <c r="M180" s="5378"/>
      <c r="N180" s="5378"/>
      <c r="O180" s="5378"/>
      <c r="P180" s="5378"/>
      <c r="Q180" s="5378"/>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78" t="str">
        <f>"Cura "&amp;Sheele!N21*2&amp;" PV. 1 uso/ persona/ día."</f>
        <v>Cura 50 PV. 1 uso/ persona/ día.</v>
      </c>
      <c r="M181" s="5378"/>
      <c r="N181" s="5378"/>
      <c r="O181" s="5378"/>
      <c r="P181" s="5378"/>
      <c r="Q181" s="5378"/>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50</v>
      </c>
      <c r="K182" s="1830">
        <f>Sheele!N21</f>
        <v>25</v>
      </c>
      <c r="L182" s="5378" t="s">
        <v>3196</v>
      </c>
      <c r="M182" s="5378"/>
      <c r="N182" s="5378"/>
      <c r="O182" s="5378"/>
      <c r="P182" s="5378"/>
      <c r="Q182" s="5378"/>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79" t="s">
        <v>3198</v>
      </c>
      <c r="M183" s="5378"/>
      <c r="N183" s="5378"/>
      <c r="O183" s="5378"/>
      <c r="P183" s="5378"/>
      <c r="Q183" s="5378"/>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78" t="s">
        <v>3200</v>
      </c>
      <c r="M184" s="5378"/>
      <c r="N184" s="5378"/>
      <c r="O184" s="5378"/>
      <c r="P184" s="5378"/>
      <c r="Q184" s="5378"/>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79" t="s">
        <v>3116</v>
      </c>
      <c r="M185" s="5378"/>
      <c r="N185" s="5378"/>
      <c r="O185" s="5378"/>
      <c r="P185" s="5378"/>
      <c r="Q185" s="5378"/>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78" t="s">
        <v>3202</v>
      </c>
      <c r="M186" s="5378"/>
      <c r="N186" s="5378"/>
      <c r="O186" s="5378"/>
      <c r="P186" s="5378"/>
      <c r="Q186" s="5378"/>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81" t="s">
        <v>3204</v>
      </c>
      <c r="M187" s="5382"/>
      <c r="N187" s="5382"/>
      <c r="O187" s="5382"/>
      <c r="P187" s="5382"/>
      <c r="Q187" s="5382"/>
      <c r="R187" s="1846" t="s">
        <v>1766</v>
      </c>
    </row>
    <row r="188" spans="2:18" x14ac:dyDescent="0.2">
      <c r="B188" s="593">
        <f t="shared" si="1"/>
        <v>0</v>
      </c>
      <c r="C188" s="1838" t="s">
        <v>3037</v>
      </c>
      <c r="D188" s="607"/>
      <c r="E188" s="607"/>
      <c r="F188" s="599"/>
      <c r="G188" s="604"/>
      <c r="H188" s="603"/>
      <c r="I188" s="608" t="s">
        <v>3101</v>
      </c>
      <c r="J188" s="601" t="s">
        <v>3102</v>
      </c>
      <c r="K188" s="600" t="s">
        <v>1882</v>
      </c>
      <c r="L188" s="5383" t="s">
        <v>1861</v>
      </c>
      <c r="M188" s="5383"/>
      <c r="N188" s="5383"/>
      <c r="O188" s="5383"/>
      <c r="P188" s="5383"/>
      <c r="Q188" s="5383"/>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100</v>
      </c>
      <c r="K189" s="1830">
        <f>Sheele!N21*2</f>
        <v>50</v>
      </c>
      <c r="L189" s="5378" t="s">
        <v>3206</v>
      </c>
      <c r="M189" s="5378"/>
      <c r="N189" s="5378"/>
      <c r="O189" s="5378"/>
      <c r="P189" s="5378"/>
      <c r="Q189" s="5378"/>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78" t="s">
        <v>3208</v>
      </c>
      <c r="M190" s="5378"/>
      <c r="N190" s="5378"/>
      <c r="O190" s="5378"/>
      <c r="P190" s="5378"/>
      <c r="Q190" s="5378"/>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78" t="s">
        <v>3210</v>
      </c>
      <c r="M191" s="5378"/>
      <c r="N191" s="5378"/>
      <c r="O191" s="5378"/>
      <c r="P191" s="5378"/>
      <c r="Q191" s="5378"/>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78" t="str">
        <f>"Area automática 25m. RM "&amp;Sheele!N21*2+Sheele!H15&amp;" o -[fracaso] a hab. perceptivas y -0.5*[fracaso] ata."</f>
        <v>Area automática 25m. RM 60 o -[fracaso] a hab. perceptivas y -0.5*[fracaso] ata.</v>
      </c>
      <c r="M192" s="5378"/>
      <c r="N192" s="5378"/>
      <c r="O192" s="5378"/>
      <c r="P192" s="5378"/>
      <c r="Q192" s="5378"/>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78" t="s">
        <v>3213</v>
      </c>
      <c r="M193" s="5378"/>
      <c r="N193" s="5378"/>
      <c r="O193" s="5378"/>
      <c r="P193" s="5378"/>
      <c r="Q193" s="5378"/>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79" t="s">
        <v>3215</v>
      </c>
      <c r="M194" s="5378"/>
      <c r="N194" s="5378"/>
      <c r="O194" s="5378"/>
      <c r="P194" s="5378"/>
      <c r="Q194" s="5378"/>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78" t="str">
        <f>"Defensa. Crea "&amp;Sheele!G15&amp;" copias. Se desvanece 1/ turno y 1/ defensa. Area las destruye todas."</f>
        <v>Defensa. Crea 8 copias. Se desvanece 1/ turno y 1/ defensa. Area las destruye todas.</v>
      </c>
      <c r="M195" s="5378"/>
      <c r="N195" s="5378"/>
      <c r="O195" s="5378"/>
      <c r="P195" s="5378"/>
      <c r="Q195" s="5378"/>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78" t="s">
        <v>3218</v>
      </c>
      <c r="M196" s="5378"/>
      <c r="N196" s="5378"/>
      <c r="O196" s="5378"/>
      <c r="P196" s="5378"/>
      <c r="Q196" s="5378"/>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79" t="s">
        <v>3116</v>
      </c>
      <c r="M197" s="5378"/>
      <c r="N197" s="5378"/>
      <c r="O197" s="5378"/>
      <c r="P197" s="5378"/>
      <c r="Q197" s="5378"/>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80" t="str">
        <f>"Solo vulnerable a destrucción de sortilegios. Grado Base, valor zeonico "&amp;Sheele!P29</f>
        <v>Solo vulnerable a destrucción de sortilegios. Grado Base, valor zeonico 50</v>
      </c>
      <c r="M198" s="5380"/>
      <c r="N198" s="5380"/>
      <c r="O198" s="5380"/>
      <c r="P198" s="5380"/>
      <c r="Q198" s="5380"/>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54" t="s">
        <v>3222</v>
      </c>
      <c r="C201" s="5355"/>
      <c r="D201" s="5355"/>
      <c r="E201" s="5355"/>
      <c r="F201" s="5355"/>
      <c r="G201" s="5355"/>
      <c r="H201" s="5355"/>
      <c r="I201" s="5355"/>
      <c r="J201" s="5355"/>
      <c r="K201" s="5355"/>
      <c r="L201" s="5355"/>
      <c r="M201" s="5356"/>
    </row>
    <row r="202" spans="2:18" x14ac:dyDescent="0.2">
      <c r="B202" s="5357"/>
      <c r="C202" s="5358"/>
      <c r="D202" s="5358"/>
      <c r="E202" s="5358"/>
      <c r="F202" s="5358"/>
      <c r="G202" s="5358"/>
      <c r="H202" s="5358"/>
      <c r="I202" s="5358"/>
      <c r="J202" s="5358"/>
      <c r="K202" s="5358"/>
      <c r="L202" s="5358"/>
      <c r="M202" s="5359"/>
    </row>
    <row r="203" spans="2:18" x14ac:dyDescent="0.2">
      <c r="B203" s="1367"/>
      <c r="C203" s="1282">
        <v>1</v>
      </c>
      <c r="D203" s="1282">
        <v>2</v>
      </c>
      <c r="E203" s="1282">
        <v>3</v>
      </c>
      <c r="F203" s="1282">
        <v>4</v>
      </c>
      <c r="G203" s="1282">
        <v>5</v>
      </c>
      <c r="H203" s="1282">
        <v>6</v>
      </c>
      <c r="I203" s="1282">
        <v>7</v>
      </c>
      <c r="J203" s="1282">
        <v>8</v>
      </c>
      <c r="K203" s="1364" t="s">
        <v>7699</v>
      </c>
      <c r="L203" s="5374" t="s">
        <v>3223</v>
      </c>
      <c r="M203" s="5375"/>
    </row>
    <row r="204" spans="2:18" x14ac:dyDescent="0.2">
      <c r="B204" s="1363"/>
      <c r="C204" s="5367" t="s">
        <v>1922</v>
      </c>
      <c r="D204" s="5368"/>
      <c r="E204" s="1366" t="str">
        <f t="array" ref="E204:H204">TRANSPOSE(C205:D208)</f>
        <v>Vuelo Místico 10</v>
      </c>
      <c r="F204" s="1366" t="str">
        <v>Movimiento Defensivo</v>
      </c>
      <c r="G204" s="1366" t="str">
        <v xml:space="preserve"> </v>
      </c>
      <c r="H204" s="1366" t="str">
        <v xml:space="preserve"> </v>
      </c>
      <c r="I204" s="1365"/>
      <c r="J204" s="1362"/>
      <c r="K204" s="1357"/>
      <c r="L204" s="5376"/>
      <c r="M204" s="5377"/>
    </row>
    <row r="205" spans="2:18" x14ac:dyDescent="0.2">
      <c r="B205" s="609"/>
      <c r="C205" s="5364" t="s">
        <v>3224</v>
      </c>
      <c r="D205" s="5365"/>
      <c r="E205" s="5369" t="s">
        <v>3225</v>
      </c>
      <c r="F205" s="5369"/>
      <c r="G205" s="5369"/>
      <c r="H205" s="5369"/>
      <c r="I205" s="5369"/>
      <c r="J205" s="5369"/>
      <c r="K205" s="592" t="s">
        <v>1766</v>
      </c>
      <c r="L205" s="5350">
        <v>10</v>
      </c>
      <c r="M205" s="5351"/>
    </row>
    <row r="206" spans="2:18" x14ac:dyDescent="0.2">
      <c r="B206" s="609"/>
      <c r="C206" s="5364" t="s">
        <v>3226</v>
      </c>
      <c r="D206" s="5365"/>
      <c r="E206" s="5369" t="s">
        <v>3227</v>
      </c>
      <c r="F206" s="5370"/>
      <c r="G206" s="5370"/>
      <c r="H206" s="5370"/>
      <c r="I206" s="5370"/>
      <c r="J206" s="5370"/>
      <c r="K206" s="592" t="s">
        <v>1766</v>
      </c>
      <c r="L206" s="5350"/>
      <c r="M206" s="5351"/>
    </row>
    <row r="207" spans="2:18" x14ac:dyDescent="0.2">
      <c r="B207" s="557"/>
      <c r="C207" s="5360" t="s">
        <v>3228</v>
      </c>
      <c r="D207" s="5366"/>
      <c r="E207" s="5369"/>
      <c r="F207" s="5370"/>
      <c r="G207" s="5370"/>
      <c r="H207" s="5370"/>
      <c r="I207" s="5370"/>
      <c r="J207" s="5370"/>
      <c r="K207" s="592"/>
      <c r="L207" s="5360"/>
      <c r="M207" s="5361"/>
    </row>
    <row r="208" spans="2:18" x14ac:dyDescent="0.2">
      <c r="B208" s="557"/>
      <c r="C208" s="5360" t="s">
        <v>3228</v>
      </c>
      <c r="D208" s="5366"/>
      <c r="E208" s="5369"/>
      <c r="F208" s="5370"/>
      <c r="G208" s="5370"/>
      <c r="H208" s="5370"/>
      <c r="I208" s="5370"/>
      <c r="J208" s="5370"/>
      <c r="K208" s="592"/>
      <c r="L208" s="5360"/>
      <c r="M208" s="5361"/>
    </row>
    <row r="209" spans="2:13" x14ac:dyDescent="0.2">
      <c r="B209" s="1363"/>
      <c r="C209" s="5367" t="s">
        <v>1925</v>
      </c>
      <c r="D209" s="5368"/>
      <c r="E209" s="1366" t="str">
        <f t="array" ref="E209:H209">TRANSPOSE(C210:D213)</f>
        <v>Vuelo Místico 4</v>
      </c>
      <c r="F209" s="1366" t="str">
        <v>Movimiento Acuático</v>
      </c>
      <c r="G209" s="1366" t="str">
        <v>Respiración Acuática</v>
      </c>
      <c r="H209" s="1366" t="str">
        <v>Resistencia Física</v>
      </c>
      <c r="I209" s="1361"/>
      <c r="J209" s="1362"/>
      <c r="K209" s="1360"/>
      <c r="L209" s="5362"/>
      <c r="M209" s="5363"/>
    </row>
    <row r="210" spans="2:13" x14ac:dyDescent="0.2">
      <c r="B210" s="609"/>
      <c r="C210" s="5364" t="s">
        <v>3229</v>
      </c>
      <c r="D210" s="5365"/>
      <c r="E210" s="5369" t="s">
        <v>3230</v>
      </c>
      <c r="F210" s="5369"/>
      <c r="G210" s="5369"/>
      <c r="H210" s="5369"/>
      <c r="I210" s="5369"/>
      <c r="J210" s="5369"/>
      <c r="K210" s="592" t="s">
        <v>1766</v>
      </c>
      <c r="L210" s="5350">
        <v>4</v>
      </c>
      <c r="M210" s="5351"/>
    </row>
    <row r="211" spans="2:13" x14ac:dyDescent="0.2">
      <c r="B211" s="609"/>
      <c r="C211" s="5364" t="s">
        <v>3231</v>
      </c>
      <c r="D211" s="5365"/>
      <c r="E211" s="5369" t="s">
        <v>3232</v>
      </c>
      <c r="F211" s="5370"/>
      <c r="G211" s="5370"/>
      <c r="H211" s="5370"/>
      <c r="I211" s="5370"/>
      <c r="J211" s="5370"/>
      <c r="K211" s="592" t="s">
        <v>1766</v>
      </c>
      <c r="L211" s="5350"/>
      <c r="M211" s="5351"/>
    </row>
    <row r="212" spans="2:13" x14ac:dyDescent="0.2">
      <c r="B212" s="557"/>
      <c r="C212" s="5360" t="s">
        <v>3233</v>
      </c>
      <c r="D212" s="5366"/>
      <c r="E212" s="5369" t="s">
        <v>3234</v>
      </c>
      <c r="F212" s="5370"/>
      <c r="G212" s="5370"/>
      <c r="H212" s="5370"/>
      <c r="I212" s="5370"/>
      <c r="J212" s="5370"/>
      <c r="K212" s="592" t="s">
        <v>1766</v>
      </c>
      <c r="L212" s="5350"/>
      <c r="M212" s="5351"/>
    </row>
    <row r="213" spans="2:13" x14ac:dyDescent="0.2">
      <c r="B213" s="557"/>
      <c r="C213" s="5360" t="s">
        <v>3235</v>
      </c>
      <c r="D213" s="5366"/>
      <c r="E213" s="5369" t="s">
        <v>3236</v>
      </c>
      <c r="F213" s="5370"/>
      <c r="G213" s="5370"/>
      <c r="H213" s="5370"/>
      <c r="I213" s="5370"/>
      <c r="J213" s="5370"/>
      <c r="K213" s="592" t="s">
        <v>1766</v>
      </c>
      <c r="L213" s="5350"/>
      <c r="M213" s="5351"/>
    </row>
    <row r="214" spans="2:13" x14ac:dyDescent="0.2">
      <c r="B214" s="1363"/>
      <c r="C214" s="5367" t="s">
        <v>1929</v>
      </c>
      <c r="D214" s="5368"/>
      <c r="E214" s="1366" t="str">
        <f t="array" ref="E214:H214">TRANSPOSE(C215:D218)</f>
        <v>Vuelo Místico 6</v>
      </c>
      <c r="F214" s="1366" t="str">
        <v>Control de Llamas</v>
      </c>
      <c r="G214" s="1366" t="str">
        <v xml:space="preserve"> </v>
      </c>
      <c r="H214" s="1366" t="str">
        <v xml:space="preserve"> </v>
      </c>
      <c r="I214" s="1361"/>
      <c r="J214" s="1362"/>
      <c r="K214" s="1360"/>
      <c r="L214" s="5362"/>
      <c r="M214" s="5363"/>
    </row>
    <row r="215" spans="2:13" x14ac:dyDescent="0.2">
      <c r="B215" s="609"/>
      <c r="C215" s="5364" t="s">
        <v>3237</v>
      </c>
      <c r="D215" s="5365"/>
      <c r="E215" s="5369" t="s">
        <v>3238</v>
      </c>
      <c r="F215" s="5369"/>
      <c r="G215" s="5369"/>
      <c r="H215" s="5369"/>
      <c r="I215" s="5369"/>
      <c r="J215" s="5369"/>
      <c r="K215" s="592" t="s">
        <v>1766</v>
      </c>
      <c r="L215" s="5350">
        <v>6</v>
      </c>
      <c r="M215" s="5351"/>
    </row>
    <row r="216" spans="2:13" x14ac:dyDescent="0.2">
      <c r="B216" s="609"/>
      <c r="C216" s="5364" t="s">
        <v>3239</v>
      </c>
      <c r="D216" s="5365"/>
      <c r="E216" s="5369" t="str">
        <f>"Controlar llamas de intensidades no superiores a "&amp;Sheele!G15/2&amp;". Puede atacar con ellas."</f>
        <v>Controlar llamas de intensidades no superiores a 4. Puede atacar con ellas.</v>
      </c>
      <c r="F216" s="5370"/>
      <c r="G216" s="5370"/>
      <c r="H216" s="5370"/>
      <c r="I216" s="5370"/>
      <c r="J216" s="5370"/>
      <c r="K216" s="592" t="s">
        <v>1766</v>
      </c>
      <c r="L216" s="5350"/>
      <c r="M216" s="5351"/>
    </row>
    <row r="217" spans="2:13" x14ac:dyDescent="0.2">
      <c r="B217" s="557"/>
      <c r="C217" s="5360" t="s">
        <v>3228</v>
      </c>
      <c r="D217" s="5366"/>
      <c r="E217" s="5369"/>
      <c r="F217" s="5370"/>
      <c r="G217" s="5370"/>
      <c r="H217" s="5370"/>
      <c r="I217" s="5370"/>
      <c r="J217" s="5370"/>
      <c r="K217" s="592"/>
      <c r="L217" s="5360"/>
      <c r="M217" s="5361"/>
    </row>
    <row r="218" spans="2:13" x14ac:dyDescent="0.2">
      <c r="B218" s="557"/>
      <c r="C218" s="5360" t="s">
        <v>3228</v>
      </c>
      <c r="D218" s="5366"/>
      <c r="E218" s="5369"/>
      <c r="F218" s="5370"/>
      <c r="G218" s="5370"/>
      <c r="H218" s="5370"/>
      <c r="I218" s="5370"/>
      <c r="J218" s="5370"/>
      <c r="K218" s="592"/>
      <c r="L218" s="5360"/>
      <c r="M218" s="5361"/>
    </row>
    <row r="219" spans="2:13" x14ac:dyDescent="0.2">
      <c r="B219" s="1363"/>
      <c r="C219" s="5367" t="s">
        <v>2024</v>
      </c>
      <c r="D219" s="5368"/>
      <c r="E219" s="1366" t="str">
        <f t="array" ref="E219:H219">TRANSPOSE(C220:D223)</f>
        <v>Vuelo Místico 4</v>
      </c>
      <c r="F219" s="1366" t="str">
        <v>Resistencia</v>
      </c>
      <c r="G219" s="1366" t="str">
        <v xml:space="preserve"> </v>
      </c>
      <c r="H219" s="1366" t="str">
        <v xml:space="preserve"> </v>
      </c>
      <c r="I219" s="1361"/>
      <c r="J219" s="1362"/>
      <c r="K219" s="1360"/>
      <c r="L219" s="5362"/>
      <c r="M219" s="5363"/>
    </row>
    <row r="220" spans="2:13" x14ac:dyDescent="0.2">
      <c r="B220" s="609"/>
      <c r="C220" s="5364" t="s">
        <v>3229</v>
      </c>
      <c r="D220" s="5365"/>
      <c r="E220" s="5369" t="s">
        <v>3230</v>
      </c>
      <c r="F220" s="5369"/>
      <c r="G220" s="5369"/>
      <c r="H220" s="5369"/>
      <c r="I220" s="5369"/>
      <c r="J220" s="5369"/>
      <c r="K220" s="592" t="s">
        <v>1766</v>
      </c>
      <c r="L220" s="5350">
        <v>4</v>
      </c>
      <c r="M220" s="5351"/>
    </row>
    <row r="221" spans="2:13" x14ac:dyDescent="0.2">
      <c r="B221" s="609"/>
      <c r="C221" s="5364" t="s">
        <v>3175</v>
      </c>
      <c r="D221" s="5365"/>
      <c r="E221" s="5369" t="s">
        <v>3240</v>
      </c>
      <c r="F221" s="5370"/>
      <c r="G221" s="5370"/>
      <c r="H221" s="5370"/>
      <c r="I221" s="5370"/>
      <c r="J221" s="5370"/>
      <c r="K221" s="592" t="s">
        <v>1766</v>
      </c>
      <c r="L221" s="5350"/>
      <c r="M221" s="5351"/>
    </row>
    <row r="222" spans="2:13" x14ac:dyDescent="0.2">
      <c r="B222" s="557"/>
      <c r="C222" s="5360" t="s">
        <v>3228</v>
      </c>
      <c r="D222" s="5366"/>
      <c r="E222" s="5369"/>
      <c r="F222" s="5370"/>
      <c r="G222" s="5370"/>
      <c r="H222" s="5370"/>
      <c r="I222" s="5370"/>
      <c r="J222" s="5370"/>
      <c r="K222" s="592"/>
      <c r="L222" s="5360"/>
      <c r="M222" s="5361"/>
    </row>
    <row r="223" spans="2:13" x14ac:dyDescent="0.2">
      <c r="B223" s="557"/>
      <c r="C223" s="5360" t="s">
        <v>3228</v>
      </c>
      <c r="D223" s="5366"/>
      <c r="E223" s="5369"/>
      <c r="F223" s="5370"/>
      <c r="G223" s="5370"/>
      <c r="H223" s="5370"/>
      <c r="I223" s="5370"/>
      <c r="J223" s="5370"/>
      <c r="K223" s="592"/>
      <c r="L223" s="5360"/>
      <c r="M223" s="5361"/>
    </row>
    <row r="224" spans="2:13" x14ac:dyDescent="0.2">
      <c r="B224" s="1363"/>
      <c r="C224" s="5367" t="s">
        <v>2019</v>
      </c>
      <c r="D224" s="5368"/>
      <c r="E224" s="1366" t="str">
        <f t="array" ref="E224:H224">TRANSPOSE(C225:D228)</f>
        <v>Vuelo  Místico 6</v>
      </c>
      <c r="F224" s="1366" t="str">
        <v>Visión de Luz</v>
      </c>
      <c r="G224" s="1366" t="str">
        <v>Luminosa</v>
      </c>
      <c r="H224" s="1366" t="str">
        <v xml:space="preserve"> </v>
      </c>
      <c r="I224" s="1361"/>
      <c r="J224" s="1362"/>
      <c r="K224" s="1360"/>
      <c r="L224" s="5362"/>
      <c r="M224" s="5363"/>
    </row>
    <row r="225" spans="2:13" x14ac:dyDescent="0.2">
      <c r="B225" s="609"/>
      <c r="C225" s="5364" t="s">
        <v>3241</v>
      </c>
      <c r="D225" s="5365"/>
      <c r="E225" s="5369" t="s">
        <v>3238</v>
      </c>
      <c r="F225" s="5369"/>
      <c r="G225" s="5369"/>
      <c r="H225" s="5369"/>
      <c r="I225" s="5369"/>
      <c r="J225" s="5369"/>
      <c r="K225" s="592" t="s">
        <v>1766</v>
      </c>
      <c r="L225" s="5350">
        <v>6</v>
      </c>
      <c r="M225" s="5351"/>
    </row>
    <row r="226" spans="2:13" x14ac:dyDescent="0.2">
      <c r="B226" s="609"/>
      <c r="C226" s="5364" t="s">
        <v>3242</v>
      </c>
      <c r="D226" s="5365"/>
      <c r="E226" s="5369" t="s">
        <v>3243</v>
      </c>
      <c r="F226" s="5370"/>
      <c r="G226" s="5370"/>
      <c r="H226" s="5370"/>
      <c r="I226" s="5370"/>
      <c r="J226" s="5370"/>
      <c r="K226" s="592" t="s">
        <v>1766</v>
      </c>
      <c r="L226" s="5350"/>
      <c r="M226" s="5351"/>
    </row>
    <row r="227" spans="2:13" x14ac:dyDescent="0.2">
      <c r="B227" s="557"/>
      <c r="C227" s="5360" t="s">
        <v>3244</v>
      </c>
      <c r="D227" s="5366"/>
      <c r="E227" s="5369" t="s">
        <v>3245</v>
      </c>
      <c r="F227" s="5370"/>
      <c r="G227" s="5370"/>
      <c r="H227" s="5370"/>
      <c r="I227" s="5370"/>
      <c r="J227" s="5370"/>
      <c r="K227" s="592" t="s">
        <v>1766</v>
      </c>
      <c r="L227" s="5350"/>
      <c r="M227" s="5351"/>
    </row>
    <row r="228" spans="2:13" x14ac:dyDescent="0.2">
      <c r="B228" s="557"/>
      <c r="C228" s="5360" t="s">
        <v>3228</v>
      </c>
      <c r="D228" s="5366"/>
      <c r="E228" s="5369"/>
      <c r="F228" s="5370"/>
      <c r="G228" s="5370"/>
      <c r="H228" s="5370"/>
      <c r="I228" s="5370"/>
      <c r="J228" s="5370"/>
      <c r="K228" s="592"/>
      <c r="L228" s="5360"/>
      <c r="M228" s="5361"/>
    </row>
    <row r="229" spans="2:13" x14ac:dyDescent="0.2">
      <c r="B229" s="1363"/>
      <c r="C229" s="5367" t="s">
        <v>2020</v>
      </c>
      <c r="D229" s="5368"/>
      <c r="E229" s="1366" t="str">
        <f t="array" ref="E229:H229">TRANSPOSE(C230:D233)</f>
        <v>Vuelo Místico 8</v>
      </c>
      <c r="F229" s="1366" t="str">
        <v>Visión oscura</v>
      </c>
      <c r="G229" s="1366" t="str">
        <v>Invisible en la Sombra</v>
      </c>
      <c r="H229" s="1366" t="str">
        <v xml:space="preserve"> </v>
      </c>
      <c r="I229" s="1361"/>
      <c r="J229" s="1362"/>
      <c r="K229" s="1360"/>
      <c r="L229" s="5362"/>
      <c r="M229" s="5363"/>
    </row>
    <row r="230" spans="2:13" x14ac:dyDescent="0.2">
      <c r="B230" s="609"/>
      <c r="C230" s="5364" t="s">
        <v>3246</v>
      </c>
      <c r="D230" s="5365"/>
      <c r="E230" s="5369" t="s">
        <v>3247</v>
      </c>
      <c r="F230" s="5369"/>
      <c r="G230" s="5369"/>
      <c r="H230" s="5369"/>
      <c r="I230" s="5369"/>
      <c r="J230" s="5369"/>
      <c r="K230" s="592" t="s">
        <v>1766</v>
      </c>
      <c r="L230" s="5350">
        <v>8</v>
      </c>
      <c r="M230" s="5351"/>
    </row>
    <row r="231" spans="2:13" x14ac:dyDescent="0.2">
      <c r="B231" s="609"/>
      <c r="C231" s="5364" t="s">
        <v>3248</v>
      </c>
      <c r="D231" s="5365"/>
      <c r="E231" s="5369" t="s">
        <v>3249</v>
      </c>
      <c r="F231" s="5370"/>
      <c r="G231" s="5370"/>
      <c r="H231" s="5370"/>
      <c r="I231" s="5370"/>
      <c r="J231" s="5370"/>
      <c r="K231" s="592" t="s">
        <v>1766</v>
      </c>
      <c r="L231" s="5350"/>
      <c r="M231" s="5351"/>
    </row>
    <row r="232" spans="2:13" x14ac:dyDescent="0.2">
      <c r="B232" s="557"/>
      <c r="C232" s="5360" t="s">
        <v>3250</v>
      </c>
      <c r="D232" s="5366"/>
      <c r="E232" s="5369" t="s">
        <v>3251</v>
      </c>
      <c r="F232" s="5370"/>
      <c r="G232" s="5370"/>
      <c r="H232" s="5370"/>
      <c r="I232" s="5370"/>
      <c r="J232" s="5370"/>
      <c r="K232" s="592" t="s">
        <v>1766</v>
      </c>
      <c r="L232" s="5350"/>
      <c r="M232" s="5351"/>
    </row>
    <row r="233" spans="2:13" x14ac:dyDescent="0.2">
      <c r="B233" s="557"/>
      <c r="C233" s="5360" t="s">
        <v>3228</v>
      </c>
      <c r="D233" s="5366"/>
      <c r="E233" s="5369"/>
      <c r="F233" s="5370"/>
      <c r="G233" s="5370"/>
      <c r="H233" s="5370"/>
      <c r="I233" s="5370"/>
      <c r="J233" s="5370"/>
      <c r="K233" s="592"/>
      <c r="L233" s="5360"/>
      <c r="M233" s="5361"/>
    </row>
    <row r="234" spans="2:13" x14ac:dyDescent="0.2">
      <c r="B234" s="1363"/>
      <c r="C234" s="5367" t="s">
        <v>3032</v>
      </c>
      <c r="D234" s="5368"/>
      <c r="E234" s="1366" t="str">
        <f t="array" ref="E234:H234">TRANSPOSE(C235:D238)</f>
        <v>Vuelo Místico 6</v>
      </c>
      <c r="F234" s="1366" t="str">
        <v>Naturaleza Sanadora</v>
      </c>
      <c r="G234" s="1366" t="str">
        <v xml:space="preserve"> </v>
      </c>
      <c r="H234" s="1366" t="str">
        <v xml:space="preserve"> </v>
      </c>
      <c r="I234" s="1361"/>
      <c r="J234" s="1362"/>
      <c r="K234" s="1360"/>
      <c r="L234" s="5362"/>
      <c r="M234" s="5363"/>
    </row>
    <row r="235" spans="2:13" x14ac:dyDescent="0.2">
      <c r="B235" s="609"/>
      <c r="C235" s="5364" t="s">
        <v>3237</v>
      </c>
      <c r="D235" s="5365"/>
      <c r="E235" s="5369" t="s">
        <v>3238</v>
      </c>
      <c r="F235" s="5369"/>
      <c r="G235" s="5369"/>
      <c r="H235" s="5369"/>
      <c r="I235" s="5369"/>
      <c r="J235" s="5369"/>
      <c r="K235" s="592" t="s">
        <v>1766</v>
      </c>
      <c r="L235" s="5350">
        <v>6</v>
      </c>
      <c r="M235" s="5351"/>
    </row>
    <row r="236" spans="2:13" x14ac:dyDescent="0.2">
      <c r="B236" s="609"/>
      <c r="C236" s="5364" t="s">
        <v>3252</v>
      </c>
      <c r="D236" s="5365"/>
      <c r="E236" s="5369" t="s">
        <v>3253</v>
      </c>
      <c r="F236" s="5370"/>
      <c r="G236" s="5370"/>
      <c r="H236" s="5370"/>
      <c r="I236" s="5370"/>
      <c r="J236" s="5370"/>
      <c r="K236" s="592" t="s">
        <v>1766</v>
      </c>
      <c r="L236" s="5350"/>
      <c r="M236" s="5351"/>
    </row>
    <row r="237" spans="2:13" x14ac:dyDescent="0.2">
      <c r="B237" s="557"/>
      <c r="C237" s="5360" t="s">
        <v>3228</v>
      </c>
      <c r="D237" s="5366"/>
      <c r="E237" s="5369"/>
      <c r="F237" s="5370"/>
      <c r="G237" s="5370"/>
      <c r="H237" s="5370"/>
      <c r="I237" s="5370"/>
      <c r="J237" s="5370"/>
      <c r="K237" s="592"/>
      <c r="L237" s="5360"/>
      <c r="M237" s="5361"/>
    </row>
    <row r="238" spans="2:13" x14ac:dyDescent="0.2">
      <c r="B238" s="557"/>
      <c r="C238" s="5360" t="s">
        <v>3228</v>
      </c>
      <c r="D238" s="5366"/>
      <c r="E238" s="5369"/>
      <c r="F238" s="5370"/>
      <c r="G238" s="5370"/>
      <c r="H238" s="5370"/>
      <c r="I238" s="5370"/>
      <c r="J238" s="5370"/>
      <c r="K238" s="592"/>
      <c r="L238" s="5360"/>
      <c r="M238" s="5361"/>
    </row>
    <row r="239" spans="2:13" x14ac:dyDescent="0.2">
      <c r="B239" s="1363"/>
      <c r="C239" s="5367" t="s">
        <v>2031</v>
      </c>
      <c r="D239" s="5368"/>
      <c r="E239" s="1366" t="str">
        <f t="array" ref="E239:H239">TRANSPOSE(C240:D243)</f>
        <v>Vuelo Místico 6</v>
      </c>
      <c r="F239" s="1366" t="str">
        <v>La que Todo lo Ve</v>
      </c>
      <c r="G239" s="1366" t="str">
        <v>Destellos de Ilusión</v>
      </c>
      <c r="H239" s="1366" t="str">
        <v xml:space="preserve"> </v>
      </c>
      <c r="I239" s="1361"/>
      <c r="J239" s="1362"/>
      <c r="K239" s="1360"/>
      <c r="L239" s="5362"/>
      <c r="M239" s="5363"/>
    </row>
    <row r="240" spans="2:13" x14ac:dyDescent="0.2">
      <c r="B240" s="609"/>
      <c r="C240" s="5364" t="s">
        <v>3237</v>
      </c>
      <c r="D240" s="5365"/>
      <c r="E240" s="5369" t="s">
        <v>3238</v>
      </c>
      <c r="F240" s="5369"/>
      <c r="G240" s="5369"/>
      <c r="H240" s="5369"/>
      <c r="I240" s="5369"/>
      <c r="J240" s="5369"/>
      <c r="K240" s="592" t="s">
        <v>1766</v>
      </c>
      <c r="L240" s="5350">
        <v>6</v>
      </c>
      <c r="M240" s="5351"/>
    </row>
    <row r="241" spans="2:13" x14ac:dyDescent="0.2">
      <c r="B241" s="609"/>
      <c r="C241" s="5364" t="s">
        <v>3254</v>
      </c>
      <c r="D241" s="5365"/>
      <c r="E241" s="5369" t="s">
        <v>3255</v>
      </c>
      <c r="F241" s="5370"/>
      <c r="G241" s="5370"/>
      <c r="H241" s="5370"/>
      <c r="I241" s="5370"/>
      <c r="J241" s="5370"/>
      <c r="K241" s="592" t="s">
        <v>1766</v>
      </c>
      <c r="L241" s="5350"/>
      <c r="M241" s="5351"/>
    </row>
    <row r="242" spans="2:13" x14ac:dyDescent="0.2">
      <c r="B242" s="557"/>
      <c r="C242" s="5360" t="s">
        <v>3256</v>
      </c>
      <c r="D242" s="5366"/>
      <c r="E242" s="5369" t="s">
        <v>3257</v>
      </c>
      <c r="F242" s="5370"/>
      <c r="G242" s="5370"/>
      <c r="H242" s="5370"/>
      <c r="I242" s="5370"/>
      <c r="J242" s="5370"/>
      <c r="K242" s="592" t="s">
        <v>1766</v>
      </c>
      <c r="L242" s="5350"/>
      <c r="M242" s="5351"/>
    </row>
    <row r="243" spans="2:13" ht="13.5" thickBot="1" x14ac:dyDescent="0.25">
      <c r="B243" s="1358"/>
      <c r="C243" s="5352" t="s">
        <v>3228</v>
      </c>
      <c r="D243" s="5371"/>
      <c r="E243" s="5372"/>
      <c r="F243" s="5373"/>
      <c r="G243" s="5373"/>
      <c r="H243" s="5373"/>
      <c r="I243" s="5373"/>
      <c r="J243" s="5373"/>
      <c r="K243" s="1359"/>
      <c r="L243" s="5352"/>
      <c r="M243" s="5353"/>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401" t="s">
        <v>8800</v>
      </c>
      <c r="V3" s="5401"/>
      <c r="W3" s="5401"/>
      <c r="X3" s="5401"/>
      <c r="Y3" s="5401"/>
      <c r="Z3" s="5401"/>
      <c r="AA3" s="5401"/>
      <c r="AB3" s="5401"/>
      <c r="AC3" s="5401"/>
      <c r="AD3" s="5401"/>
      <c r="AE3" s="5401"/>
      <c r="AF3" s="5401"/>
      <c r="AG3" s="5401"/>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401"/>
      <c r="V4" s="5401"/>
      <c r="W4" s="5401"/>
      <c r="X4" s="5401"/>
      <c r="Y4" s="5401"/>
      <c r="Z4" s="5401"/>
      <c r="AA4" s="5401"/>
      <c r="AB4" s="5401"/>
      <c r="AC4" s="5401"/>
      <c r="AD4" s="5401"/>
      <c r="AE4" s="5401"/>
      <c r="AF4" s="5401"/>
      <c r="AG4" s="5401"/>
      <c r="AO4" s="5343"/>
      <c r="AP4" s="5343"/>
      <c r="AQ4" s="1098"/>
      <c r="AR4" s="5343"/>
      <c r="AS4" s="5343"/>
      <c r="AT4" s="1098"/>
      <c r="AU4" s="5343"/>
      <c r="AV4" s="5343"/>
      <c r="AW4" s="1098"/>
      <c r="AX4" s="5343"/>
      <c r="AY4" s="5343"/>
      <c r="AZ4" s="1098"/>
      <c r="BA4" s="5343"/>
      <c r="BB4" s="5343"/>
      <c r="BC4" s="1098"/>
      <c r="BD4" s="5343"/>
      <c r="BE4" s="5343"/>
      <c r="BF4" s="1098"/>
      <c r="BG4" s="1088"/>
      <c r="BH4" s="1088"/>
      <c r="BI4" s="1088"/>
      <c r="BJ4" s="1088"/>
    </row>
    <row r="5" spans="1:62" ht="12.75" customHeight="1" x14ac:dyDescent="0.2">
      <c r="A5" s="2039">
        <v>5</v>
      </c>
      <c r="B5" s="5403"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403" t="s">
        <v>8554</v>
      </c>
      <c r="T5" s="1103"/>
      <c r="U5" s="718"/>
      <c r="V5" s="718">
        <v>1</v>
      </c>
      <c r="W5" s="718">
        <v>2</v>
      </c>
      <c r="X5" s="718">
        <v>3</v>
      </c>
      <c r="Y5" s="718">
        <v>4</v>
      </c>
      <c r="Z5" s="718">
        <v>5</v>
      </c>
      <c r="AA5" s="718">
        <v>6</v>
      </c>
      <c r="AB5" s="718">
        <v>7</v>
      </c>
      <c r="AC5" s="718">
        <v>8</v>
      </c>
      <c r="AD5" s="1096">
        <v>9</v>
      </c>
      <c r="AE5" s="1096">
        <v>10</v>
      </c>
      <c r="AF5" s="1096"/>
      <c r="AG5" s="5402" t="s">
        <v>8802</v>
      </c>
      <c r="AO5" s="5342"/>
      <c r="AP5" s="5342"/>
      <c r="AQ5" s="1103"/>
      <c r="AR5" s="5342"/>
      <c r="AS5" s="5342"/>
      <c r="AT5" s="1103"/>
      <c r="AU5" s="5342"/>
      <c r="AV5" s="5342"/>
      <c r="AW5" s="1103"/>
      <c r="AX5" s="5342"/>
      <c r="AY5" s="5342"/>
      <c r="AZ5" s="1103"/>
      <c r="BA5" s="5342"/>
      <c r="BB5" s="5342"/>
      <c r="BC5" s="1103"/>
      <c r="BD5" s="5342"/>
      <c r="BE5" s="5342"/>
      <c r="BF5" s="1103"/>
      <c r="BG5" s="1088"/>
      <c r="BH5" s="1088"/>
      <c r="BI5" s="1088"/>
      <c r="BJ5" s="1088"/>
    </row>
    <row r="6" spans="1:62" ht="12.75" customHeight="1" thickBot="1" x14ac:dyDescent="0.25">
      <c r="A6" s="2039">
        <v>6</v>
      </c>
      <c r="B6" s="5404"/>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404"/>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402"/>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0</v>
      </c>
      <c r="C64" s="1115"/>
      <c r="D64" s="533" t="s">
        <v>177</v>
      </c>
      <c r="E64" s="1107"/>
      <c r="F64" s="1108"/>
      <c r="G64" s="1108"/>
      <c r="H64" s="1109"/>
      <c r="I64" s="1107"/>
      <c r="J64" s="1107"/>
      <c r="K64" s="1107"/>
      <c r="L64" s="1107"/>
      <c r="M64" s="1107"/>
      <c r="N64" s="1107"/>
      <c r="O64" s="1107"/>
      <c r="P64" s="1107"/>
      <c r="Q64" s="1107"/>
      <c r="R64" s="1131"/>
      <c r="S64" s="2035">
        <f>S65</f>
        <v>0</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0</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0</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0</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0</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0</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0</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0</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0</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0</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0</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0</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0</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0</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0</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0</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0</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0</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0</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0</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0</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0</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0</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0</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0</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0</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2</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3</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4</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5</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405" t="s">
        <v>8783</v>
      </c>
      <c r="D148" s="5406"/>
      <c r="G148" s="5405" t="s">
        <v>8783</v>
      </c>
      <c r="H148" s="5406"/>
    </row>
    <row r="149" spans="1:35" ht="12.75" customHeight="1" thickBot="1" x14ac:dyDescent="0.25">
      <c r="A149" s="2039">
        <v>149</v>
      </c>
      <c r="C149" s="5407" t="e">
        <f>Poderes_Psi_Disponibles</f>
        <v>#VALUE!</v>
      </c>
      <c r="D149" s="5407"/>
      <c r="G149" s="5407" t="str">
        <f>'Tablas psiquica'!$H$153:INDEX('Tablas psiquica'!$H$153:$H$291,SUMPRODUCT(--('Tablas psiquica'!$H$153:$H$291&lt;&gt;"")))</f>
        <v>&gt; PODERES MATRICIALES</v>
      </c>
      <c r="H149" s="5407"/>
    </row>
    <row r="150" spans="1:35" ht="12.75" customHeight="1" thickBot="1" x14ac:dyDescent="0.25">
      <c r="A150" s="2039">
        <v>150</v>
      </c>
      <c r="C150" s="4415" t="s">
        <v>8541</v>
      </c>
      <c r="D150" s="4417"/>
      <c r="G150" s="4415" t="s">
        <v>8781</v>
      </c>
      <c r="H150" s="4417"/>
    </row>
    <row r="151" spans="1:35" ht="12.75" customHeight="1" x14ac:dyDescent="0.2">
      <c r="A151" s="2039">
        <v>151</v>
      </c>
      <c r="C151" s="4462"/>
      <c r="D151" s="4464"/>
      <c r="F151" s="5403" t="s">
        <v>8782</v>
      </c>
      <c r="G151" s="4462"/>
      <c r="H151" s="4464"/>
    </row>
    <row r="152" spans="1:35" ht="12.75" customHeight="1" thickBot="1" x14ac:dyDescent="0.25">
      <c r="A152" s="2039">
        <v>152</v>
      </c>
      <c r="C152" s="4462"/>
      <c r="D152" s="4464"/>
      <c r="F152" s="5404"/>
      <c r="G152" s="4462"/>
      <c r="H152" s="4464"/>
    </row>
    <row r="153" spans="1:35" ht="12.75" customHeight="1" x14ac:dyDescent="0.2">
      <c r="A153" s="2039">
        <v>153</v>
      </c>
      <c r="C153" s="1115"/>
      <c r="D153" s="2036" t="str">
        <f>IF(ISNA(VLOOKUP(A1,$B$7:$D$145,3,FALSE)),"",VLOOKUP(A1,$B$7:$D$145,3,FALSE))</f>
        <v>&gt; PODERES MATRICIALES</v>
      </c>
      <c r="F153" s="2031">
        <f>IF(D153="",0,IF(OR(ISNUMBER(SEARCH("&gt;",D153)),AND(COUNTIF(Psíquicos!$V$11:$Z$64,D153)&gt;0,VLOOKUP(D153,Tabla_PoderesPsi,4,FALSE)&lt;&gt;"No")),MAX($F$152:$F152)+1,0))</f>
        <v>1</v>
      </c>
      <c r="G153" s="1115"/>
      <c r="H153" s="3025" t="str">
        <f>IF(Tablas!$A1&gt;MAX($F$153:$F$291),"",INDEX(Poderes_Psi_Disponibles,MATCH(Tablas!$A1,$F$153:$F$291,0)))</f>
        <v>&gt; PODERES MATRICIALES</v>
      </c>
    </row>
    <row r="154" spans="1:35" ht="12.75" customHeight="1" x14ac:dyDescent="0.2">
      <c r="A154" s="2039">
        <v>154</v>
      </c>
      <c r="C154" s="1115"/>
      <c r="D154" s="2036" t="str">
        <f t="shared" ref="D154:D184" si="16">IF(ISNA(VLOOKUP(A2,$B$7:$D$145,3,FALSE)),"",VLOOKUP(A2,$B$7:$D$145,3,FALSE))</f>
        <v>Destruir matrices</v>
      </c>
      <c r="F154" s="2031">
        <f>IF(D154="",0,IF(OR(ISNUMBER(SEARCH("&gt;",D154)),AND(COUNTIF(Psíquicos!$V$11:$Z$64,D154)&gt;0,VLOOKUP(D154,Tabla_PoderesPsi,4,FALSE)&lt;&gt;"No")),MAX($F$152:$F153)+1,0))</f>
        <v>0</v>
      </c>
      <c r="G154" s="1115"/>
      <c r="H154" s="3025" t="str">
        <f>IF(Tablas!$A2&gt;MAX($F$153:$F$291),"",INDEX(Poderes_Psi_Disponibles,MATCH(Tablas!$A2,$F$153:$F$291,0)))</f>
        <v/>
      </c>
    </row>
    <row r="155" spans="1:35" ht="12.75" customHeight="1" x14ac:dyDescent="0.2">
      <c r="A155" s="2039">
        <v>155</v>
      </c>
      <c r="C155" s="1115"/>
      <c r="D155" s="2036" t="str">
        <f t="shared" si="16"/>
        <v>Sentir matrices</v>
      </c>
      <c r="F155" s="2031">
        <f>IF(D155="",0,IF(OR(ISNUMBER(SEARCH("&gt;",D155)),AND(COUNTIF(Psíquicos!$V$11:$Z$64,D155)&gt;0,VLOOKUP(D155,Tabla_PoderesPsi,4,FALSE)&lt;&gt;"No")),MAX($F$152:$F154)+1,0))</f>
        <v>0</v>
      </c>
      <c r="G155" s="1115"/>
      <c r="H155" s="3025" t="str">
        <f>IF(Tablas!$A3&gt;MAX($F$153:$F$291),"",INDEX(Poderes_Psi_Disponibles,MATCH(Tablas!$A3,$F$153:$F$291,0)))</f>
        <v/>
      </c>
    </row>
    <row r="156" spans="1:35" ht="12.75" customHeight="1" x14ac:dyDescent="0.2">
      <c r="A156" s="2039">
        <v>156</v>
      </c>
      <c r="C156" s="1115"/>
      <c r="D156" s="2036" t="str">
        <f t="shared" si="16"/>
        <v>Ocultar matrices</v>
      </c>
      <c r="F156" s="2031">
        <f>IF(D156="",0,IF(OR(ISNUMBER(SEARCH("&gt;",D156)),AND(COUNTIF(Psíquicos!$V$11:$Z$64,D156)&gt;0,VLOOKUP(D156,Tabla_PoderesPsi,4,FALSE)&lt;&gt;"No")),MAX($F$152:$F155)+1,0))</f>
        <v>0</v>
      </c>
      <c r="G156" s="1115"/>
      <c r="H156" s="3025" t="str">
        <f>IF(Tablas!$A4&gt;MAX($F$153:$F$291),"",INDEX(Poderes_Psi_Disponibles,MATCH(Tablas!$A4,$F$153:$F$291,0)))</f>
        <v/>
      </c>
    </row>
    <row r="157" spans="1:35" ht="12.75" customHeight="1" x14ac:dyDescent="0.2">
      <c r="A157" s="2039">
        <v>157</v>
      </c>
      <c r="C157" s="1115"/>
      <c r="D157" s="2036" t="str">
        <f t="shared" si="16"/>
        <v>Conectar matrices</v>
      </c>
      <c r="F157" s="2031">
        <f>IF(D157="",0,IF(OR(ISNUMBER(SEARCH("&gt;",D157)),AND(COUNTIF(Psíquicos!$V$11:$Z$64,D157)&gt;0,VLOOKUP(D157,Tabla_PoderesPsi,4,FALSE)&lt;&gt;"No")),MAX($F$152:$F156)+1,0))</f>
        <v>0</v>
      </c>
      <c r="G157" s="1115"/>
      <c r="H157" s="3025" t="str">
        <f>IF(Tablas!$A5&gt;MAX($F$153:$F$291),"",INDEX(Poderes_Psi_Disponibles,MATCH(Tablas!$A5,$F$153:$F$291,0)))</f>
        <v/>
      </c>
    </row>
    <row r="158" spans="1:35" ht="12.75" customHeight="1" x14ac:dyDescent="0.2">
      <c r="A158" s="2039">
        <v>158</v>
      </c>
      <c r="C158" s="1115"/>
      <c r="D158" s="2036" t="str">
        <f t="shared" si="16"/>
        <v/>
      </c>
      <c r="F158" s="2031">
        <f>IF(D158="",0,IF(OR(ISNUMBER(SEARCH("&gt;",D158)),AND(COUNTIF(Psíquicos!$V$11:$Z$64,D158)&gt;0,VLOOKUP(D158,Tabla_PoderesPsi,4,FALSE)&lt;&gt;"No")),MAX($F$152:$F157)+1,0))</f>
        <v>0</v>
      </c>
      <c r="G158" s="1115"/>
      <c r="H158" s="3025" t="str">
        <f>IF(Tablas!$A6&gt;MAX($F$153:$F$291),"",INDEX(Poderes_Psi_Disponibles,MATCH(Tablas!$A6,$F$153:$F$291,0)))</f>
        <v/>
      </c>
    </row>
    <row r="159" spans="1:35" ht="12.75" customHeight="1" x14ac:dyDescent="0.2">
      <c r="A159" s="2039">
        <v>159</v>
      </c>
      <c r="C159" s="1115"/>
      <c r="D159" s="2036" t="str">
        <f t="shared" si="16"/>
        <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
      </c>
      <c r="F165" s="2031">
        <f>IF(D165="",0,IF(OR(ISNUMBER(SEARCH("&gt;",D165)),AND(COUNTIF(Psíquicos!$V$11:$Z$64,D165)&gt;0,VLOOKUP(D165,Tabla_PoderesPsi,4,FALSE)&lt;&gt;"No")),MAX($F$152:$F164)+1,0))</f>
        <v>0</v>
      </c>
      <c r="G165" s="1115"/>
      <c r="H165" s="3025" t="str">
        <f>IF(Tablas!$A13&gt;MAX($F$153:$F$291),"",INDEX(Poderes_Psi_Disponibles,MATCH(Tablas!$A13,$F$153:$F$291,0)))</f>
        <v/>
      </c>
    </row>
    <row r="166" spans="1:8" ht="12.75" customHeight="1" x14ac:dyDescent="0.2">
      <c r="A166" s="2039">
        <v>166</v>
      </c>
      <c r="C166" s="1115"/>
      <c r="D166" s="2036" t="str">
        <f t="shared" si="16"/>
        <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
      </c>
      <c r="F167" s="2031">
        <f>IF(D167="",0,IF(OR(ISNUMBER(SEARCH("&gt;",D167)),AND(COUNTIF(Psíquicos!$V$11:$Z$64,D167)&gt;0,VLOOKUP(D167,Tabla_PoderesPsi,4,FALSE)&lt;&gt;"No")),MAX($F$152:$F166)+1,0))</f>
        <v>0</v>
      </c>
      <c r="G167" s="1115"/>
      <c r="H167" s="3025" t="str">
        <f>IF(Tablas!$A15&gt;MAX($F$153:$F$291),"",INDEX(Poderes_Psi_Disponibles,MATCH(Tablas!$A15,$F$153:$F$291,0)))</f>
        <v/>
      </c>
    </row>
    <row r="168" spans="1:8" ht="12.75" customHeight="1" x14ac:dyDescent="0.2">
      <c r="A168" s="2039">
        <v>168</v>
      </c>
      <c r="C168" s="1115"/>
      <c r="D168" s="2036" t="str">
        <f t="shared" si="16"/>
        <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
      </c>
      <c r="F169" s="2031">
        <f>IF(D169="",0,IF(OR(ISNUMBER(SEARCH("&gt;",D169)),AND(COUNTIF(Psíquicos!$V$11:$Z$64,D169)&gt;0,VLOOKUP(D169,Tabla_PoderesPsi,4,FALSE)&lt;&gt;"No")),MAX($F$152:$F168)+1,0))</f>
        <v>0</v>
      </c>
      <c r="G169" s="1115"/>
      <c r="H169" s="3025" t="str">
        <f>IF(Tablas!$A17&gt;MAX($F$153:$F$291),"",INDEX(Poderes_Psi_Disponibles,MATCH(Tablas!$A17,$F$153:$F$291,0)))</f>
        <v/>
      </c>
    </row>
    <row r="170" spans="1:8" ht="12.75" customHeight="1" x14ac:dyDescent="0.2">
      <c r="A170" s="2039">
        <v>170</v>
      </c>
      <c r="C170" s="1115"/>
      <c r="D170" s="2036" t="str">
        <f t="shared" si="16"/>
        <v/>
      </c>
      <c r="F170" s="2031">
        <f>IF(D170="",0,IF(OR(ISNUMBER(SEARCH("&gt;",D170)),AND(COUNTIF(Psíquicos!$V$11:$Z$64,D170)&gt;0,VLOOKUP(D170,Tabla_PoderesPsi,4,FALSE)&lt;&gt;"No")),MAX($F$152:$F169)+1,0))</f>
        <v>0</v>
      </c>
      <c r="G170" s="1115"/>
      <c r="H170" s="3025" t="str">
        <f>IF(Tablas!$A18&gt;MAX($F$153:$F$291),"",INDEX(Poderes_Psi_Disponibles,MATCH(Tablas!$A18,$F$153:$F$291,0)))</f>
        <v/>
      </c>
    </row>
    <row r="171" spans="1:8" ht="12.75" customHeight="1" x14ac:dyDescent="0.2">
      <c r="A171" s="2039">
        <v>171</v>
      </c>
      <c r="C171" s="1115"/>
      <c r="D171" s="2036" t="str">
        <f t="shared" si="16"/>
        <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408" t="s">
        <v>3294</v>
      </c>
      <c r="AC1" s="5408"/>
      <c r="AD1" s="5408"/>
      <c r="AE1" s="5408"/>
      <c r="AF1" s="5408"/>
      <c r="AG1" s="5408"/>
      <c r="AH1" s="5408"/>
      <c r="AI1" s="5408"/>
      <c r="AJ1" s="5408"/>
      <c r="AK1" s="5408"/>
      <c r="AM1" s="749"/>
      <c r="AN1" s="749"/>
      <c r="AO1" s="1294"/>
      <c r="AP1" s="1294"/>
      <c r="AQ1" s="749"/>
      <c r="AR1" s="749"/>
      <c r="AS1" s="749"/>
      <c r="AT1" s="749"/>
      <c r="AU1" s="749"/>
      <c r="AV1" s="749"/>
    </row>
    <row r="2" spans="1:48" ht="12.75" customHeight="1" x14ac:dyDescent="0.2">
      <c r="A2" s="699" t="s">
        <v>3296</v>
      </c>
      <c r="B2" s="700"/>
      <c r="C2" s="701" t="s">
        <v>3297</v>
      </c>
      <c r="E2" s="5412" t="s">
        <v>3298</v>
      </c>
      <c r="F2" s="5413"/>
      <c r="G2" s="702"/>
      <c r="H2" s="5412" t="s">
        <v>639</v>
      </c>
      <c r="I2" s="5414"/>
      <c r="J2" s="5413"/>
      <c r="L2" s="5412" t="s">
        <v>3299</v>
      </c>
      <c r="M2" s="5414"/>
      <c r="N2" s="5413"/>
      <c r="P2" s="5415" t="s">
        <v>3300</v>
      </c>
      <c r="Q2" s="5416"/>
      <c r="R2" s="5416"/>
      <c r="S2" s="5417"/>
      <c r="U2" s="5418" t="s">
        <v>3301</v>
      </c>
      <c r="V2" s="5419"/>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420" t="s">
        <v>1811</v>
      </c>
      <c r="R3" s="5420"/>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421" t="s">
        <v>3339</v>
      </c>
      <c r="AK4" s="5409"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422"/>
      <c r="AK5" s="5410"/>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411" t="s">
        <v>3338</v>
      </c>
      <c r="M11" s="5411"/>
      <c r="N11" s="5411"/>
      <c r="O11" s="5411"/>
      <c r="P11" s="5411"/>
      <c r="Q11" s="5411"/>
      <c r="R11" s="5411"/>
      <c r="S11" s="5411"/>
      <c r="T11" s="5411" t="s">
        <v>3339</v>
      </c>
      <c r="U11" s="5411"/>
      <c r="V11" s="5411"/>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3442</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3442</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3442</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3442</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3442</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3442</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3442</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3442</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3442</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722"/>
      <c r="D3" s="4723"/>
      <c r="E3" s="4723"/>
      <c r="F3" s="4723"/>
      <c r="G3" s="4723"/>
      <c r="H3" s="4723"/>
      <c r="I3" s="1141"/>
      <c r="J3" s="1141"/>
      <c r="K3" s="1141"/>
      <c r="L3" s="1141"/>
      <c r="M3" s="1141"/>
      <c r="N3" s="1141"/>
      <c r="O3" s="1141"/>
      <c r="P3" s="1141"/>
      <c r="Q3" s="1142"/>
      <c r="R3" s="1143"/>
      <c r="S3" s="1137"/>
      <c r="T3" s="1137"/>
      <c r="U3" s="549"/>
      <c r="V3" s="4722"/>
      <c r="W3" s="4723"/>
      <c r="X3" s="4723"/>
      <c r="Y3" s="4723"/>
      <c r="Z3" s="4723"/>
      <c r="AA3" s="4723"/>
      <c r="AB3" s="2098"/>
      <c r="AC3" s="2098"/>
      <c r="AD3" s="2098"/>
      <c r="AE3" s="2098"/>
      <c r="AF3" s="2098"/>
      <c r="AG3" s="2098"/>
      <c r="AH3" s="2098"/>
      <c r="AI3" s="2098"/>
      <c r="AJ3" s="1142"/>
      <c r="AK3" s="1143"/>
      <c r="AL3" s="1137"/>
      <c r="AM3" s="1137"/>
      <c r="AN3" s="549"/>
      <c r="AO3" s="4722"/>
      <c r="AP3" s="4723"/>
      <c r="AQ3" s="4723"/>
      <c r="AR3" s="4723"/>
      <c r="AS3" s="4723"/>
      <c r="AT3" s="4723"/>
      <c r="AU3" s="1141"/>
      <c r="AV3" s="1141"/>
      <c r="AW3" s="1141"/>
      <c r="AX3" s="1141"/>
      <c r="AY3" s="1141"/>
      <c r="AZ3" s="1141"/>
      <c r="BA3" s="1141"/>
      <c r="BB3" s="1141"/>
      <c r="BC3" s="1142"/>
      <c r="BD3" s="1143"/>
      <c r="BE3" s="1137"/>
    </row>
    <row r="4" spans="1:57" ht="12" customHeight="1" x14ac:dyDescent="0.2">
      <c r="A4" s="1137"/>
      <c r="B4" s="549"/>
      <c r="C4" s="4724"/>
      <c r="D4" s="4725"/>
      <c r="E4" s="4725"/>
      <c r="F4" s="4725"/>
      <c r="G4" s="4725"/>
      <c r="H4" s="4725"/>
      <c r="I4" s="1146"/>
      <c r="J4" s="4728" t="s">
        <v>1625</v>
      </c>
      <c r="K4" s="4729"/>
      <c r="L4" s="3168" t="str">
        <f>IF(OR(General!$G$22="",General!$G$22=0),"",General!$G$22)</f>
        <v/>
      </c>
      <c r="M4" s="3168"/>
      <c r="N4" s="3168"/>
      <c r="O4" s="3168"/>
      <c r="P4" s="3168"/>
      <c r="Q4" s="747"/>
      <c r="R4" s="1143"/>
      <c r="S4" s="1137"/>
      <c r="T4" s="1137"/>
      <c r="U4" s="549"/>
      <c r="V4" s="4724"/>
      <c r="W4" s="4725"/>
      <c r="X4" s="4725"/>
      <c r="Y4" s="4725"/>
      <c r="Z4" s="4725"/>
      <c r="AA4" s="4725"/>
      <c r="AB4" s="2099"/>
      <c r="AC4" s="4720" t="s">
        <v>7685</v>
      </c>
      <c r="AD4" s="4721"/>
      <c r="AE4" s="4721"/>
      <c r="AF4" s="4721"/>
      <c r="AG4" s="4721"/>
      <c r="AH4" s="4721"/>
      <c r="AI4" s="4721"/>
      <c r="AJ4" s="747"/>
      <c r="AK4" s="1143"/>
      <c r="AL4" s="1137"/>
      <c r="AM4" s="1137"/>
      <c r="AN4" s="549"/>
      <c r="AO4" s="4724"/>
      <c r="AP4" s="4725"/>
      <c r="AQ4" s="4725"/>
      <c r="AR4" s="4725"/>
      <c r="AS4" s="4725"/>
      <c r="AT4" s="4725"/>
      <c r="AU4" s="1146"/>
      <c r="AV4" s="4720" t="s">
        <v>7685</v>
      </c>
      <c r="AW4" s="4721"/>
      <c r="AX4" s="4721"/>
      <c r="AY4" s="4721"/>
      <c r="AZ4" s="4721"/>
      <c r="BA4" s="4721"/>
      <c r="BB4" s="4721"/>
      <c r="BC4" s="747"/>
      <c r="BD4" s="1143"/>
      <c r="BE4" s="1137"/>
    </row>
    <row r="5" spans="1:57" ht="12" customHeight="1" x14ac:dyDescent="0.2">
      <c r="A5" s="1137"/>
      <c r="B5" s="549"/>
      <c r="C5" s="4724"/>
      <c r="D5" s="4725"/>
      <c r="E5" s="4725"/>
      <c r="F5" s="4725"/>
      <c r="G5" s="4725"/>
      <c r="H5" s="4725"/>
      <c r="I5" s="1146"/>
      <c r="J5" s="4716" t="s">
        <v>1626</v>
      </c>
      <c r="K5" s="4717"/>
      <c r="L5" s="4718" t="str">
        <f>Principal!$L$5</f>
        <v/>
      </c>
      <c r="M5" s="4719"/>
      <c r="N5" s="4719"/>
      <c r="O5" s="1148" t="s">
        <v>1627</v>
      </c>
      <c r="P5" s="1149" t="str">
        <f>Principal!$P$5</f>
        <v>0</v>
      </c>
      <c r="Q5" s="1150"/>
      <c r="R5" s="1143"/>
      <c r="S5" s="1137"/>
      <c r="T5" s="1137"/>
      <c r="U5" s="549"/>
      <c r="V5" s="4724"/>
      <c r="W5" s="4725"/>
      <c r="X5" s="4725"/>
      <c r="Y5" s="4725"/>
      <c r="Z5" s="4725"/>
      <c r="AA5" s="4725"/>
      <c r="AB5" s="2099"/>
      <c r="AC5" s="4721"/>
      <c r="AD5" s="4721"/>
      <c r="AE5" s="4721"/>
      <c r="AF5" s="4721"/>
      <c r="AG5" s="4721"/>
      <c r="AH5" s="4721"/>
      <c r="AI5" s="4721"/>
      <c r="AJ5" s="1150"/>
      <c r="AK5" s="1143"/>
      <c r="AL5" s="1137"/>
      <c r="AM5" s="1137"/>
      <c r="AN5" s="549"/>
      <c r="AO5" s="4724"/>
      <c r="AP5" s="4725"/>
      <c r="AQ5" s="4725"/>
      <c r="AR5" s="4725"/>
      <c r="AS5" s="4725"/>
      <c r="AT5" s="4725"/>
      <c r="AU5" s="1146"/>
      <c r="AV5" s="4721"/>
      <c r="AW5" s="4721"/>
      <c r="AX5" s="4721"/>
      <c r="AY5" s="4721"/>
      <c r="AZ5" s="4721"/>
      <c r="BA5" s="4721"/>
      <c r="BB5" s="4721"/>
      <c r="BC5" s="1150"/>
      <c r="BD5" s="1143"/>
      <c r="BE5" s="1137"/>
    </row>
    <row r="6" spans="1:57" ht="12" customHeight="1" x14ac:dyDescent="0.2">
      <c r="A6" s="1137"/>
      <c r="B6" s="549"/>
      <c r="C6" s="4724"/>
      <c r="D6" s="4725"/>
      <c r="E6" s="4725"/>
      <c r="F6" s="4725"/>
      <c r="G6" s="4725"/>
      <c r="H6" s="4725"/>
      <c r="I6" s="1146"/>
      <c r="J6" s="4720" t="s">
        <v>7686</v>
      </c>
      <c r="K6" s="4721"/>
      <c r="L6" s="4721"/>
      <c r="M6" s="4721"/>
      <c r="N6" s="4721"/>
      <c r="O6" s="4721"/>
      <c r="P6" s="4721"/>
      <c r="Q6" s="1150"/>
      <c r="R6" s="1143"/>
      <c r="S6" s="1137"/>
      <c r="T6" s="1137"/>
      <c r="U6" s="549"/>
      <c r="V6" s="4724"/>
      <c r="W6" s="4725"/>
      <c r="X6" s="4725"/>
      <c r="Y6" s="4725"/>
      <c r="Z6" s="4725"/>
      <c r="AA6" s="4725"/>
      <c r="AB6" s="2099"/>
      <c r="AC6" s="5457"/>
      <c r="AD6" s="5458"/>
      <c r="AE6" s="5458"/>
      <c r="AF6" s="5458"/>
      <c r="AG6" s="5458"/>
      <c r="AH6" s="5458"/>
      <c r="AI6" s="5458"/>
      <c r="AJ6" s="1150"/>
      <c r="AK6" s="1143"/>
      <c r="AL6" s="1137"/>
      <c r="AM6" s="1137"/>
      <c r="AN6" s="549"/>
      <c r="AO6" s="4724"/>
      <c r="AP6" s="4725"/>
      <c r="AQ6" s="4725"/>
      <c r="AR6" s="4725"/>
      <c r="AS6" s="4725"/>
      <c r="AT6" s="4725"/>
      <c r="AU6" s="1146"/>
      <c r="AV6" s="5457"/>
      <c r="AW6" s="5458"/>
      <c r="AX6" s="5458"/>
      <c r="AY6" s="5458"/>
      <c r="AZ6" s="5458"/>
      <c r="BA6" s="5458"/>
      <c r="BB6" s="5458"/>
      <c r="BC6" s="1150"/>
      <c r="BD6" s="1143"/>
      <c r="BE6" s="1137"/>
    </row>
    <row r="7" spans="1:57" ht="12" customHeight="1" x14ac:dyDescent="0.2">
      <c r="A7" s="1137"/>
      <c r="B7" s="549"/>
      <c r="C7" s="4724"/>
      <c r="D7" s="4725"/>
      <c r="E7" s="4725"/>
      <c r="F7" s="4725"/>
      <c r="G7" s="4725"/>
      <c r="H7" s="4725"/>
      <c r="I7" s="1146"/>
      <c r="J7" s="4721"/>
      <c r="K7" s="4721"/>
      <c r="L7" s="4721"/>
      <c r="M7" s="4721"/>
      <c r="N7" s="4721"/>
      <c r="O7" s="4721"/>
      <c r="P7" s="4721"/>
      <c r="Q7" s="1150"/>
      <c r="R7" s="1143"/>
      <c r="S7" s="1137"/>
      <c r="T7" s="1137"/>
      <c r="U7" s="549"/>
      <c r="V7" s="4724"/>
      <c r="W7" s="4725"/>
      <c r="X7" s="4725"/>
      <c r="Y7" s="4725"/>
      <c r="Z7" s="4725"/>
      <c r="AA7" s="4725"/>
      <c r="AB7" s="2099"/>
      <c r="AC7" s="5458"/>
      <c r="AD7" s="5458"/>
      <c r="AE7" s="5458"/>
      <c r="AF7" s="5458"/>
      <c r="AG7" s="5458"/>
      <c r="AH7" s="5458"/>
      <c r="AI7" s="5458"/>
      <c r="AJ7" s="1150"/>
      <c r="AK7" s="1143"/>
      <c r="AL7" s="1137"/>
      <c r="AM7" s="1137"/>
      <c r="AN7" s="549"/>
      <c r="AO7" s="4724"/>
      <c r="AP7" s="4725"/>
      <c r="AQ7" s="4725"/>
      <c r="AR7" s="4725"/>
      <c r="AS7" s="4725"/>
      <c r="AT7" s="4725"/>
      <c r="AU7" s="1146"/>
      <c r="AV7" s="5458"/>
      <c r="AW7" s="5458"/>
      <c r="AX7" s="5458"/>
      <c r="AY7" s="5458"/>
      <c r="AZ7" s="5458"/>
      <c r="BA7" s="5458"/>
      <c r="BB7" s="5458"/>
      <c r="BC7" s="1150"/>
      <c r="BD7" s="1143"/>
      <c r="BE7" s="1137"/>
    </row>
    <row r="8" spans="1:57" ht="12" customHeight="1" thickBot="1" x14ac:dyDescent="0.25">
      <c r="A8" s="1137"/>
      <c r="B8" s="549"/>
      <c r="C8" s="4726"/>
      <c r="D8" s="4727"/>
      <c r="E8" s="4727"/>
      <c r="F8" s="4727"/>
      <c r="G8" s="4727"/>
      <c r="H8" s="4727"/>
      <c r="I8" s="1155"/>
      <c r="J8" s="1155"/>
      <c r="K8" s="1155"/>
      <c r="L8" s="1155"/>
      <c r="M8" s="1155"/>
      <c r="N8" s="1155"/>
      <c r="O8" s="1155"/>
      <c r="P8" s="1155"/>
      <c r="Q8" s="1156"/>
      <c r="R8" s="1143"/>
      <c r="S8" s="1137"/>
      <c r="T8" s="1137"/>
      <c r="U8" s="549"/>
      <c r="V8" s="4726"/>
      <c r="W8" s="4727"/>
      <c r="X8" s="4727"/>
      <c r="Y8" s="4727"/>
      <c r="Z8" s="4727"/>
      <c r="AA8" s="4727"/>
      <c r="AB8" s="2101"/>
      <c r="AC8" s="2101"/>
      <c r="AD8" s="2101"/>
      <c r="AE8" s="2101"/>
      <c r="AF8" s="2101"/>
      <c r="AG8" s="2101"/>
      <c r="AH8" s="2101"/>
      <c r="AI8" s="2101"/>
      <c r="AJ8" s="1156"/>
      <c r="AK8" s="1143"/>
      <c r="AL8" s="1137"/>
      <c r="AM8" s="1137"/>
      <c r="AN8" s="549"/>
      <c r="AO8" s="4726"/>
      <c r="AP8" s="4727"/>
      <c r="AQ8" s="4727"/>
      <c r="AR8" s="4727"/>
      <c r="AS8" s="4727"/>
      <c r="AT8" s="4727"/>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452"/>
      <c r="D10" s="5453"/>
      <c r="E10" s="5453"/>
      <c r="F10" s="5453"/>
      <c r="G10" s="5453"/>
      <c r="H10" s="1157" t="s">
        <v>1627</v>
      </c>
      <c r="I10" s="1158" t="str">
        <f>IF(C10=0,"",VLOOKUP(C10,'Tablas Magia'!$D$6:$Z$680,3,FALSE))</f>
        <v/>
      </c>
      <c r="J10" s="5454" t="s">
        <v>7687</v>
      </c>
      <c r="K10" s="5454"/>
      <c r="L10" s="5454"/>
      <c r="M10" s="5455" t="str">
        <f>IF(C10=0,"",VLOOKUP(C10,'Tablas Magia'!$D$6:$Z$680,2,FALSE))</f>
        <v/>
      </c>
      <c r="N10" s="5455"/>
      <c r="O10" s="5455"/>
      <c r="P10" s="5455"/>
      <c r="Q10" s="5456"/>
      <c r="R10" s="1143"/>
      <c r="S10" s="1137"/>
      <c r="T10" s="1137"/>
      <c r="U10" s="549"/>
      <c r="V10" s="5452"/>
      <c r="W10" s="5453"/>
      <c r="X10" s="5453"/>
      <c r="Y10" s="5453"/>
      <c r="Z10" s="5453"/>
      <c r="AA10" s="1157" t="s">
        <v>1627</v>
      </c>
      <c r="AB10" s="1158" t="str">
        <f>IF(V10=0,"",VLOOKUP(V10,'Tablas Magia'!$D$6:$Z$680,3,FALSE))</f>
        <v/>
      </c>
      <c r="AC10" s="5454" t="s">
        <v>7687</v>
      </c>
      <c r="AD10" s="5454"/>
      <c r="AE10" s="5454"/>
      <c r="AF10" s="5455" t="str">
        <f>IF(V10=0,"",VLOOKUP(V10,'Tablas Magia'!$D$6:$Z$680,2,FALSE))</f>
        <v/>
      </c>
      <c r="AG10" s="5455"/>
      <c r="AH10" s="5455"/>
      <c r="AI10" s="5455"/>
      <c r="AJ10" s="5456"/>
      <c r="AK10" s="1143"/>
      <c r="AL10" s="1137"/>
      <c r="AM10" s="1137"/>
      <c r="AN10" s="549"/>
      <c r="AO10" s="5452"/>
      <c r="AP10" s="5453"/>
      <c r="AQ10" s="5453"/>
      <c r="AR10" s="5453"/>
      <c r="AS10" s="5453"/>
      <c r="AT10" s="1157" t="s">
        <v>1627</v>
      </c>
      <c r="AU10" s="1158" t="str">
        <f>IF(AO10=0,"",VLOOKUP(AO10,'Tablas Magia'!$D$6:$Z$680,3,FALSE))</f>
        <v/>
      </c>
      <c r="AV10" s="5454" t="s">
        <v>7687</v>
      </c>
      <c r="AW10" s="5454"/>
      <c r="AX10" s="5454"/>
      <c r="AY10" s="5455" t="str">
        <f>IF(AO10=0,"",VLOOKUP(AO10,'Tablas Magia'!$D$6:$Z$680,2,FALSE))</f>
        <v/>
      </c>
      <c r="AZ10" s="5455"/>
      <c r="BA10" s="5455"/>
      <c r="BB10" s="5455"/>
      <c r="BC10" s="5456"/>
      <c r="BD10" s="1143"/>
      <c r="BE10" s="1137"/>
    </row>
    <row r="11" spans="1:57" ht="12" customHeight="1" x14ac:dyDescent="0.2">
      <c r="A11" s="1137"/>
      <c r="B11" s="549"/>
      <c r="C11" s="5450" t="s">
        <v>7688</v>
      </c>
      <c r="D11" s="5451"/>
      <c r="E11" s="1159" t="s">
        <v>7689</v>
      </c>
      <c r="F11" s="1159" t="s">
        <v>1820</v>
      </c>
      <c r="G11" s="1159" t="s">
        <v>3334</v>
      </c>
      <c r="H11" s="1160" t="s">
        <v>2165</v>
      </c>
      <c r="I11" s="5424" t="str">
        <f>IF(C10=0,"",VLOOKUP(C10,'Tablas Magia'!$D$6:$Z$680,5,FALSE))</f>
        <v/>
      </c>
      <c r="J11" s="5424"/>
      <c r="K11" s="5423" t="s">
        <v>7690</v>
      </c>
      <c r="L11" s="5423"/>
      <c r="M11" s="5424" t="str">
        <f>IF(C10=0,"",VLOOKUP(C10,'Tablas Magia'!$D$6:$Z$680,6,FALSE))</f>
        <v/>
      </c>
      <c r="N11" s="5424"/>
      <c r="O11" s="5425" t="s">
        <v>7691</v>
      </c>
      <c r="P11" s="5425"/>
      <c r="Q11" s="1161" t="str">
        <f>IF(C10=0,"",VLOOKUP(C10,'Tablas Magia'!$D$6:$Z$680,4,FALSE))</f>
        <v/>
      </c>
      <c r="R11" s="1143"/>
      <c r="S11" s="1137"/>
      <c r="T11" s="1137"/>
      <c r="U11" s="549"/>
      <c r="V11" s="5450" t="s">
        <v>7688</v>
      </c>
      <c r="W11" s="5451"/>
      <c r="X11" s="1159" t="s">
        <v>7689</v>
      </c>
      <c r="Y11" s="1159" t="s">
        <v>1820</v>
      </c>
      <c r="Z11" s="1159" t="s">
        <v>3334</v>
      </c>
      <c r="AA11" s="1160" t="s">
        <v>2165</v>
      </c>
      <c r="AB11" s="5424" t="str">
        <f>IF(V10=0,"",VLOOKUP(V10,'Tablas Magia'!$D$6:$Z$680,5,FALSE))</f>
        <v/>
      </c>
      <c r="AC11" s="5424"/>
      <c r="AD11" s="5423" t="s">
        <v>7690</v>
      </c>
      <c r="AE11" s="5423"/>
      <c r="AF11" s="5424" t="str">
        <f>IF(V10=0,"",VLOOKUP(V10,'Tablas Magia'!$D$6:$Z$680,6,FALSE))</f>
        <v/>
      </c>
      <c r="AG11" s="5424"/>
      <c r="AH11" s="5425" t="s">
        <v>7691</v>
      </c>
      <c r="AI11" s="5425"/>
      <c r="AJ11" s="1161" t="str">
        <f>IF(V10=0,"",VLOOKUP(V10,'Tablas Magia'!$D$6:$Z$680,4,FALSE))</f>
        <v/>
      </c>
      <c r="AK11" s="1143"/>
      <c r="AL11" s="1137"/>
      <c r="AM11" s="1137"/>
      <c r="AN11" s="549"/>
      <c r="AO11" s="5450" t="s">
        <v>7688</v>
      </c>
      <c r="AP11" s="5451"/>
      <c r="AQ11" s="1159" t="s">
        <v>7689</v>
      </c>
      <c r="AR11" s="1159" t="s">
        <v>1820</v>
      </c>
      <c r="AS11" s="1159" t="s">
        <v>3334</v>
      </c>
      <c r="AT11" s="1160" t="s">
        <v>2165</v>
      </c>
      <c r="AU11" s="5424" t="str">
        <f>IF(AO10=0,"",VLOOKUP(AO10,'Tablas Magia'!$D$6:$Z$680,5,FALSE))</f>
        <v/>
      </c>
      <c r="AV11" s="5424"/>
      <c r="AW11" s="5423" t="s">
        <v>7690</v>
      </c>
      <c r="AX11" s="5423"/>
      <c r="AY11" s="5424" t="str">
        <f>IF(AO10=0,"",VLOOKUP(AO10,'Tablas Magia'!$D$6:$Z$680,6,FALSE))</f>
        <v/>
      </c>
      <c r="AZ11" s="5424"/>
      <c r="BA11" s="5425" t="s">
        <v>7691</v>
      </c>
      <c r="BB11" s="5425"/>
      <c r="BC11" s="1161" t="str">
        <f>IF(AO10=0,"",VLOOKUP(AO10,'Tablas Magia'!$D$6:$Z$680,4,FALSE))</f>
        <v/>
      </c>
      <c r="BD11" s="1143"/>
      <c r="BE11" s="1137"/>
    </row>
    <row r="12" spans="1:57" ht="12" customHeight="1" x14ac:dyDescent="0.2">
      <c r="A12" s="1137"/>
      <c r="B12" s="549"/>
      <c r="C12" s="5426" t="s">
        <v>1674</v>
      </c>
      <c r="D12" s="5427"/>
      <c r="E12" s="1162" t="str">
        <f>IF(C10=0,"",VLOOKUP(C10,'Tablas Magia'!$D$6:$Z$680,7,FALSE))</f>
        <v/>
      </c>
      <c r="F12" s="1162" t="str">
        <f>IF(C10=0,"",VLOOKUP(C10,'Tablas Magia'!$D$6:$Z$680,11,FALSE))</f>
        <v/>
      </c>
      <c r="G12" s="1163" t="str">
        <f>IF(C10=0,"",VLOOKUP(C10,'Tablas Magia'!$D$6:$Z$680,15,FALSE))</f>
        <v/>
      </c>
      <c r="H12" s="5428" t="str">
        <f>IF(C10=0,"",VLOOKUP(C10,'Tablas Magia'!$D$6:$Z$680,19,FALSE))</f>
        <v/>
      </c>
      <c r="I12" s="5429"/>
      <c r="J12" s="5429"/>
      <c r="K12" s="5429"/>
      <c r="L12" s="5429"/>
      <c r="M12" s="5429"/>
      <c r="N12" s="5429"/>
      <c r="O12" s="5429"/>
      <c r="P12" s="5429"/>
      <c r="Q12" s="5430"/>
      <c r="R12" s="1143"/>
      <c r="S12" s="1137"/>
      <c r="T12" s="1137"/>
      <c r="U12" s="549"/>
      <c r="V12" s="5426" t="s">
        <v>1674</v>
      </c>
      <c r="W12" s="5427"/>
      <c r="X12" s="1162" t="str">
        <f>IF(V10=0,"",VLOOKUP(V10,'Tablas Magia'!$D$6:$Z$680,7,FALSE))</f>
        <v/>
      </c>
      <c r="Y12" s="1162" t="str">
        <f>IF(V10=0,"",VLOOKUP(V10,'Tablas Magia'!$D$6:$Z$680,11,FALSE))</f>
        <v/>
      </c>
      <c r="Z12" s="1163" t="str">
        <f>IF(V10=0,"",VLOOKUP(V10,'Tablas Magia'!$D$6:$Z$680,15,FALSE))</f>
        <v/>
      </c>
      <c r="AA12" s="5428" t="str">
        <f>IF(V10=0,"",VLOOKUP(V10,'Tablas Magia'!$D$6:$Z$680,19,FALSE))</f>
        <v/>
      </c>
      <c r="AB12" s="5429"/>
      <c r="AC12" s="5429"/>
      <c r="AD12" s="5429"/>
      <c r="AE12" s="5429"/>
      <c r="AF12" s="5429"/>
      <c r="AG12" s="5429"/>
      <c r="AH12" s="5429"/>
      <c r="AI12" s="5429"/>
      <c r="AJ12" s="5430"/>
      <c r="AK12" s="1143"/>
      <c r="AL12" s="1137"/>
      <c r="AM12" s="1137"/>
      <c r="AN12" s="549"/>
      <c r="AO12" s="5426" t="s">
        <v>1674</v>
      </c>
      <c r="AP12" s="5427"/>
      <c r="AQ12" s="1162" t="str">
        <f>IF(AO10=0,"",VLOOKUP(AO10,'Tablas Magia'!$D$6:$Z$680,7,FALSE))</f>
        <v/>
      </c>
      <c r="AR12" s="1162" t="str">
        <f>IF(AO10=0,"",VLOOKUP(AO10,'Tablas Magia'!$D$6:$Z$680,11,FALSE))</f>
        <v/>
      </c>
      <c r="AS12" s="1163" t="str">
        <f>IF(AO10=0,"",VLOOKUP(AO10,'Tablas Magia'!$D$6:$Z$680,15,FALSE))</f>
        <v/>
      </c>
      <c r="AT12" s="5428" t="str">
        <f>IF(AO10=0,"",VLOOKUP(AO10,'Tablas Magia'!$D$6:$Z$680,19,FALSE))</f>
        <v/>
      </c>
      <c r="AU12" s="5429"/>
      <c r="AV12" s="5429"/>
      <c r="AW12" s="5429"/>
      <c r="AX12" s="5429"/>
      <c r="AY12" s="5429"/>
      <c r="AZ12" s="5429"/>
      <c r="BA12" s="5429"/>
      <c r="BB12" s="5429"/>
      <c r="BC12" s="5430"/>
      <c r="BD12" s="1143"/>
      <c r="BE12" s="1137"/>
    </row>
    <row r="13" spans="1:57" ht="12" customHeight="1" x14ac:dyDescent="0.2">
      <c r="A13" s="1137"/>
      <c r="B13" s="549"/>
      <c r="C13" s="5431" t="s">
        <v>4572</v>
      </c>
      <c r="D13" s="5432"/>
      <c r="E13" s="1164" t="str">
        <f>IF(C10=0,"",VLOOKUP(C10,'Tablas Magia'!$D$6:$Z$680,8,FALSE))</f>
        <v/>
      </c>
      <c r="F13" s="1164" t="str">
        <f>IF(C10=0,"",VLOOKUP(C10,'Tablas Magia'!$D$6:$Z$680,12,FALSE))</f>
        <v/>
      </c>
      <c r="G13" s="1165" t="str">
        <f>IF(C10=0,"",VLOOKUP(C10,'Tablas Magia'!$D$6:$Z$680,16,FALSE))</f>
        <v/>
      </c>
      <c r="H13" s="5433" t="str">
        <f>IF(C10=0,"",VLOOKUP(C10,'Tablas Magia'!$D$6:$Z$680,20,FALSE))</f>
        <v/>
      </c>
      <c r="I13" s="5434"/>
      <c r="J13" s="5434"/>
      <c r="K13" s="5434"/>
      <c r="L13" s="5434"/>
      <c r="M13" s="5434"/>
      <c r="N13" s="5434"/>
      <c r="O13" s="5434"/>
      <c r="P13" s="5434"/>
      <c r="Q13" s="5435"/>
      <c r="R13" s="1143"/>
      <c r="S13" s="1137"/>
      <c r="T13" s="1137"/>
      <c r="U13" s="549"/>
      <c r="V13" s="5431" t="s">
        <v>4572</v>
      </c>
      <c r="W13" s="5432"/>
      <c r="X13" s="1164" t="str">
        <f>IF(V10=0,"",VLOOKUP(V10,'Tablas Magia'!$D$6:$Z$680,8,FALSE))</f>
        <v/>
      </c>
      <c r="Y13" s="1164" t="str">
        <f>IF(V10=0,"",VLOOKUP(V10,'Tablas Magia'!$D$6:$Z$680,12,FALSE))</f>
        <v/>
      </c>
      <c r="Z13" s="1165" t="str">
        <f>IF(V10=0,"",VLOOKUP(V10,'Tablas Magia'!$D$6:$Z$680,16,FALSE))</f>
        <v/>
      </c>
      <c r="AA13" s="5433" t="str">
        <f>IF(V10=0,"",VLOOKUP(V10,'Tablas Magia'!$D$6:$Z$680,20,FALSE))</f>
        <v/>
      </c>
      <c r="AB13" s="5434"/>
      <c r="AC13" s="5434"/>
      <c r="AD13" s="5434"/>
      <c r="AE13" s="5434"/>
      <c r="AF13" s="5434"/>
      <c r="AG13" s="5434"/>
      <c r="AH13" s="5434"/>
      <c r="AI13" s="5434"/>
      <c r="AJ13" s="5435"/>
      <c r="AK13" s="1143"/>
      <c r="AL13" s="1137"/>
      <c r="AM13" s="1137"/>
      <c r="AN13" s="549"/>
      <c r="AO13" s="5431" t="s">
        <v>4572</v>
      </c>
      <c r="AP13" s="5432"/>
      <c r="AQ13" s="1164" t="str">
        <f>IF(AO10=0,"",VLOOKUP(AO10,'Tablas Magia'!$D$6:$Z$680,8,FALSE))</f>
        <v/>
      </c>
      <c r="AR13" s="1164" t="str">
        <f>IF(AO10=0,"",VLOOKUP(AO10,'Tablas Magia'!$D$6:$Z$680,12,FALSE))</f>
        <v/>
      </c>
      <c r="AS13" s="1165" t="str">
        <f>IF(AO10=0,"",VLOOKUP(AO10,'Tablas Magia'!$D$6:$Z$680,16,FALSE))</f>
        <v/>
      </c>
      <c r="AT13" s="5433" t="str">
        <f>IF(AO10=0,"",VLOOKUP(AO10,'Tablas Magia'!$D$6:$Z$680,20,FALSE))</f>
        <v/>
      </c>
      <c r="AU13" s="5434"/>
      <c r="AV13" s="5434"/>
      <c r="AW13" s="5434"/>
      <c r="AX13" s="5434"/>
      <c r="AY13" s="5434"/>
      <c r="AZ13" s="5434"/>
      <c r="BA13" s="5434"/>
      <c r="BB13" s="5434"/>
      <c r="BC13" s="5435"/>
      <c r="BD13" s="1143"/>
      <c r="BE13" s="1137"/>
    </row>
    <row r="14" spans="1:57" ht="12" customHeight="1" x14ac:dyDescent="0.2">
      <c r="A14" s="1137"/>
      <c r="B14" s="549"/>
      <c r="C14" s="5426" t="s">
        <v>4573</v>
      </c>
      <c r="D14" s="5427"/>
      <c r="E14" s="1162" t="str">
        <f>IF(C10=0,"",VLOOKUP(C10,'Tablas Magia'!$D$6:$Z$680,9,FALSE))</f>
        <v/>
      </c>
      <c r="F14" s="1162" t="str">
        <f>IF(C10=0,"",VLOOKUP(C10,'Tablas Magia'!$D$6:$Z$680,13,FALSE))</f>
        <v/>
      </c>
      <c r="G14" s="1163" t="str">
        <f>IF(C10=0,"",VLOOKUP(C10,'Tablas Magia'!$D$6:$Z$680,17,FALSE))</f>
        <v/>
      </c>
      <c r="H14" s="5428" t="str">
        <f>IF(C10=0,"",VLOOKUP(C10,'Tablas Magia'!$D$6:$Z$680,21,FALSE))</f>
        <v/>
      </c>
      <c r="I14" s="5429"/>
      <c r="J14" s="5429"/>
      <c r="K14" s="5429"/>
      <c r="L14" s="5429"/>
      <c r="M14" s="5429"/>
      <c r="N14" s="5429"/>
      <c r="O14" s="5429"/>
      <c r="P14" s="5429"/>
      <c r="Q14" s="5430"/>
      <c r="R14" s="1143"/>
      <c r="S14" s="1137"/>
      <c r="T14" s="1137"/>
      <c r="U14" s="549"/>
      <c r="V14" s="5426" t="s">
        <v>4573</v>
      </c>
      <c r="W14" s="5427"/>
      <c r="X14" s="1162" t="str">
        <f>IF(V10=0,"",VLOOKUP(V10,'Tablas Magia'!$D$6:$Z$680,9,FALSE))</f>
        <v/>
      </c>
      <c r="Y14" s="1162" t="str">
        <f>IF(V10=0,"",VLOOKUP(V10,'Tablas Magia'!$D$6:$Z$680,13,FALSE))</f>
        <v/>
      </c>
      <c r="Z14" s="1163" t="str">
        <f>IF(V10=0,"",VLOOKUP(V10,'Tablas Magia'!$D$6:$Z$680,17,FALSE))</f>
        <v/>
      </c>
      <c r="AA14" s="5428" t="str">
        <f>IF(V10=0,"",VLOOKUP(V10,'Tablas Magia'!$D$6:$Z$680,21,FALSE))</f>
        <v/>
      </c>
      <c r="AB14" s="5429"/>
      <c r="AC14" s="5429"/>
      <c r="AD14" s="5429"/>
      <c r="AE14" s="5429"/>
      <c r="AF14" s="5429"/>
      <c r="AG14" s="5429"/>
      <c r="AH14" s="5429"/>
      <c r="AI14" s="5429"/>
      <c r="AJ14" s="5430"/>
      <c r="AK14" s="1143"/>
      <c r="AL14" s="1137"/>
      <c r="AM14" s="1137"/>
      <c r="AN14" s="549"/>
      <c r="AO14" s="5426" t="s">
        <v>4573</v>
      </c>
      <c r="AP14" s="5427"/>
      <c r="AQ14" s="1162" t="str">
        <f>IF(AO10=0,"",VLOOKUP(AO10,'Tablas Magia'!$D$6:$Z$680,9,FALSE))</f>
        <v/>
      </c>
      <c r="AR14" s="1162" t="str">
        <f>IF(AO10=0,"",VLOOKUP(AO10,'Tablas Magia'!$D$6:$Z$680,13,FALSE))</f>
        <v/>
      </c>
      <c r="AS14" s="1163" t="str">
        <f>IF(AO10=0,"",VLOOKUP(AO10,'Tablas Magia'!$D$6:$Z$680,17,FALSE))</f>
        <v/>
      </c>
      <c r="AT14" s="5428" t="str">
        <f>IF(AO10=0,"",VLOOKUP(AO10,'Tablas Magia'!$D$6:$Z$680,21,FALSE))</f>
        <v/>
      </c>
      <c r="AU14" s="5429"/>
      <c r="AV14" s="5429"/>
      <c r="AW14" s="5429"/>
      <c r="AX14" s="5429"/>
      <c r="AY14" s="5429"/>
      <c r="AZ14" s="5429"/>
      <c r="BA14" s="5429"/>
      <c r="BB14" s="5429"/>
      <c r="BC14" s="5430"/>
      <c r="BD14" s="1143"/>
      <c r="BE14" s="1137"/>
    </row>
    <row r="15" spans="1:57" ht="12" customHeight="1" thickBot="1" x14ac:dyDescent="0.25">
      <c r="A15" s="1137"/>
      <c r="B15" s="549"/>
      <c r="C15" s="5436" t="s">
        <v>4574</v>
      </c>
      <c r="D15" s="5437"/>
      <c r="E15" s="1166" t="str">
        <f>IF(C10=0,"",VLOOKUP(C10,'Tablas Magia'!$D$6:$Z$680,10,FALSE))</f>
        <v/>
      </c>
      <c r="F15" s="1166" t="str">
        <f>IF(C10=0,"",VLOOKUP(C10,'Tablas Magia'!$D$6:$Z$680,14,FALSE))</f>
        <v/>
      </c>
      <c r="G15" s="1167" t="str">
        <f>IF(C10=0,"",VLOOKUP(C10,'Tablas Magia'!$D$6:$Z$680,18,FALSE))</f>
        <v/>
      </c>
      <c r="H15" s="5438" t="str">
        <f>IF(C10=0,"",VLOOKUP(C10,'Tablas Magia'!$D$6:$Z$680,22,FALSE))</f>
        <v/>
      </c>
      <c r="I15" s="5439"/>
      <c r="J15" s="5439"/>
      <c r="K15" s="5439"/>
      <c r="L15" s="5439"/>
      <c r="M15" s="5439"/>
      <c r="N15" s="5439"/>
      <c r="O15" s="5439"/>
      <c r="P15" s="5439"/>
      <c r="Q15" s="5440"/>
      <c r="R15" s="1143"/>
      <c r="S15" s="1137"/>
      <c r="T15" s="1137"/>
      <c r="U15" s="549"/>
      <c r="V15" s="5436" t="s">
        <v>4574</v>
      </c>
      <c r="W15" s="5437"/>
      <c r="X15" s="1166" t="str">
        <f>IF(V10=0,"",VLOOKUP(V10,'Tablas Magia'!$D$6:$Z$680,10,FALSE))</f>
        <v/>
      </c>
      <c r="Y15" s="1166" t="str">
        <f>IF(V10=0,"",VLOOKUP(V10,'Tablas Magia'!$D$6:$Z$680,14,FALSE))</f>
        <v/>
      </c>
      <c r="Z15" s="1167" t="str">
        <f>IF(V10=0,"",VLOOKUP(V10,'Tablas Magia'!$D$6:$Z$680,18,FALSE))</f>
        <v/>
      </c>
      <c r="AA15" s="5438" t="str">
        <f>IF(V10=0,"",VLOOKUP(V10,'Tablas Magia'!$D$6:$Z$680,22,FALSE))</f>
        <v/>
      </c>
      <c r="AB15" s="5439"/>
      <c r="AC15" s="5439"/>
      <c r="AD15" s="5439"/>
      <c r="AE15" s="5439"/>
      <c r="AF15" s="5439"/>
      <c r="AG15" s="5439"/>
      <c r="AH15" s="5439"/>
      <c r="AI15" s="5439"/>
      <c r="AJ15" s="5440"/>
      <c r="AK15" s="1143"/>
      <c r="AL15" s="1137"/>
      <c r="AM15" s="1137"/>
      <c r="AN15" s="549"/>
      <c r="AO15" s="5436" t="s">
        <v>4574</v>
      </c>
      <c r="AP15" s="5437"/>
      <c r="AQ15" s="1166" t="str">
        <f>IF(AO10=0,"",VLOOKUP(AO10,'Tablas Magia'!$D$6:$Z$680,10,FALSE))</f>
        <v/>
      </c>
      <c r="AR15" s="1166" t="str">
        <f>IF(AO10=0,"",VLOOKUP(AO10,'Tablas Magia'!$D$6:$Z$680,14,FALSE))</f>
        <v/>
      </c>
      <c r="AS15" s="1167" t="str">
        <f>IF(AO10=0,"",VLOOKUP(AO10,'Tablas Magia'!$D$6:$Z$680,18,FALSE))</f>
        <v/>
      </c>
      <c r="AT15" s="5438" t="str">
        <f>IF(AO10=0,"",VLOOKUP(AO10,'Tablas Magia'!$D$6:$Z$680,22,FALSE))</f>
        <v/>
      </c>
      <c r="AU15" s="5439"/>
      <c r="AV15" s="5439"/>
      <c r="AW15" s="5439"/>
      <c r="AX15" s="5439"/>
      <c r="AY15" s="5439"/>
      <c r="AZ15" s="5439"/>
      <c r="BA15" s="5439"/>
      <c r="BB15" s="5439"/>
      <c r="BC15" s="5440"/>
      <c r="BD15" s="1143"/>
      <c r="BE15" s="1137"/>
    </row>
    <row r="16" spans="1:57" ht="12" customHeight="1" x14ac:dyDescent="0.2">
      <c r="A16" s="1137"/>
      <c r="B16" s="549"/>
      <c r="C16" s="5441" t="str">
        <f>IF(C10=0,"",VLOOKUP(C10,'Tablas Magia'!$D$6:$Z$680,23,FALSE))</f>
        <v/>
      </c>
      <c r="D16" s="5442"/>
      <c r="E16" s="5442"/>
      <c r="F16" s="5442"/>
      <c r="G16" s="5442"/>
      <c r="H16" s="5442"/>
      <c r="I16" s="5442"/>
      <c r="J16" s="5442"/>
      <c r="K16" s="5442"/>
      <c r="L16" s="5442"/>
      <c r="M16" s="5442"/>
      <c r="N16" s="5442"/>
      <c r="O16" s="5442"/>
      <c r="P16" s="5442"/>
      <c r="Q16" s="5443"/>
      <c r="R16" s="1143"/>
      <c r="S16" s="1137"/>
      <c r="T16" s="1137"/>
      <c r="U16" s="549"/>
      <c r="V16" s="5441" t="str">
        <f>IF(V10=0,"",VLOOKUP(V10,'Tablas Magia'!$D$6:$Z$680,23,FALSE))</f>
        <v/>
      </c>
      <c r="W16" s="5442"/>
      <c r="X16" s="5442"/>
      <c r="Y16" s="5442"/>
      <c r="Z16" s="5442"/>
      <c r="AA16" s="5442"/>
      <c r="AB16" s="5442"/>
      <c r="AC16" s="5442"/>
      <c r="AD16" s="5442"/>
      <c r="AE16" s="5442"/>
      <c r="AF16" s="5442"/>
      <c r="AG16" s="5442"/>
      <c r="AH16" s="5442"/>
      <c r="AI16" s="5442"/>
      <c r="AJ16" s="5443"/>
      <c r="AK16" s="1143"/>
      <c r="AL16" s="1137"/>
      <c r="AM16" s="1137"/>
      <c r="AN16" s="549"/>
      <c r="AO16" s="5441" t="str">
        <f>IF(AO10=0,"",VLOOKUP(AO10,'Tablas Magia'!$D$6:$Z$680,23,FALSE))</f>
        <v/>
      </c>
      <c r="AP16" s="5442"/>
      <c r="AQ16" s="5442"/>
      <c r="AR16" s="5442"/>
      <c r="AS16" s="5442"/>
      <c r="AT16" s="5442"/>
      <c r="AU16" s="5442"/>
      <c r="AV16" s="5442"/>
      <c r="AW16" s="5442"/>
      <c r="AX16" s="5442"/>
      <c r="AY16" s="5442"/>
      <c r="AZ16" s="5442"/>
      <c r="BA16" s="5442"/>
      <c r="BB16" s="5442"/>
      <c r="BC16" s="5443"/>
      <c r="BD16" s="1143"/>
      <c r="BE16" s="1137"/>
    </row>
    <row r="17" spans="1:57" ht="12" customHeight="1" x14ac:dyDescent="0.2">
      <c r="A17" s="1137"/>
      <c r="B17" s="549"/>
      <c r="C17" s="5444"/>
      <c r="D17" s="5445"/>
      <c r="E17" s="5445"/>
      <c r="F17" s="5445"/>
      <c r="G17" s="5445"/>
      <c r="H17" s="5445"/>
      <c r="I17" s="5445"/>
      <c r="J17" s="5445"/>
      <c r="K17" s="5445"/>
      <c r="L17" s="5445"/>
      <c r="M17" s="5445"/>
      <c r="N17" s="5445"/>
      <c r="O17" s="5445"/>
      <c r="P17" s="5445"/>
      <c r="Q17" s="5446"/>
      <c r="R17" s="1143"/>
      <c r="S17" s="1137"/>
      <c r="T17" s="1137"/>
      <c r="U17" s="549"/>
      <c r="V17" s="5444"/>
      <c r="W17" s="5445"/>
      <c r="X17" s="5445"/>
      <c r="Y17" s="5445"/>
      <c r="Z17" s="5445"/>
      <c r="AA17" s="5445"/>
      <c r="AB17" s="5445"/>
      <c r="AC17" s="5445"/>
      <c r="AD17" s="5445"/>
      <c r="AE17" s="5445"/>
      <c r="AF17" s="5445"/>
      <c r="AG17" s="5445"/>
      <c r="AH17" s="5445"/>
      <c r="AI17" s="5445"/>
      <c r="AJ17" s="5446"/>
      <c r="AK17" s="1143"/>
      <c r="AL17" s="1137"/>
      <c r="AM17" s="1137"/>
      <c r="AN17" s="549"/>
      <c r="AO17" s="5444"/>
      <c r="AP17" s="5445"/>
      <c r="AQ17" s="5445"/>
      <c r="AR17" s="5445"/>
      <c r="AS17" s="5445"/>
      <c r="AT17" s="5445"/>
      <c r="AU17" s="5445"/>
      <c r="AV17" s="5445"/>
      <c r="AW17" s="5445"/>
      <c r="AX17" s="5445"/>
      <c r="AY17" s="5445"/>
      <c r="AZ17" s="5445"/>
      <c r="BA17" s="5445"/>
      <c r="BB17" s="5445"/>
      <c r="BC17" s="5446"/>
      <c r="BD17" s="1143"/>
      <c r="BE17" s="1137"/>
    </row>
    <row r="18" spans="1:57" ht="12" customHeight="1" x14ac:dyDescent="0.2">
      <c r="A18" s="1137"/>
      <c r="B18" s="549"/>
      <c r="C18" s="5444"/>
      <c r="D18" s="5445"/>
      <c r="E18" s="5445"/>
      <c r="F18" s="5445"/>
      <c r="G18" s="5445"/>
      <c r="H18" s="5445"/>
      <c r="I18" s="5445"/>
      <c r="J18" s="5445"/>
      <c r="K18" s="5445"/>
      <c r="L18" s="5445"/>
      <c r="M18" s="5445"/>
      <c r="N18" s="5445"/>
      <c r="O18" s="5445"/>
      <c r="P18" s="5445"/>
      <c r="Q18" s="5446"/>
      <c r="R18" s="1143"/>
      <c r="S18" s="1137"/>
      <c r="T18" s="1137"/>
      <c r="U18" s="549"/>
      <c r="V18" s="5444"/>
      <c r="W18" s="5445"/>
      <c r="X18" s="5445"/>
      <c r="Y18" s="5445"/>
      <c r="Z18" s="5445"/>
      <c r="AA18" s="5445"/>
      <c r="AB18" s="5445"/>
      <c r="AC18" s="5445"/>
      <c r="AD18" s="5445"/>
      <c r="AE18" s="5445"/>
      <c r="AF18" s="5445"/>
      <c r="AG18" s="5445"/>
      <c r="AH18" s="5445"/>
      <c r="AI18" s="5445"/>
      <c r="AJ18" s="5446"/>
      <c r="AK18" s="1143"/>
      <c r="AL18" s="1137"/>
      <c r="AM18" s="1137"/>
      <c r="AN18" s="549"/>
      <c r="AO18" s="5444"/>
      <c r="AP18" s="5445"/>
      <c r="AQ18" s="5445"/>
      <c r="AR18" s="5445"/>
      <c r="AS18" s="5445"/>
      <c r="AT18" s="5445"/>
      <c r="AU18" s="5445"/>
      <c r="AV18" s="5445"/>
      <c r="AW18" s="5445"/>
      <c r="AX18" s="5445"/>
      <c r="AY18" s="5445"/>
      <c r="AZ18" s="5445"/>
      <c r="BA18" s="5445"/>
      <c r="BB18" s="5445"/>
      <c r="BC18" s="5446"/>
      <c r="BD18" s="1143"/>
      <c r="BE18" s="1137"/>
    </row>
    <row r="19" spans="1:57" ht="12" customHeight="1" thickBot="1" x14ac:dyDescent="0.25">
      <c r="A19" s="1137"/>
      <c r="B19" s="549"/>
      <c r="C19" s="5447"/>
      <c r="D19" s="5448"/>
      <c r="E19" s="5448"/>
      <c r="F19" s="5448"/>
      <c r="G19" s="5448"/>
      <c r="H19" s="5448"/>
      <c r="I19" s="5448"/>
      <c r="J19" s="5448"/>
      <c r="K19" s="5448"/>
      <c r="L19" s="5448"/>
      <c r="M19" s="5448"/>
      <c r="N19" s="5448"/>
      <c r="O19" s="5448"/>
      <c r="P19" s="5448"/>
      <c r="Q19" s="5449"/>
      <c r="R19" s="1143"/>
      <c r="S19" s="1137"/>
      <c r="T19" s="1137"/>
      <c r="U19" s="549"/>
      <c r="V19" s="5447"/>
      <c r="W19" s="5448"/>
      <c r="X19" s="5448"/>
      <c r="Y19" s="5448"/>
      <c r="Z19" s="5448"/>
      <c r="AA19" s="5448"/>
      <c r="AB19" s="5448"/>
      <c r="AC19" s="5448"/>
      <c r="AD19" s="5448"/>
      <c r="AE19" s="5448"/>
      <c r="AF19" s="5448"/>
      <c r="AG19" s="5448"/>
      <c r="AH19" s="5448"/>
      <c r="AI19" s="5448"/>
      <c r="AJ19" s="5449"/>
      <c r="AK19" s="1143"/>
      <c r="AL19" s="1137"/>
      <c r="AM19" s="1137"/>
      <c r="AN19" s="549"/>
      <c r="AO19" s="5447"/>
      <c r="AP19" s="5448"/>
      <c r="AQ19" s="5448"/>
      <c r="AR19" s="5448"/>
      <c r="AS19" s="5448"/>
      <c r="AT19" s="5448"/>
      <c r="AU19" s="5448"/>
      <c r="AV19" s="5448"/>
      <c r="AW19" s="5448"/>
      <c r="AX19" s="5448"/>
      <c r="AY19" s="5448"/>
      <c r="AZ19" s="5448"/>
      <c r="BA19" s="5448"/>
      <c r="BB19" s="5448"/>
      <c r="BC19" s="5449"/>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452"/>
      <c r="D21" s="5453"/>
      <c r="E21" s="5453"/>
      <c r="F21" s="5453"/>
      <c r="G21" s="5453"/>
      <c r="H21" s="1157" t="s">
        <v>1627</v>
      </c>
      <c r="I21" s="1158" t="str">
        <f>IF(C21=0,"",VLOOKUP(C21,'Tablas Magia'!$D$6:$Z$680,3,FALSE))</f>
        <v/>
      </c>
      <c r="J21" s="5454" t="s">
        <v>7687</v>
      </c>
      <c r="K21" s="5454"/>
      <c r="L21" s="5454"/>
      <c r="M21" s="5455" t="str">
        <f>IF(C21=0,"",VLOOKUP(C21,'Tablas Magia'!$D$6:$Z$680,2,FALSE))</f>
        <v/>
      </c>
      <c r="N21" s="5455"/>
      <c r="O21" s="5455"/>
      <c r="P21" s="5455"/>
      <c r="Q21" s="5456"/>
      <c r="R21" s="1143"/>
      <c r="S21" s="1137"/>
      <c r="T21" s="1137"/>
      <c r="U21" s="549"/>
      <c r="V21" s="5452"/>
      <c r="W21" s="5453"/>
      <c r="X21" s="5453"/>
      <c r="Y21" s="5453"/>
      <c r="Z21" s="5453"/>
      <c r="AA21" s="1157" t="s">
        <v>1627</v>
      </c>
      <c r="AB21" s="1158" t="str">
        <f>IF(V21=0,"",VLOOKUP(V21,'Tablas Magia'!$D$6:$Z$680,3,FALSE))</f>
        <v/>
      </c>
      <c r="AC21" s="5454" t="s">
        <v>7687</v>
      </c>
      <c r="AD21" s="5454"/>
      <c r="AE21" s="5454"/>
      <c r="AF21" s="5455" t="str">
        <f>IF(V21=0,"",VLOOKUP(V21,'Tablas Magia'!$D$6:$Z$680,2,FALSE))</f>
        <v/>
      </c>
      <c r="AG21" s="5455"/>
      <c r="AH21" s="5455"/>
      <c r="AI21" s="5455"/>
      <c r="AJ21" s="5456"/>
      <c r="AK21" s="1143"/>
      <c r="AL21" s="1137"/>
      <c r="AM21" s="1137"/>
      <c r="AN21" s="549"/>
      <c r="AO21" s="5452"/>
      <c r="AP21" s="5453"/>
      <c r="AQ21" s="5453"/>
      <c r="AR21" s="5453"/>
      <c r="AS21" s="5453"/>
      <c r="AT21" s="1157" t="s">
        <v>1627</v>
      </c>
      <c r="AU21" s="1158" t="str">
        <f>IF(AO21=0,"",VLOOKUP(AO21,'Tablas Magia'!$D$6:$Z$680,3,FALSE))</f>
        <v/>
      </c>
      <c r="AV21" s="5454" t="s">
        <v>7687</v>
      </c>
      <c r="AW21" s="5454"/>
      <c r="AX21" s="5454"/>
      <c r="AY21" s="5455" t="str">
        <f>IF(AO21=0,"",VLOOKUP(AO21,'Tablas Magia'!$D$6:$Z$680,2,FALSE))</f>
        <v/>
      </c>
      <c r="AZ21" s="5455"/>
      <c r="BA21" s="5455"/>
      <c r="BB21" s="5455"/>
      <c r="BC21" s="5456"/>
      <c r="BD21" s="1143"/>
      <c r="BE21" s="1137"/>
    </row>
    <row r="22" spans="1:57" ht="12" customHeight="1" x14ac:dyDescent="0.2">
      <c r="A22" s="1137"/>
      <c r="B22" s="549"/>
      <c r="C22" s="5450" t="s">
        <v>7688</v>
      </c>
      <c r="D22" s="5451"/>
      <c r="E22" s="1159" t="s">
        <v>7689</v>
      </c>
      <c r="F22" s="1159" t="s">
        <v>1820</v>
      </c>
      <c r="G22" s="1159" t="s">
        <v>3334</v>
      </c>
      <c r="H22" s="1160" t="s">
        <v>2165</v>
      </c>
      <c r="I22" s="5424" t="str">
        <f>IF(C21=0,"",VLOOKUP(C21,'Tablas Magia'!$D$6:$Z$680,5,FALSE))</f>
        <v/>
      </c>
      <c r="J22" s="5424"/>
      <c r="K22" s="5423" t="s">
        <v>7690</v>
      </c>
      <c r="L22" s="5423"/>
      <c r="M22" s="5424" t="str">
        <f>IF(C21=0,"",VLOOKUP(C21,'Tablas Magia'!$D$6:$Z$680,6,FALSE))</f>
        <v/>
      </c>
      <c r="N22" s="5424"/>
      <c r="O22" s="5425" t="s">
        <v>7691</v>
      </c>
      <c r="P22" s="5425"/>
      <c r="Q22" s="1161" t="str">
        <f>IF(C21=0,"",VLOOKUP(C21,'Tablas Magia'!$D$6:$Z$680,4,FALSE))</f>
        <v/>
      </c>
      <c r="R22" s="1143"/>
      <c r="S22" s="1137"/>
      <c r="T22" s="1137"/>
      <c r="U22" s="549"/>
      <c r="V22" s="5450" t="s">
        <v>7688</v>
      </c>
      <c r="W22" s="5451"/>
      <c r="X22" s="1159" t="s">
        <v>7689</v>
      </c>
      <c r="Y22" s="1159" t="s">
        <v>1820</v>
      </c>
      <c r="Z22" s="1159" t="s">
        <v>3334</v>
      </c>
      <c r="AA22" s="1160" t="s">
        <v>2165</v>
      </c>
      <c r="AB22" s="5424" t="str">
        <f>IF(V21=0,"",VLOOKUP(V21,'Tablas Magia'!$D$6:$Z$680,5,FALSE))</f>
        <v/>
      </c>
      <c r="AC22" s="5424"/>
      <c r="AD22" s="5423" t="s">
        <v>7690</v>
      </c>
      <c r="AE22" s="5423"/>
      <c r="AF22" s="5424" t="str">
        <f>IF(V21=0,"",VLOOKUP(V21,'Tablas Magia'!$D$6:$Z$680,6,FALSE))</f>
        <v/>
      </c>
      <c r="AG22" s="5424"/>
      <c r="AH22" s="5425" t="s">
        <v>7691</v>
      </c>
      <c r="AI22" s="5425"/>
      <c r="AJ22" s="1161" t="str">
        <f>IF(V21=0,"",VLOOKUP(V21,'Tablas Magia'!$D$6:$Z$680,4,FALSE))</f>
        <v/>
      </c>
      <c r="AK22" s="1143"/>
      <c r="AL22" s="1137"/>
      <c r="AM22" s="1137"/>
      <c r="AN22" s="549"/>
      <c r="AO22" s="5450" t="s">
        <v>7688</v>
      </c>
      <c r="AP22" s="5451"/>
      <c r="AQ22" s="1159" t="s">
        <v>7689</v>
      </c>
      <c r="AR22" s="1159" t="s">
        <v>1820</v>
      </c>
      <c r="AS22" s="1159" t="s">
        <v>3334</v>
      </c>
      <c r="AT22" s="1160" t="s">
        <v>2165</v>
      </c>
      <c r="AU22" s="5424" t="str">
        <f>IF(AO21=0,"",VLOOKUP(AO21,'Tablas Magia'!$D$6:$Z$680,5,FALSE))</f>
        <v/>
      </c>
      <c r="AV22" s="5424"/>
      <c r="AW22" s="5423" t="s">
        <v>7690</v>
      </c>
      <c r="AX22" s="5423"/>
      <c r="AY22" s="5424" t="str">
        <f>IF(AO21=0,"",VLOOKUP(AO21,'Tablas Magia'!$D$6:$Z$680,6,FALSE))</f>
        <v/>
      </c>
      <c r="AZ22" s="5424"/>
      <c r="BA22" s="5425" t="s">
        <v>7691</v>
      </c>
      <c r="BB22" s="5425"/>
      <c r="BC22" s="1161" t="str">
        <f>IF(AO21=0,"",VLOOKUP(AO21,'Tablas Magia'!$D$6:$Z$680,4,FALSE))</f>
        <v/>
      </c>
      <c r="BD22" s="1143"/>
      <c r="BE22" s="1137"/>
    </row>
    <row r="23" spans="1:57" ht="12" customHeight="1" x14ac:dyDescent="0.2">
      <c r="A23" s="1137"/>
      <c r="B23" s="549"/>
      <c r="C23" s="5426" t="s">
        <v>1674</v>
      </c>
      <c r="D23" s="5427"/>
      <c r="E23" s="1162" t="str">
        <f>IF(C21=0,"",VLOOKUP(C21,'Tablas Magia'!$D$6:$Z$680,7,FALSE))</f>
        <v/>
      </c>
      <c r="F23" s="1162" t="str">
        <f>IF(C21=0,"",VLOOKUP(C21,'Tablas Magia'!$D$6:$Z$680,11,FALSE))</f>
        <v/>
      </c>
      <c r="G23" s="1163" t="str">
        <f>IF(C21=0,"",VLOOKUP(C21,'Tablas Magia'!$D$6:$Z$680,15,FALSE))</f>
        <v/>
      </c>
      <c r="H23" s="5428" t="str">
        <f>IF(C21=0,"",VLOOKUP(C21,'Tablas Magia'!$D$6:$Z$680,19,FALSE))</f>
        <v/>
      </c>
      <c r="I23" s="5429"/>
      <c r="J23" s="5429"/>
      <c r="K23" s="5429"/>
      <c r="L23" s="5429"/>
      <c r="M23" s="5429"/>
      <c r="N23" s="5429"/>
      <c r="O23" s="5429"/>
      <c r="P23" s="5429"/>
      <c r="Q23" s="5430"/>
      <c r="R23" s="1143"/>
      <c r="S23" s="1137"/>
      <c r="T23" s="1137"/>
      <c r="U23" s="549"/>
      <c r="V23" s="5426" t="s">
        <v>1674</v>
      </c>
      <c r="W23" s="5427"/>
      <c r="X23" s="1162" t="str">
        <f>IF(V21=0,"",VLOOKUP(V21,'Tablas Magia'!$D$6:$Z$680,7,FALSE))</f>
        <v/>
      </c>
      <c r="Y23" s="1162" t="str">
        <f>IF(V21=0,"",VLOOKUP(V21,'Tablas Magia'!$D$6:$Z$680,11,FALSE))</f>
        <v/>
      </c>
      <c r="Z23" s="1163" t="str">
        <f>IF(V21=0,"",VLOOKUP(V21,'Tablas Magia'!$D$6:$Z$680,15,FALSE))</f>
        <v/>
      </c>
      <c r="AA23" s="5428" t="str">
        <f>IF(V21=0,"",VLOOKUP(V21,'Tablas Magia'!$D$6:$Z$680,19,FALSE))</f>
        <v/>
      </c>
      <c r="AB23" s="5429"/>
      <c r="AC23" s="5429"/>
      <c r="AD23" s="5429"/>
      <c r="AE23" s="5429"/>
      <c r="AF23" s="5429"/>
      <c r="AG23" s="5429"/>
      <c r="AH23" s="5429"/>
      <c r="AI23" s="5429"/>
      <c r="AJ23" s="5430"/>
      <c r="AK23" s="1143"/>
      <c r="AL23" s="1137"/>
      <c r="AM23" s="1137"/>
      <c r="AN23" s="549"/>
      <c r="AO23" s="5426" t="s">
        <v>1674</v>
      </c>
      <c r="AP23" s="5427"/>
      <c r="AQ23" s="1162" t="str">
        <f>IF(AO21=0,"",VLOOKUP(AO21,'Tablas Magia'!$D$6:$Z$680,7,FALSE))</f>
        <v/>
      </c>
      <c r="AR23" s="1162" t="str">
        <f>IF(AO21=0,"",VLOOKUP(AO21,'Tablas Magia'!$D$6:$Z$680,11,FALSE))</f>
        <v/>
      </c>
      <c r="AS23" s="1163" t="str">
        <f>IF(AO21=0,"",VLOOKUP(AO21,'Tablas Magia'!$D$6:$Z$680,15,FALSE))</f>
        <v/>
      </c>
      <c r="AT23" s="5428" t="str">
        <f>IF(AO21=0,"",VLOOKUP(AO21,'Tablas Magia'!$D$6:$Z$680,19,FALSE))</f>
        <v/>
      </c>
      <c r="AU23" s="5429"/>
      <c r="AV23" s="5429"/>
      <c r="AW23" s="5429"/>
      <c r="AX23" s="5429"/>
      <c r="AY23" s="5429"/>
      <c r="AZ23" s="5429"/>
      <c r="BA23" s="5429"/>
      <c r="BB23" s="5429"/>
      <c r="BC23" s="5430"/>
      <c r="BD23" s="1143"/>
      <c r="BE23" s="1137"/>
    </row>
    <row r="24" spans="1:57" ht="12" customHeight="1" x14ac:dyDescent="0.2">
      <c r="A24" s="1137"/>
      <c r="B24" s="549"/>
      <c r="C24" s="5431" t="s">
        <v>4572</v>
      </c>
      <c r="D24" s="5432"/>
      <c r="E24" s="1164" t="str">
        <f>IF(C21=0,"",VLOOKUP(C21,'Tablas Magia'!$D$6:$Z$680,8,FALSE))</f>
        <v/>
      </c>
      <c r="F24" s="1164" t="str">
        <f>IF(C21=0,"",VLOOKUP(C21,'Tablas Magia'!$D$6:$Z$680,12,FALSE))</f>
        <v/>
      </c>
      <c r="G24" s="1165" t="str">
        <f>IF(C21=0,"",VLOOKUP(C21,'Tablas Magia'!$D$6:$Z$680,16,FALSE))</f>
        <v/>
      </c>
      <c r="H24" s="5433" t="str">
        <f>IF(C21=0,"",VLOOKUP(C21,'Tablas Magia'!$D$6:$Z$680,20,FALSE))</f>
        <v/>
      </c>
      <c r="I24" s="5434"/>
      <c r="J24" s="5434"/>
      <c r="K24" s="5434"/>
      <c r="L24" s="5434"/>
      <c r="M24" s="5434"/>
      <c r="N24" s="5434"/>
      <c r="O24" s="5434"/>
      <c r="P24" s="5434"/>
      <c r="Q24" s="5435"/>
      <c r="R24" s="1143"/>
      <c r="S24" s="1137"/>
      <c r="T24" s="1137"/>
      <c r="U24" s="549"/>
      <c r="V24" s="5431" t="s">
        <v>4572</v>
      </c>
      <c r="W24" s="5432"/>
      <c r="X24" s="1164" t="str">
        <f>IF(V21=0,"",VLOOKUP(V21,'Tablas Magia'!$D$6:$Z$680,8,FALSE))</f>
        <v/>
      </c>
      <c r="Y24" s="1164" t="str">
        <f>IF(V21=0,"",VLOOKUP(V21,'Tablas Magia'!$D$6:$Z$680,12,FALSE))</f>
        <v/>
      </c>
      <c r="Z24" s="1165" t="str">
        <f>IF(V21=0,"",VLOOKUP(V21,'Tablas Magia'!$D$6:$Z$680,16,FALSE))</f>
        <v/>
      </c>
      <c r="AA24" s="5433" t="str">
        <f>IF(V21=0,"",VLOOKUP(V21,'Tablas Magia'!$D$6:$Z$680,20,FALSE))</f>
        <v/>
      </c>
      <c r="AB24" s="5434"/>
      <c r="AC24" s="5434"/>
      <c r="AD24" s="5434"/>
      <c r="AE24" s="5434"/>
      <c r="AF24" s="5434"/>
      <c r="AG24" s="5434"/>
      <c r="AH24" s="5434"/>
      <c r="AI24" s="5434"/>
      <c r="AJ24" s="5435"/>
      <c r="AK24" s="1143"/>
      <c r="AL24" s="1137"/>
      <c r="AM24" s="1137"/>
      <c r="AN24" s="549"/>
      <c r="AO24" s="5431" t="s">
        <v>4572</v>
      </c>
      <c r="AP24" s="5432"/>
      <c r="AQ24" s="1164" t="str">
        <f>IF(AO21=0,"",VLOOKUP(AO21,'Tablas Magia'!$D$6:$Z$680,8,FALSE))</f>
        <v/>
      </c>
      <c r="AR24" s="1164" t="str">
        <f>IF(AO21=0,"",VLOOKUP(AO21,'Tablas Magia'!$D$6:$Z$680,12,FALSE))</f>
        <v/>
      </c>
      <c r="AS24" s="1165" t="str">
        <f>IF(AO21=0,"",VLOOKUP(AO21,'Tablas Magia'!$D$6:$Z$680,16,FALSE))</f>
        <v/>
      </c>
      <c r="AT24" s="5433" t="str">
        <f>IF(AO21=0,"",VLOOKUP(AO21,'Tablas Magia'!$D$6:$Z$680,20,FALSE))</f>
        <v/>
      </c>
      <c r="AU24" s="5434"/>
      <c r="AV24" s="5434"/>
      <c r="AW24" s="5434"/>
      <c r="AX24" s="5434"/>
      <c r="AY24" s="5434"/>
      <c r="AZ24" s="5434"/>
      <c r="BA24" s="5434"/>
      <c r="BB24" s="5434"/>
      <c r="BC24" s="5435"/>
      <c r="BD24" s="1143"/>
      <c r="BE24" s="1137"/>
    </row>
    <row r="25" spans="1:57" ht="12" customHeight="1" x14ac:dyDescent="0.2">
      <c r="A25" s="1137"/>
      <c r="B25" s="549"/>
      <c r="C25" s="5426" t="s">
        <v>4573</v>
      </c>
      <c r="D25" s="5427"/>
      <c r="E25" s="1162" t="str">
        <f>IF(C21=0,"",VLOOKUP(C21,'Tablas Magia'!$D$6:$Z$680,9,FALSE))</f>
        <v/>
      </c>
      <c r="F25" s="1162" t="str">
        <f>IF(C21=0,"",VLOOKUP(C21,'Tablas Magia'!$D$6:$Z$680,13,FALSE))</f>
        <v/>
      </c>
      <c r="G25" s="1163" t="str">
        <f>IF(C21=0,"",VLOOKUP(C21,'Tablas Magia'!$D$6:$Z$680,17,FALSE))</f>
        <v/>
      </c>
      <c r="H25" s="5428" t="str">
        <f>IF(C21=0,"",VLOOKUP(C21,'Tablas Magia'!$D$6:$Z$680,21,FALSE))</f>
        <v/>
      </c>
      <c r="I25" s="5429"/>
      <c r="J25" s="5429"/>
      <c r="K25" s="5429"/>
      <c r="L25" s="5429"/>
      <c r="M25" s="5429"/>
      <c r="N25" s="5429"/>
      <c r="O25" s="5429"/>
      <c r="P25" s="5429"/>
      <c r="Q25" s="5430"/>
      <c r="R25" s="1143"/>
      <c r="S25" s="1137"/>
      <c r="T25" s="1137"/>
      <c r="U25" s="549"/>
      <c r="V25" s="5426" t="s">
        <v>4573</v>
      </c>
      <c r="W25" s="5427"/>
      <c r="X25" s="1162" t="str">
        <f>IF(V21=0,"",VLOOKUP(V21,'Tablas Magia'!$D$6:$Z$680,9,FALSE))</f>
        <v/>
      </c>
      <c r="Y25" s="1162" t="str">
        <f>IF(V21=0,"",VLOOKUP(V21,'Tablas Magia'!$D$6:$Z$680,13,FALSE))</f>
        <v/>
      </c>
      <c r="Z25" s="1163" t="str">
        <f>IF(V21=0,"",VLOOKUP(V21,'Tablas Magia'!$D$6:$Z$680,17,FALSE))</f>
        <v/>
      </c>
      <c r="AA25" s="5428" t="str">
        <f>IF(V21=0,"",VLOOKUP(V21,'Tablas Magia'!$D$6:$Z$680,21,FALSE))</f>
        <v/>
      </c>
      <c r="AB25" s="5429"/>
      <c r="AC25" s="5429"/>
      <c r="AD25" s="5429"/>
      <c r="AE25" s="5429"/>
      <c r="AF25" s="5429"/>
      <c r="AG25" s="5429"/>
      <c r="AH25" s="5429"/>
      <c r="AI25" s="5429"/>
      <c r="AJ25" s="5430"/>
      <c r="AK25" s="1143"/>
      <c r="AL25" s="1137"/>
      <c r="AM25" s="1137"/>
      <c r="AN25" s="549"/>
      <c r="AO25" s="5426" t="s">
        <v>4573</v>
      </c>
      <c r="AP25" s="5427"/>
      <c r="AQ25" s="1162" t="str">
        <f>IF(AO21=0,"",VLOOKUP(AO21,'Tablas Magia'!$D$6:$Z$680,9,FALSE))</f>
        <v/>
      </c>
      <c r="AR25" s="1162" t="str">
        <f>IF(AO21=0,"",VLOOKUP(AO21,'Tablas Magia'!$D$6:$Z$680,13,FALSE))</f>
        <v/>
      </c>
      <c r="AS25" s="1163" t="str">
        <f>IF(AO21=0,"",VLOOKUP(AO21,'Tablas Magia'!$D$6:$Z$680,17,FALSE))</f>
        <v/>
      </c>
      <c r="AT25" s="5428" t="str">
        <f>IF(AO21=0,"",VLOOKUP(AO21,'Tablas Magia'!$D$6:$Z$680,21,FALSE))</f>
        <v/>
      </c>
      <c r="AU25" s="5429"/>
      <c r="AV25" s="5429"/>
      <c r="AW25" s="5429"/>
      <c r="AX25" s="5429"/>
      <c r="AY25" s="5429"/>
      <c r="AZ25" s="5429"/>
      <c r="BA25" s="5429"/>
      <c r="BB25" s="5429"/>
      <c r="BC25" s="5430"/>
      <c r="BD25" s="1143"/>
      <c r="BE25" s="1137"/>
    </row>
    <row r="26" spans="1:57" ht="12" customHeight="1" thickBot="1" x14ac:dyDescent="0.25">
      <c r="A26" s="1137"/>
      <c r="B26" s="549"/>
      <c r="C26" s="5436" t="s">
        <v>4574</v>
      </c>
      <c r="D26" s="5437"/>
      <c r="E26" s="1166" t="str">
        <f>IF(C21=0,"",VLOOKUP(C21,'Tablas Magia'!$D$6:$Z$680,10,FALSE))</f>
        <v/>
      </c>
      <c r="F26" s="1166" t="str">
        <f>IF(C21=0,"",VLOOKUP(C21,'Tablas Magia'!$D$6:$Z$680,14,FALSE))</f>
        <v/>
      </c>
      <c r="G26" s="1167" t="str">
        <f>IF(C21=0,"",VLOOKUP(C21,'Tablas Magia'!$D$6:$Z$680,18,FALSE))</f>
        <v/>
      </c>
      <c r="H26" s="5438" t="str">
        <f>IF(C21=0,"",VLOOKUP(C21,'Tablas Magia'!$D$6:$Z$680,22,FALSE))</f>
        <v/>
      </c>
      <c r="I26" s="5439"/>
      <c r="J26" s="5439"/>
      <c r="K26" s="5439"/>
      <c r="L26" s="5439"/>
      <c r="M26" s="5439"/>
      <c r="N26" s="5439"/>
      <c r="O26" s="5439"/>
      <c r="P26" s="5439"/>
      <c r="Q26" s="5440"/>
      <c r="R26" s="1143"/>
      <c r="S26" s="1137"/>
      <c r="T26" s="1137"/>
      <c r="U26" s="549"/>
      <c r="V26" s="5436" t="s">
        <v>4574</v>
      </c>
      <c r="W26" s="5437"/>
      <c r="X26" s="1166" t="str">
        <f>IF(V21=0,"",VLOOKUP(V21,'Tablas Magia'!$D$6:$Z$680,10,FALSE))</f>
        <v/>
      </c>
      <c r="Y26" s="1166" t="str">
        <f>IF(V21=0,"",VLOOKUP(V21,'Tablas Magia'!$D$6:$Z$680,14,FALSE))</f>
        <v/>
      </c>
      <c r="Z26" s="1167" t="str">
        <f>IF(V21=0,"",VLOOKUP(V21,'Tablas Magia'!$D$6:$Z$680,18,FALSE))</f>
        <v/>
      </c>
      <c r="AA26" s="5438" t="str">
        <f>IF(V21=0,"",VLOOKUP(V21,'Tablas Magia'!$D$6:$Z$680,22,FALSE))</f>
        <v/>
      </c>
      <c r="AB26" s="5439"/>
      <c r="AC26" s="5439"/>
      <c r="AD26" s="5439"/>
      <c r="AE26" s="5439"/>
      <c r="AF26" s="5439"/>
      <c r="AG26" s="5439"/>
      <c r="AH26" s="5439"/>
      <c r="AI26" s="5439"/>
      <c r="AJ26" s="5440"/>
      <c r="AK26" s="1143"/>
      <c r="AL26" s="1137"/>
      <c r="AM26" s="1137"/>
      <c r="AN26" s="549"/>
      <c r="AO26" s="5436" t="s">
        <v>4574</v>
      </c>
      <c r="AP26" s="5437"/>
      <c r="AQ26" s="1166" t="str">
        <f>IF(AO21=0,"",VLOOKUP(AO21,'Tablas Magia'!$D$6:$Z$680,10,FALSE))</f>
        <v/>
      </c>
      <c r="AR26" s="1166" t="str">
        <f>IF(AO21=0,"",VLOOKUP(AO21,'Tablas Magia'!$D$6:$Z$680,14,FALSE))</f>
        <v/>
      </c>
      <c r="AS26" s="1167" t="str">
        <f>IF(AO21=0,"",VLOOKUP(AO21,'Tablas Magia'!$D$6:$Z$680,18,FALSE))</f>
        <v/>
      </c>
      <c r="AT26" s="5438" t="str">
        <f>IF(AO21=0,"",VLOOKUP(AO21,'Tablas Magia'!$D$6:$Z$680,22,FALSE))</f>
        <v/>
      </c>
      <c r="AU26" s="5439"/>
      <c r="AV26" s="5439"/>
      <c r="AW26" s="5439"/>
      <c r="AX26" s="5439"/>
      <c r="AY26" s="5439"/>
      <c r="AZ26" s="5439"/>
      <c r="BA26" s="5439"/>
      <c r="BB26" s="5439"/>
      <c r="BC26" s="5440"/>
      <c r="BD26" s="1143"/>
      <c r="BE26" s="1137"/>
    </row>
    <row r="27" spans="1:57" ht="12" customHeight="1" x14ac:dyDescent="0.2">
      <c r="A27" s="1137"/>
      <c r="B27" s="549"/>
      <c r="C27" s="5441" t="str">
        <f>IF(C21=0,"",VLOOKUP(C21,'Tablas Magia'!$D$6:$Z$680,23,FALSE))</f>
        <v/>
      </c>
      <c r="D27" s="5442"/>
      <c r="E27" s="5442"/>
      <c r="F27" s="5442"/>
      <c r="G27" s="5442"/>
      <c r="H27" s="5442"/>
      <c r="I27" s="5442"/>
      <c r="J27" s="5442"/>
      <c r="K27" s="5442"/>
      <c r="L27" s="5442"/>
      <c r="M27" s="5442"/>
      <c r="N27" s="5442"/>
      <c r="O27" s="5442"/>
      <c r="P27" s="5442"/>
      <c r="Q27" s="5443"/>
      <c r="R27" s="1143"/>
      <c r="S27" s="1137"/>
      <c r="T27" s="1137"/>
      <c r="U27" s="549"/>
      <c r="V27" s="5441" t="str">
        <f>IF(V21=0,"",VLOOKUP(V21,'Tablas Magia'!$D$6:$Z$680,23,FALSE))</f>
        <v/>
      </c>
      <c r="W27" s="5442"/>
      <c r="X27" s="5442"/>
      <c r="Y27" s="5442"/>
      <c r="Z27" s="5442"/>
      <c r="AA27" s="5442"/>
      <c r="AB27" s="5442"/>
      <c r="AC27" s="5442"/>
      <c r="AD27" s="5442"/>
      <c r="AE27" s="5442"/>
      <c r="AF27" s="5442"/>
      <c r="AG27" s="5442"/>
      <c r="AH27" s="5442"/>
      <c r="AI27" s="5442"/>
      <c r="AJ27" s="5443"/>
      <c r="AK27" s="1143"/>
      <c r="AL27" s="1137"/>
      <c r="AM27" s="1137"/>
      <c r="AN27" s="549"/>
      <c r="AO27" s="5441" t="str">
        <f>IF(AO21=0,"",VLOOKUP(AO21,'Tablas Magia'!$D$6:$Z$680,23,FALSE))</f>
        <v/>
      </c>
      <c r="AP27" s="5442"/>
      <c r="AQ27" s="5442"/>
      <c r="AR27" s="5442"/>
      <c r="AS27" s="5442"/>
      <c r="AT27" s="5442"/>
      <c r="AU27" s="5442"/>
      <c r="AV27" s="5442"/>
      <c r="AW27" s="5442"/>
      <c r="AX27" s="5442"/>
      <c r="AY27" s="5442"/>
      <c r="AZ27" s="5442"/>
      <c r="BA27" s="5442"/>
      <c r="BB27" s="5442"/>
      <c r="BC27" s="5443"/>
      <c r="BD27" s="1143"/>
      <c r="BE27" s="1137"/>
    </row>
    <row r="28" spans="1:57" ht="12" customHeight="1" x14ac:dyDescent="0.2">
      <c r="A28" s="1137"/>
      <c r="B28" s="549"/>
      <c r="C28" s="5444"/>
      <c r="D28" s="5445"/>
      <c r="E28" s="5445"/>
      <c r="F28" s="5445"/>
      <c r="G28" s="5445"/>
      <c r="H28" s="5445"/>
      <c r="I28" s="5445"/>
      <c r="J28" s="5445"/>
      <c r="K28" s="5445"/>
      <c r="L28" s="5445"/>
      <c r="M28" s="5445"/>
      <c r="N28" s="5445"/>
      <c r="O28" s="5445"/>
      <c r="P28" s="5445"/>
      <c r="Q28" s="5446"/>
      <c r="R28" s="1143"/>
      <c r="S28" s="1137"/>
      <c r="T28" s="1137"/>
      <c r="U28" s="549"/>
      <c r="V28" s="5444"/>
      <c r="W28" s="5445"/>
      <c r="X28" s="5445"/>
      <c r="Y28" s="5445"/>
      <c r="Z28" s="5445"/>
      <c r="AA28" s="5445"/>
      <c r="AB28" s="5445"/>
      <c r="AC28" s="5445"/>
      <c r="AD28" s="5445"/>
      <c r="AE28" s="5445"/>
      <c r="AF28" s="5445"/>
      <c r="AG28" s="5445"/>
      <c r="AH28" s="5445"/>
      <c r="AI28" s="5445"/>
      <c r="AJ28" s="5446"/>
      <c r="AK28" s="1143"/>
      <c r="AL28" s="1137"/>
      <c r="AM28" s="1137"/>
      <c r="AN28" s="549"/>
      <c r="AO28" s="5444"/>
      <c r="AP28" s="5445"/>
      <c r="AQ28" s="5445"/>
      <c r="AR28" s="5445"/>
      <c r="AS28" s="5445"/>
      <c r="AT28" s="5445"/>
      <c r="AU28" s="5445"/>
      <c r="AV28" s="5445"/>
      <c r="AW28" s="5445"/>
      <c r="AX28" s="5445"/>
      <c r="AY28" s="5445"/>
      <c r="AZ28" s="5445"/>
      <c r="BA28" s="5445"/>
      <c r="BB28" s="5445"/>
      <c r="BC28" s="5446"/>
      <c r="BD28" s="1143"/>
      <c r="BE28" s="1137"/>
    </row>
    <row r="29" spans="1:57" ht="12" customHeight="1" x14ac:dyDescent="0.2">
      <c r="A29" s="1137"/>
      <c r="B29" s="549"/>
      <c r="C29" s="5444"/>
      <c r="D29" s="5445"/>
      <c r="E29" s="5445"/>
      <c r="F29" s="5445"/>
      <c r="G29" s="5445"/>
      <c r="H29" s="5445"/>
      <c r="I29" s="5445"/>
      <c r="J29" s="5445"/>
      <c r="K29" s="5445"/>
      <c r="L29" s="5445"/>
      <c r="M29" s="5445"/>
      <c r="N29" s="5445"/>
      <c r="O29" s="5445"/>
      <c r="P29" s="5445"/>
      <c r="Q29" s="5446"/>
      <c r="R29" s="1143"/>
      <c r="S29" s="1137"/>
      <c r="T29" s="1137"/>
      <c r="U29" s="549"/>
      <c r="V29" s="5444"/>
      <c r="W29" s="5445"/>
      <c r="X29" s="5445"/>
      <c r="Y29" s="5445"/>
      <c r="Z29" s="5445"/>
      <c r="AA29" s="5445"/>
      <c r="AB29" s="5445"/>
      <c r="AC29" s="5445"/>
      <c r="AD29" s="5445"/>
      <c r="AE29" s="5445"/>
      <c r="AF29" s="5445"/>
      <c r="AG29" s="5445"/>
      <c r="AH29" s="5445"/>
      <c r="AI29" s="5445"/>
      <c r="AJ29" s="5446"/>
      <c r="AK29" s="1143"/>
      <c r="AL29" s="1137"/>
      <c r="AM29" s="1137"/>
      <c r="AN29" s="549"/>
      <c r="AO29" s="5444"/>
      <c r="AP29" s="5445"/>
      <c r="AQ29" s="5445"/>
      <c r="AR29" s="5445"/>
      <c r="AS29" s="5445"/>
      <c r="AT29" s="5445"/>
      <c r="AU29" s="5445"/>
      <c r="AV29" s="5445"/>
      <c r="AW29" s="5445"/>
      <c r="AX29" s="5445"/>
      <c r="AY29" s="5445"/>
      <c r="AZ29" s="5445"/>
      <c r="BA29" s="5445"/>
      <c r="BB29" s="5445"/>
      <c r="BC29" s="5446"/>
      <c r="BD29" s="1143"/>
      <c r="BE29" s="1137"/>
    </row>
    <row r="30" spans="1:57" ht="12" customHeight="1" thickBot="1" x14ac:dyDescent="0.25">
      <c r="A30" s="1137"/>
      <c r="B30" s="549"/>
      <c r="C30" s="5447"/>
      <c r="D30" s="5448"/>
      <c r="E30" s="5448"/>
      <c r="F30" s="5448"/>
      <c r="G30" s="5448"/>
      <c r="H30" s="5448"/>
      <c r="I30" s="5448"/>
      <c r="J30" s="5448"/>
      <c r="K30" s="5448"/>
      <c r="L30" s="5448"/>
      <c r="M30" s="5448"/>
      <c r="N30" s="5448"/>
      <c r="O30" s="5448"/>
      <c r="P30" s="5448"/>
      <c r="Q30" s="5449"/>
      <c r="R30" s="1143"/>
      <c r="S30" s="1137"/>
      <c r="T30" s="1137"/>
      <c r="U30" s="549"/>
      <c r="V30" s="5447"/>
      <c r="W30" s="5448"/>
      <c r="X30" s="5448"/>
      <c r="Y30" s="5448"/>
      <c r="Z30" s="5448"/>
      <c r="AA30" s="5448"/>
      <c r="AB30" s="5448"/>
      <c r="AC30" s="5448"/>
      <c r="AD30" s="5448"/>
      <c r="AE30" s="5448"/>
      <c r="AF30" s="5448"/>
      <c r="AG30" s="5448"/>
      <c r="AH30" s="5448"/>
      <c r="AI30" s="5448"/>
      <c r="AJ30" s="5449"/>
      <c r="AK30" s="1143"/>
      <c r="AL30" s="1137"/>
      <c r="AM30" s="1137"/>
      <c r="AN30" s="549"/>
      <c r="AO30" s="5447"/>
      <c r="AP30" s="5448"/>
      <c r="AQ30" s="5448"/>
      <c r="AR30" s="5448"/>
      <c r="AS30" s="5448"/>
      <c r="AT30" s="5448"/>
      <c r="AU30" s="5448"/>
      <c r="AV30" s="5448"/>
      <c r="AW30" s="5448"/>
      <c r="AX30" s="5448"/>
      <c r="AY30" s="5448"/>
      <c r="AZ30" s="5448"/>
      <c r="BA30" s="5448"/>
      <c r="BB30" s="5448"/>
      <c r="BC30" s="5449"/>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452"/>
      <c r="D32" s="5453"/>
      <c r="E32" s="5453"/>
      <c r="F32" s="5453"/>
      <c r="G32" s="5453"/>
      <c r="H32" s="1157" t="s">
        <v>1627</v>
      </c>
      <c r="I32" s="1158" t="str">
        <f>IF(C32=0,"",VLOOKUP(C32,'Tablas Magia'!$D$6:$Z$680,3,FALSE))</f>
        <v/>
      </c>
      <c r="J32" s="5454" t="s">
        <v>7687</v>
      </c>
      <c r="K32" s="5454"/>
      <c r="L32" s="5454"/>
      <c r="M32" s="5455" t="str">
        <f>IF(C32=0,"",VLOOKUP(C32,'Tablas Magia'!$D$6:$Z$680,2,FALSE))</f>
        <v/>
      </c>
      <c r="N32" s="5455"/>
      <c r="O32" s="5455"/>
      <c r="P32" s="5455"/>
      <c r="Q32" s="5456"/>
      <c r="R32" s="1143"/>
      <c r="S32" s="1137"/>
      <c r="T32" s="1137"/>
      <c r="U32" s="549"/>
      <c r="V32" s="5452"/>
      <c r="W32" s="5453"/>
      <c r="X32" s="5453"/>
      <c r="Y32" s="5453"/>
      <c r="Z32" s="5453"/>
      <c r="AA32" s="1157" t="s">
        <v>1627</v>
      </c>
      <c r="AB32" s="1158" t="str">
        <f>IF(V32=0,"",VLOOKUP(V32,'Tablas Magia'!$D$6:$Z$680,3,FALSE))</f>
        <v/>
      </c>
      <c r="AC32" s="5454" t="s">
        <v>7687</v>
      </c>
      <c r="AD32" s="5454"/>
      <c r="AE32" s="5454"/>
      <c r="AF32" s="5455" t="str">
        <f>IF(V32=0,"",VLOOKUP(V32,'Tablas Magia'!$D$6:$Z$680,2,FALSE))</f>
        <v/>
      </c>
      <c r="AG32" s="5455"/>
      <c r="AH32" s="5455"/>
      <c r="AI32" s="5455"/>
      <c r="AJ32" s="5456"/>
      <c r="AK32" s="1143"/>
      <c r="AL32" s="1137"/>
      <c r="AM32" s="1137"/>
      <c r="AN32" s="549"/>
      <c r="AO32" s="5452"/>
      <c r="AP32" s="5453"/>
      <c r="AQ32" s="5453"/>
      <c r="AR32" s="5453"/>
      <c r="AS32" s="5453"/>
      <c r="AT32" s="1157" t="s">
        <v>1627</v>
      </c>
      <c r="AU32" s="1158" t="str">
        <f>IF(AO32=0,"",VLOOKUP(AO32,'Tablas Magia'!$D$6:$Z$680,3,FALSE))</f>
        <v/>
      </c>
      <c r="AV32" s="5454" t="s">
        <v>7687</v>
      </c>
      <c r="AW32" s="5454"/>
      <c r="AX32" s="5454"/>
      <c r="AY32" s="5455" t="str">
        <f>IF(AO32=0,"",VLOOKUP(AO32,'Tablas Magia'!$D$6:$Z$680,2,FALSE))</f>
        <v/>
      </c>
      <c r="AZ32" s="5455"/>
      <c r="BA32" s="5455"/>
      <c r="BB32" s="5455"/>
      <c r="BC32" s="5456"/>
      <c r="BD32" s="1143"/>
      <c r="BE32" s="1137"/>
    </row>
    <row r="33" spans="1:57" ht="12" customHeight="1" x14ac:dyDescent="0.2">
      <c r="A33" s="1137"/>
      <c r="B33" s="549"/>
      <c r="C33" s="5450" t="s">
        <v>7688</v>
      </c>
      <c r="D33" s="5451"/>
      <c r="E33" s="1159" t="s">
        <v>7689</v>
      </c>
      <c r="F33" s="1159" t="s">
        <v>1820</v>
      </c>
      <c r="G33" s="1159" t="s">
        <v>3334</v>
      </c>
      <c r="H33" s="1160" t="s">
        <v>2165</v>
      </c>
      <c r="I33" s="5424" t="str">
        <f>IF(C32=0,"",VLOOKUP(C32,'Tablas Magia'!$D$6:$Z$680,5,FALSE))</f>
        <v/>
      </c>
      <c r="J33" s="5424"/>
      <c r="K33" s="5423" t="s">
        <v>7690</v>
      </c>
      <c r="L33" s="5423"/>
      <c r="M33" s="5424" t="str">
        <f>IF(C32=0,"",VLOOKUP(C32,'Tablas Magia'!$D$6:$Z$680,6,FALSE))</f>
        <v/>
      </c>
      <c r="N33" s="5424"/>
      <c r="O33" s="5425" t="s">
        <v>7691</v>
      </c>
      <c r="P33" s="5425"/>
      <c r="Q33" s="1161" t="str">
        <f>IF(C32=0,"",VLOOKUP(C32,'Tablas Magia'!$D$6:$Z$680,4,FALSE))</f>
        <v/>
      </c>
      <c r="R33" s="1143"/>
      <c r="S33" s="1137"/>
      <c r="T33" s="1137"/>
      <c r="U33" s="549"/>
      <c r="V33" s="5450" t="s">
        <v>7688</v>
      </c>
      <c r="W33" s="5451"/>
      <c r="X33" s="1159" t="s">
        <v>7689</v>
      </c>
      <c r="Y33" s="1159" t="s">
        <v>1820</v>
      </c>
      <c r="Z33" s="1159" t="s">
        <v>3334</v>
      </c>
      <c r="AA33" s="1160" t="s">
        <v>2165</v>
      </c>
      <c r="AB33" s="5424" t="str">
        <f>IF(V32=0,"",VLOOKUP(V32,'Tablas Magia'!$D$6:$Z$680,5,FALSE))</f>
        <v/>
      </c>
      <c r="AC33" s="5424"/>
      <c r="AD33" s="5423" t="s">
        <v>7690</v>
      </c>
      <c r="AE33" s="5423"/>
      <c r="AF33" s="5424" t="str">
        <f>IF(V32=0,"",VLOOKUP(V32,'Tablas Magia'!$D$6:$Z$680,6,FALSE))</f>
        <v/>
      </c>
      <c r="AG33" s="5424"/>
      <c r="AH33" s="5425" t="s">
        <v>7691</v>
      </c>
      <c r="AI33" s="5425"/>
      <c r="AJ33" s="1161" t="str">
        <f>IF(V32=0,"",VLOOKUP(V32,'Tablas Magia'!$D$6:$Z$680,4,FALSE))</f>
        <v/>
      </c>
      <c r="AK33" s="1143"/>
      <c r="AL33" s="1137"/>
      <c r="AM33" s="1137"/>
      <c r="AN33" s="549"/>
      <c r="AO33" s="5450" t="s">
        <v>7688</v>
      </c>
      <c r="AP33" s="5451"/>
      <c r="AQ33" s="1159" t="s">
        <v>7689</v>
      </c>
      <c r="AR33" s="1159" t="s">
        <v>1820</v>
      </c>
      <c r="AS33" s="1159" t="s">
        <v>3334</v>
      </c>
      <c r="AT33" s="1160" t="s">
        <v>2165</v>
      </c>
      <c r="AU33" s="5424" t="str">
        <f>IF(AO32=0,"",VLOOKUP(AO32,'Tablas Magia'!$D$6:$Z$680,5,FALSE))</f>
        <v/>
      </c>
      <c r="AV33" s="5424"/>
      <c r="AW33" s="5423" t="s">
        <v>7690</v>
      </c>
      <c r="AX33" s="5423"/>
      <c r="AY33" s="5424" t="str">
        <f>IF(AO32=0,"",VLOOKUP(AO32,'Tablas Magia'!$D$6:$Z$680,6,FALSE))</f>
        <v/>
      </c>
      <c r="AZ33" s="5424"/>
      <c r="BA33" s="5425" t="s">
        <v>7691</v>
      </c>
      <c r="BB33" s="5425"/>
      <c r="BC33" s="1161" t="str">
        <f>IF(AO32=0,"",VLOOKUP(AO32,'Tablas Magia'!$D$6:$Z$680,4,FALSE))</f>
        <v/>
      </c>
      <c r="BD33" s="1143"/>
      <c r="BE33" s="1137"/>
    </row>
    <row r="34" spans="1:57" ht="12" customHeight="1" x14ac:dyDescent="0.2">
      <c r="A34" s="1137"/>
      <c r="B34" s="549"/>
      <c r="C34" s="5426" t="s">
        <v>1674</v>
      </c>
      <c r="D34" s="5427"/>
      <c r="E34" s="1162" t="str">
        <f>IF(C32=0,"",VLOOKUP(C32,'Tablas Magia'!$D$6:$Z$680,7,FALSE))</f>
        <v/>
      </c>
      <c r="F34" s="1162" t="str">
        <f>IF(C32=0,"",VLOOKUP(C32,'Tablas Magia'!$D$6:$Z$680,11,FALSE))</f>
        <v/>
      </c>
      <c r="G34" s="1163" t="str">
        <f>IF(C32=0,"",VLOOKUP(C32,'Tablas Magia'!$D$6:$Z$680,15,FALSE))</f>
        <v/>
      </c>
      <c r="H34" s="5428" t="str">
        <f>IF(C32=0,"",VLOOKUP(C32,'Tablas Magia'!$D$6:$Z$680,19,FALSE))</f>
        <v/>
      </c>
      <c r="I34" s="5429"/>
      <c r="J34" s="5429"/>
      <c r="K34" s="5429"/>
      <c r="L34" s="5429"/>
      <c r="M34" s="5429"/>
      <c r="N34" s="5429"/>
      <c r="O34" s="5429"/>
      <c r="P34" s="5429"/>
      <c r="Q34" s="5430"/>
      <c r="R34" s="1143"/>
      <c r="S34" s="1137"/>
      <c r="T34" s="1137"/>
      <c r="U34" s="549"/>
      <c r="V34" s="5426" t="s">
        <v>1674</v>
      </c>
      <c r="W34" s="5427"/>
      <c r="X34" s="1162" t="str">
        <f>IF(V32=0,"",VLOOKUP(V32,'Tablas Magia'!$D$6:$Z$680,7,FALSE))</f>
        <v/>
      </c>
      <c r="Y34" s="1162" t="str">
        <f>IF(V32=0,"",VLOOKUP(V32,'Tablas Magia'!$D$6:$Z$680,11,FALSE))</f>
        <v/>
      </c>
      <c r="Z34" s="1163" t="str">
        <f>IF(V32=0,"",VLOOKUP(V32,'Tablas Magia'!$D$6:$Z$680,15,FALSE))</f>
        <v/>
      </c>
      <c r="AA34" s="5428" t="str">
        <f>IF(V32=0,"",VLOOKUP(V32,'Tablas Magia'!$D$6:$Z$680,19,FALSE))</f>
        <v/>
      </c>
      <c r="AB34" s="5429"/>
      <c r="AC34" s="5429"/>
      <c r="AD34" s="5429"/>
      <c r="AE34" s="5429"/>
      <c r="AF34" s="5429"/>
      <c r="AG34" s="5429"/>
      <c r="AH34" s="5429"/>
      <c r="AI34" s="5429"/>
      <c r="AJ34" s="5430"/>
      <c r="AK34" s="1143"/>
      <c r="AL34" s="1137"/>
      <c r="AM34" s="1137"/>
      <c r="AN34" s="549"/>
      <c r="AO34" s="5426" t="s">
        <v>1674</v>
      </c>
      <c r="AP34" s="5427"/>
      <c r="AQ34" s="1162" t="str">
        <f>IF(AO32=0,"",VLOOKUP(AO32,'Tablas Magia'!$D$6:$Z$680,7,FALSE))</f>
        <v/>
      </c>
      <c r="AR34" s="1162" t="str">
        <f>IF(AO32=0,"",VLOOKUP(AO32,'Tablas Magia'!$D$6:$Z$680,11,FALSE))</f>
        <v/>
      </c>
      <c r="AS34" s="1163" t="str">
        <f>IF(AO32=0,"",VLOOKUP(AO32,'Tablas Magia'!$D$6:$Z$680,15,FALSE))</f>
        <v/>
      </c>
      <c r="AT34" s="5428" t="str">
        <f>IF(AO32=0,"",VLOOKUP(AO32,'Tablas Magia'!$D$6:$Z$680,19,FALSE))</f>
        <v/>
      </c>
      <c r="AU34" s="5429"/>
      <c r="AV34" s="5429"/>
      <c r="AW34" s="5429"/>
      <c r="AX34" s="5429"/>
      <c r="AY34" s="5429"/>
      <c r="AZ34" s="5429"/>
      <c r="BA34" s="5429"/>
      <c r="BB34" s="5429"/>
      <c r="BC34" s="5430"/>
      <c r="BD34" s="1143"/>
      <c r="BE34" s="1137"/>
    </row>
    <row r="35" spans="1:57" ht="12" customHeight="1" x14ac:dyDescent="0.2">
      <c r="A35" s="1137"/>
      <c r="B35" s="549"/>
      <c r="C35" s="5431" t="s">
        <v>4572</v>
      </c>
      <c r="D35" s="5432"/>
      <c r="E35" s="1164" t="str">
        <f>IF(C32=0,"",VLOOKUP(C32,'Tablas Magia'!$D$6:$Z$680,8,FALSE))</f>
        <v/>
      </c>
      <c r="F35" s="1164" t="str">
        <f>IF(C32=0,"",VLOOKUP(C32,'Tablas Magia'!$D$6:$Z$680,12,FALSE))</f>
        <v/>
      </c>
      <c r="G35" s="1165" t="str">
        <f>IF(C32=0,"",VLOOKUP(C32,'Tablas Magia'!$D$6:$Z$680,16,FALSE))</f>
        <v/>
      </c>
      <c r="H35" s="5433" t="str">
        <f>IF(C32=0,"",VLOOKUP(C32,'Tablas Magia'!$D$6:$Z$680,20,FALSE))</f>
        <v/>
      </c>
      <c r="I35" s="5434"/>
      <c r="J35" s="5434"/>
      <c r="K35" s="5434"/>
      <c r="L35" s="5434"/>
      <c r="M35" s="5434"/>
      <c r="N35" s="5434"/>
      <c r="O35" s="5434"/>
      <c r="P35" s="5434"/>
      <c r="Q35" s="5435"/>
      <c r="R35" s="1143"/>
      <c r="S35" s="1137"/>
      <c r="T35" s="1137"/>
      <c r="U35" s="549"/>
      <c r="V35" s="5431" t="s">
        <v>4572</v>
      </c>
      <c r="W35" s="5432"/>
      <c r="X35" s="1164" t="str">
        <f>IF(V32=0,"",VLOOKUP(V32,'Tablas Magia'!$D$6:$Z$680,8,FALSE))</f>
        <v/>
      </c>
      <c r="Y35" s="1164" t="str">
        <f>IF(V32=0,"",VLOOKUP(V32,'Tablas Magia'!$D$6:$Z$680,12,FALSE))</f>
        <v/>
      </c>
      <c r="Z35" s="1165" t="str">
        <f>IF(V32=0,"",VLOOKUP(V32,'Tablas Magia'!$D$6:$Z$680,16,FALSE))</f>
        <v/>
      </c>
      <c r="AA35" s="5433" t="str">
        <f>IF(V32=0,"",VLOOKUP(V32,'Tablas Magia'!$D$6:$Z$680,20,FALSE))</f>
        <v/>
      </c>
      <c r="AB35" s="5434"/>
      <c r="AC35" s="5434"/>
      <c r="AD35" s="5434"/>
      <c r="AE35" s="5434"/>
      <c r="AF35" s="5434"/>
      <c r="AG35" s="5434"/>
      <c r="AH35" s="5434"/>
      <c r="AI35" s="5434"/>
      <c r="AJ35" s="5435"/>
      <c r="AK35" s="1143"/>
      <c r="AL35" s="1137"/>
      <c r="AM35" s="1137"/>
      <c r="AN35" s="549"/>
      <c r="AO35" s="5431" t="s">
        <v>4572</v>
      </c>
      <c r="AP35" s="5432"/>
      <c r="AQ35" s="1164" t="str">
        <f>IF(AO32=0,"",VLOOKUP(AO32,'Tablas Magia'!$D$6:$Z$680,8,FALSE))</f>
        <v/>
      </c>
      <c r="AR35" s="1164" t="str">
        <f>IF(AO32=0,"",VLOOKUP(AO32,'Tablas Magia'!$D$6:$Z$680,12,FALSE))</f>
        <v/>
      </c>
      <c r="AS35" s="1165" t="str">
        <f>IF(AO32=0,"",VLOOKUP(AO32,'Tablas Magia'!$D$6:$Z$680,16,FALSE))</f>
        <v/>
      </c>
      <c r="AT35" s="5433" t="str">
        <f>IF(AO32=0,"",VLOOKUP(AO32,'Tablas Magia'!$D$6:$Z$680,20,FALSE))</f>
        <v/>
      </c>
      <c r="AU35" s="5434"/>
      <c r="AV35" s="5434"/>
      <c r="AW35" s="5434"/>
      <c r="AX35" s="5434"/>
      <c r="AY35" s="5434"/>
      <c r="AZ35" s="5434"/>
      <c r="BA35" s="5434"/>
      <c r="BB35" s="5434"/>
      <c r="BC35" s="5435"/>
      <c r="BD35" s="1143"/>
      <c r="BE35" s="1137"/>
    </row>
    <row r="36" spans="1:57" ht="12" customHeight="1" x14ac:dyDescent="0.2">
      <c r="A36" s="1137"/>
      <c r="B36" s="549"/>
      <c r="C36" s="5426" t="s">
        <v>4573</v>
      </c>
      <c r="D36" s="5427"/>
      <c r="E36" s="1162" t="str">
        <f>IF(C32=0,"",VLOOKUP(C32,'Tablas Magia'!$D$6:$Z$680,9,FALSE))</f>
        <v/>
      </c>
      <c r="F36" s="1162" t="str">
        <f>IF(C32=0,"",VLOOKUP(C32,'Tablas Magia'!$D$6:$Z$680,13,FALSE))</f>
        <v/>
      </c>
      <c r="G36" s="1163" t="str">
        <f>IF(C32=0,"",VLOOKUP(C32,'Tablas Magia'!$D$6:$Z$680,17,FALSE))</f>
        <v/>
      </c>
      <c r="H36" s="5428" t="str">
        <f>IF(C32=0,"",VLOOKUP(C32,'Tablas Magia'!$D$6:$Z$680,21,FALSE))</f>
        <v/>
      </c>
      <c r="I36" s="5429"/>
      <c r="J36" s="5429"/>
      <c r="K36" s="5429"/>
      <c r="L36" s="5429"/>
      <c r="M36" s="5429"/>
      <c r="N36" s="5429"/>
      <c r="O36" s="5429"/>
      <c r="P36" s="5429"/>
      <c r="Q36" s="5430"/>
      <c r="R36" s="1143"/>
      <c r="S36" s="1137"/>
      <c r="T36" s="1137"/>
      <c r="U36" s="549"/>
      <c r="V36" s="5426" t="s">
        <v>4573</v>
      </c>
      <c r="W36" s="5427"/>
      <c r="X36" s="1162" t="str">
        <f>IF(V32=0,"",VLOOKUP(V32,'Tablas Magia'!$D$6:$Z$680,9,FALSE))</f>
        <v/>
      </c>
      <c r="Y36" s="1162" t="str">
        <f>IF(V32=0,"",VLOOKUP(V32,'Tablas Magia'!$D$6:$Z$680,13,FALSE))</f>
        <v/>
      </c>
      <c r="Z36" s="1163" t="str">
        <f>IF(V32=0,"",VLOOKUP(V32,'Tablas Magia'!$D$6:$Z$680,17,FALSE))</f>
        <v/>
      </c>
      <c r="AA36" s="5428" t="str">
        <f>IF(V32=0,"",VLOOKUP(V32,'Tablas Magia'!$D$6:$Z$680,21,FALSE))</f>
        <v/>
      </c>
      <c r="AB36" s="5429"/>
      <c r="AC36" s="5429"/>
      <c r="AD36" s="5429"/>
      <c r="AE36" s="5429"/>
      <c r="AF36" s="5429"/>
      <c r="AG36" s="5429"/>
      <c r="AH36" s="5429"/>
      <c r="AI36" s="5429"/>
      <c r="AJ36" s="5430"/>
      <c r="AK36" s="1143"/>
      <c r="AL36" s="1137"/>
      <c r="AM36" s="1137"/>
      <c r="AN36" s="549"/>
      <c r="AO36" s="5426" t="s">
        <v>4573</v>
      </c>
      <c r="AP36" s="5427"/>
      <c r="AQ36" s="1162" t="str">
        <f>IF(AO32=0,"",VLOOKUP(AO32,'Tablas Magia'!$D$6:$Z$680,9,FALSE))</f>
        <v/>
      </c>
      <c r="AR36" s="1162" t="str">
        <f>IF(AO32=0,"",VLOOKUP(AO32,'Tablas Magia'!$D$6:$Z$680,13,FALSE))</f>
        <v/>
      </c>
      <c r="AS36" s="1163" t="str">
        <f>IF(AO32=0,"",VLOOKUP(AO32,'Tablas Magia'!$D$6:$Z$680,17,FALSE))</f>
        <v/>
      </c>
      <c r="AT36" s="5428" t="str">
        <f>IF(AO32=0,"",VLOOKUP(AO32,'Tablas Magia'!$D$6:$Z$680,21,FALSE))</f>
        <v/>
      </c>
      <c r="AU36" s="5429"/>
      <c r="AV36" s="5429"/>
      <c r="AW36" s="5429"/>
      <c r="AX36" s="5429"/>
      <c r="AY36" s="5429"/>
      <c r="AZ36" s="5429"/>
      <c r="BA36" s="5429"/>
      <c r="BB36" s="5429"/>
      <c r="BC36" s="5430"/>
      <c r="BD36" s="1143"/>
      <c r="BE36" s="1137"/>
    </row>
    <row r="37" spans="1:57" ht="12" customHeight="1" thickBot="1" x14ac:dyDescent="0.25">
      <c r="A37" s="1137"/>
      <c r="B37" s="549"/>
      <c r="C37" s="5436" t="s">
        <v>4574</v>
      </c>
      <c r="D37" s="5437"/>
      <c r="E37" s="1166" t="str">
        <f>IF(C32=0,"",VLOOKUP(C32,'Tablas Magia'!$D$6:$Z$680,10,FALSE))</f>
        <v/>
      </c>
      <c r="F37" s="1166" t="str">
        <f>IF(C32=0,"",VLOOKUP(C32,'Tablas Magia'!$D$6:$Z$680,14,FALSE))</f>
        <v/>
      </c>
      <c r="G37" s="1167" t="str">
        <f>IF(C32=0,"",VLOOKUP(C32,'Tablas Magia'!$D$6:$Z$680,18,FALSE))</f>
        <v/>
      </c>
      <c r="H37" s="5438" t="str">
        <f>IF(C32=0,"",VLOOKUP(C32,'Tablas Magia'!$D$6:$Z$680,22,FALSE))</f>
        <v/>
      </c>
      <c r="I37" s="5439"/>
      <c r="J37" s="5439"/>
      <c r="K37" s="5439"/>
      <c r="L37" s="5439"/>
      <c r="M37" s="5439"/>
      <c r="N37" s="5439"/>
      <c r="O37" s="5439"/>
      <c r="P37" s="5439"/>
      <c r="Q37" s="5440"/>
      <c r="R37" s="1143"/>
      <c r="S37" s="1137"/>
      <c r="T37" s="1137"/>
      <c r="U37" s="549"/>
      <c r="V37" s="5436" t="s">
        <v>4574</v>
      </c>
      <c r="W37" s="5437"/>
      <c r="X37" s="1166" t="str">
        <f>IF(V32=0,"",VLOOKUP(V32,'Tablas Magia'!$D$6:$Z$680,10,FALSE))</f>
        <v/>
      </c>
      <c r="Y37" s="1166" t="str">
        <f>IF(V32=0,"",VLOOKUP(V32,'Tablas Magia'!$D$6:$Z$680,14,FALSE))</f>
        <v/>
      </c>
      <c r="Z37" s="1167" t="str">
        <f>IF(V32=0,"",VLOOKUP(V32,'Tablas Magia'!$D$6:$Z$680,18,FALSE))</f>
        <v/>
      </c>
      <c r="AA37" s="5438" t="str">
        <f>IF(V32=0,"",VLOOKUP(V32,'Tablas Magia'!$D$6:$Z$680,22,FALSE))</f>
        <v/>
      </c>
      <c r="AB37" s="5439"/>
      <c r="AC37" s="5439"/>
      <c r="AD37" s="5439"/>
      <c r="AE37" s="5439"/>
      <c r="AF37" s="5439"/>
      <c r="AG37" s="5439"/>
      <c r="AH37" s="5439"/>
      <c r="AI37" s="5439"/>
      <c r="AJ37" s="5440"/>
      <c r="AK37" s="1143"/>
      <c r="AL37" s="1137"/>
      <c r="AM37" s="1137"/>
      <c r="AN37" s="549"/>
      <c r="AO37" s="5436" t="s">
        <v>4574</v>
      </c>
      <c r="AP37" s="5437"/>
      <c r="AQ37" s="1166" t="str">
        <f>IF(AO32=0,"",VLOOKUP(AO32,'Tablas Magia'!$D$6:$Z$680,10,FALSE))</f>
        <v/>
      </c>
      <c r="AR37" s="1166" t="str">
        <f>IF(AO32=0,"",VLOOKUP(AO32,'Tablas Magia'!$D$6:$Z$680,14,FALSE))</f>
        <v/>
      </c>
      <c r="AS37" s="1167" t="str">
        <f>IF(AO32=0,"",VLOOKUP(AO32,'Tablas Magia'!$D$6:$Z$680,18,FALSE))</f>
        <v/>
      </c>
      <c r="AT37" s="5438" t="str">
        <f>IF(AO32=0,"",VLOOKUP(AO32,'Tablas Magia'!$D$6:$Z$680,22,FALSE))</f>
        <v/>
      </c>
      <c r="AU37" s="5439"/>
      <c r="AV37" s="5439"/>
      <c r="AW37" s="5439"/>
      <c r="AX37" s="5439"/>
      <c r="AY37" s="5439"/>
      <c r="AZ37" s="5439"/>
      <c r="BA37" s="5439"/>
      <c r="BB37" s="5439"/>
      <c r="BC37" s="5440"/>
      <c r="BD37" s="1143"/>
      <c r="BE37" s="1137"/>
    </row>
    <row r="38" spans="1:57" ht="12" customHeight="1" x14ac:dyDescent="0.2">
      <c r="A38" s="1137"/>
      <c r="B38" s="549"/>
      <c r="C38" s="5441" t="str">
        <f>IF(C32=0,"",VLOOKUP(C32,'Tablas Magia'!$D$6:$Z$680,23,FALSE))</f>
        <v/>
      </c>
      <c r="D38" s="5442"/>
      <c r="E38" s="5442"/>
      <c r="F38" s="5442"/>
      <c r="G38" s="5442"/>
      <c r="H38" s="5442"/>
      <c r="I38" s="5442"/>
      <c r="J38" s="5442"/>
      <c r="K38" s="5442"/>
      <c r="L38" s="5442"/>
      <c r="M38" s="5442"/>
      <c r="N38" s="5442"/>
      <c r="O38" s="5442"/>
      <c r="P38" s="5442"/>
      <c r="Q38" s="5443"/>
      <c r="R38" s="1143"/>
      <c r="S38" s="1137"/>
      <c r="T38" s="1137"/>
      <c r="U38" s="549"/>
      <c r="V38" s="5441" t="str">
        <f>IF(V32=0,"",VLOOKUP(V32,'Tablas Magia'!$D$6:$Z$680,23,FALSE))</f>
        <v/>
      </c>
      <c r="W38" s="5442"/>
      <c r="X38" s="5442"/>
      <c r="Y38" s="5442"/>
      <c r="Z38" s="5442"/>
      <c r="AA38" s="5442"/>
      <c r="AB38" s="5442"/>
      <c r="AC38" s="5442"/>
      <c r="AD38" s="5442"/>
      <c r="AE38" s="5442"/>
      <c r="AF38" s="5442"/>
      <c r="AG38" s="5442"/>
      <c r="AH38" s="5442"/>
      <c r="AI38" s="5442"/>
      <c r="AJ38" s="5443"/>
      <c r="AK38" s="1143"/>
      <c r="AL38" s="1137"/>
      <c r="AM38" s="1137"/>
      <c r="AN38" s="549"/>
      <c r="AO38" s="5441" t="str">
        <f>IF(AO32=0,"",VLOOKUP(AO32,'Tablas Magia'!$D$6:$Z$680,23,FALSE))</f>
        <v/>
      </c>
      <c r="AP38" s="5442"/>
      <c r="AQ38" s="5442"/>
      <c r="AR38" s="5442"/>
      <c r="AS38" s="5442"/>
      <c r="AT38" s="5442"/>
      <c r="AU38" s="5442"/>
      <c r="AV38" s="5442"/>
      <c r="AW38" s="5442"/>
      <c r="AX38" s="5442"/>
      <c r="AY38" s="5442"/>
      <c r="AZ38" s="5442"/>
      <c r="BA38" s="5442"/>
      <c r="BB38" s="5442"/>
      <c r="BC38" s="5443"/>
      <c r="BD38" s="1143"/>
      <c r="BE38" s="1137"/>
    </row>
    <row r="39" spans="1:57" ht="12" customHeight="1" x14ac:dyDescent="0.2">
      <c r="A39" s="1137"/>
      <c r="B39" s="549"/>
      <c r="C39" s="5444"/>
      <c r="D39" s="5445"/>
      <c r="E39" s="5445"/>
      <c r="F39" s="5445"/>
      <c r="G39" s="5445"/>
      <c r="H39" s="5445"/>
      <c r="I39" s="5445"/>
      <c r="J39" s="5445"/>
      <c r="K39" s="5445"/>
      <c r="L39" s="5445"/>
      <c r="M39" s="5445"/>
      <c r="N39" s="5445"/>
      <c r="O39" s="5445"/>
      <c r="P39" s="5445"/>
      <c r="Q39" s="5446"/>
      <c r="R39" s="1143"/>
      <c r="S39" s="1137"/>
      <c r="T39" s="1137"/>
      <c r="U39" s="549"/>
      <c r="V39" s="5444"/>
      <c r="W39" s="5445"/>
      <c r="X39" s="5445"/>
      <c r="Y39" s="5445"/>
      <c r="Z39" s="5445"/>
      <c r="AA39" s="5445"/>
      <c r="AB39" s="5445"/>
      <c r="AC39" s="5445"/>
      <c r="AD39" s="5445"/>
      <c r="AE39" s="5445"/>
      <c r="AF39" s="5445"/>
      <c r="AG39" s="5445"/>
      <c r="AH39" s="5445"/>
      <c r="AI39" s="5445"/>
      <c r="AJ39" s="5446"/>
      <c r="AK39" s="1143"/>
      <c r="AL39" s="1137"/>
      <c r="AM39" s="1137"/>
      <c r="AN39" s="549"/>
      <c r="AO39" s="5444"/>
      <c r="AP39" s="5445"/>
      <c r="AQ39" s="5445"/>
      <c r="AR39" s="5445"/>
      <c r="AS39" s="5445"/>
      <c r="AT39" s="5445"/>
      <c r="AU39" s="5445"/>
      <c r="AV39" s="5445"/>
      <c r="AW39" s="5445"/>
      <c r="AX39" s="5445"/>
      <c r="AY39" s="5445"/>
      <c r="AZ39" s="5445"/>
      <c r="BA39" s="5445"/>
      <c r="BB39" s="5445"/>
      <c r="BC39" s="5446"/>
      <c r="BD39" s="1143"/>
      <c r="BE39" s="1137"/>
    </row>
    <row r="40" spans="1:57" ht="12" customHeight="1" x14ac:dyDescent="0.2">
      <c r="A40" s="1137"/>
      <c r="B40" s="549"/>
      <c r="C40" s="5444"/>
      <c r="D40" s="5445"/>
      <c r="E40" s="5445"/>
      <c r="F40" s="5445"/>
      <c r="G40" s="5445"/>
      <c r="H40" s="5445"/>
      <c r="I40" s="5445"/>
      <c r="J40" s="5445"/>
      <c r="K40" s="5445"/>
      <c r="L40" s="5445"/>
      <c r="M40" s="5445"/>
      <c r="N40" s="5445"/>
      <c r="O40" s="5445"/>
      <c r="P40" s="5445"/>
      <c r="Q40" s="5446"/>
      <c r="R40" s="1143"/>
      <c r="S40" s="1137"/>
      <c r="T40" s="1137"/>
      <c r="U40" s="549"/>
      <c r="V40" s="5444"/>
      <c r="W40" s="5445"/>
      <c r="X40" s="5445"/>
      <c r="Y40" s="5445"/>
      <c r="Z40" s="5445"/>
      <c r="AA40" s="5445"/>
      <c r="AB40" s="5445"/>
      <c r="AC40" s="5445"/>
      <c r="AD40" s="5445"/>
      <c r="AE40" s="5445"/>
      <c r="AF40" s="5445"/>
      <c r="AG40" s="5445"/>
      <c r="AH40" s="5445"/>
      <c r="AI40" s="5445"/>
      <c r="AJ40" s="5446"/>
      <c r="AK40" s="1143"/>
      <c r="AL40" s="1137"/>
      <c r="AM40" s="1137"/>
      <c r="AN40" s="549"/>
      <c r="AO40" s="5444"/>
      <c r="AP40" s="5445"/>
      <c r="AQ40" s="5445"/>
      <c r="AR40" s="5445"/>
      <c r="AS40" s="5445"/>
      <c r="AT40" s="5445"/>
      <c r="AU40" s="5445"/>
      <c r="AV40" s="5445"/>
      <c r="AW40" s="5445"/>
      <c r="AX40" s="5445"/>
      <c r="AY40" s="5445"/>
      <c r="AZ40" s="5445"/>
      <c r="BA40" s="5445"/>
      <c r="BB40" s="5445"/>
      <c r="BC40" s="5446"/>
      <c r="BD40" s="1143"/>
      <c r="BE40" s="1137"/>
    </row>
    <row r="41" spans="1:57" ht="12" customHeight="1" thickBot="1" x14ac:dyDescent="0.25">
      <c r="A41" s="1137"/>
      <c r="B41" s="549"/>
      <c r="C41" s="5447"/>
      <c r="D41" s="5448"/>
      <c r="E41" s="5448"/>
      <c r="F41" s="5448"/>
      <c r="G41" s="5448"/>
      <c r="H41" s="5448"/>
      <c r="I41" s="5448"/>
      <c r="J41" s="5448"/>
      <c r="K41" s="5448"/>
      <c r="L41" s="5448"/>
      <c r="M41" s="5448"/>
      <c r="N41" s="5448"/>
      <c r="O41" s="5448"/>
      <c r="P41" s="5448"/>
      <c r="Q41" s="5449"/>
      <c r="R41" s="1143"/>
      <c r="S41" s="1137"/>
      <c r="T41" s="1137"/>
      <c r="U41" s="549"/>
      <c r="V41" s="5447"/>
      <c r="W41" s="5448"/>
      <c r="X41" s="5448"/>
      <c r="Y41" s="5448"/>
      <c r="Z41" s="5448"/>
      <c r="AA41" s="5448"/>
      <c r="AB41" s="5448"/>
      <c r="AC41" s="5448"/>
      <c r="AD41" s="5448"/>
      <c r="AE41" s="5448"/>
      <c r="AF41" s="5448"/>
      <c r="AG41" s="5448"/>
      <c r="AH41" s="5448"/>
      <c r="AI41" s="5448"/>
      <c r="AJ41" s="5449"/>
      <c r="AK41" s="1143"/>
      <c r="AL41" s="1137"/>
      <c r="AM41" s="1137"/>
      <c r="AN41" s="549"/>
      <c r="AO41" s="5447"/>
      <c r="AP41" s="5448"/>
      <c r="AQ41" s="5448"/>
      <c r="AR41" s="5448"/>
      <c r="AS41" s="5448"/>
      <c r="AT41" s="5448"/>
      <c r="AU41" s="5448"/>
      <c r="AV41" s="5448"/>
      <c r="AW41" s="5448"/>
      <c r="AX41" s="5448"/>
      <c r="AY41" s="5448"/>
      <c r="AZ41" s="5448"/>
      <c r="BA41" s="5448"/>
      <c r="BB41" s="5448"/>
      <c r="BC41" s="5449"/>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452"/>
      <c r="D43" s="5453"/>
      <c r="E43" s="5453"/>
      <c r="F43" s="5453"/>
      <c r="G43" s="5453"/>
      <c r="H43" s="1157" t="s">
        <v>1627</v>
      </c>
      <c r="I43" s="1158" t="str">
        <f>IF(C43=0,"",VLOOKUP(C43,'Tablas Magia'!$D$6:$Z$680,3,FALSE))</f>
        <v/>
      </c>
      <c r="J43" s="5454" t="s">
        <v>7687</v>
      </c>
      <c r="K43" s="5454"/>
      <c r="L43" s="5454"/>
      <c r="M43" s="5455" t="str">
        <f>IF(C43=0,"",VLOOKUP(C43,'Tablas Magia'!$D$6:$Z$680,2,FALSE))</f>
        <v/>
      </c>
      <c r="N43" s="5455"/>
      <c r="O43" s="5455"/>
      <c r="P43" s="5455"/>
      <c r="Q43" s="5456"/>
      <c r="R43" s="1143"/>
      <c r="S43" s="1137"/>
      <c r="T43" s="1137"/>
      <c r="U43" s="549"/>
      <c r="V43" s="5452"/>
      <c r="W43" s="5453"/>
      <c r="X43" s="5453"/>
      <c r="Y43" s="5453"/>
      <c r="Z43" s="5453"/>
      <c r="AA43" s="1157" t="s">
        <v>1627</v>
      </c>
      <c r="AB43" s="1158" t="str">
        <f>IF(V43=0,"",VLOOKUP(V43,'Tablas Magia'!$D$6:$Z$680,3,FALSE))</f>
        <v/>
      </c>
      <c r="AC43" s="5454" t="s">
        <v>7687</v>
      </c>
      <c r="AD43" s="5454"/>
      <c r="AE43" s="5454"/>
      <c r="AF43" s="5455" t="str">
        <f>IF(V43=0,"",VLOOKUP(V43,'Tablas Magia'!$D$6:$Z$680,2,FALSE))</f>
        <v/>
      </c>
      <c r="AG43" s="5455"/>
      <c r="AH43" s="5455"/>
      <c r="AI43" s="5455"/>
      <c r="AJ43" s="5456"/>
      <c r="AK43" s="1143"/>
      <c r="AL43" s="1137"/>
      <c r="AM43" s="1137"/>
      <c r="AN43" s="549"/>
      <c r="AO43" s="5452"/>
      <c r="AP43" s="5453"/>
      <c r="AQ43" s="5453"/>
      <c r="AR43" s="5453"/>
      <c r="AS43" s="5453"/>
      <c r="AT43" s="1157" t="s">
        <v>1627</v>
      </c>
      <c r="AU43" s="1158" t="str">
        <f>IF(AO43=0,"",VLOOKUP(AO43,'Tablas Magia'!$D$6:$Z$680,3,FALSE))</f>
        <v/>
      </c>
      <c r="AV43" s="5454" t="s">
        <v>7687</v>
      </c>
      <c r="AW43" s="5454"/>
      <c r="AX43" s="5454"/>
      <c r="AY43" s="5455" t="str">
        <f>IF(AO43=0,"",VLOOKUP(AO43,'Tablas Magia'!$D$6:$Z$680,2,FALSE))</f>
        <v/>
      </c>
      <c r="AZ43" s="5455"/>
      <c r="BA43" s="5455"/>
      <c r="BB43" s="5455"/>
      <c r="BC43" s="5456"/>
      <c r="BD43" s="1143"/>
      <c r="BE43" s="1137"/>
    </row>
    <row r="44" spans="1:57" ht="12" customHeight="1" x14ac:dyDescent="0.2">
      <c r="A44" s="1137"/>
      <c r="B44" s="549"/>
      <c r="C44" s="5450" t="s">
        <v>7688</v>
      </c>
      <c r="D44" s="5451"/>
      <c r="E44" s="1159" t="s">
        <v>7689</v>
      </c>
      <c r="F44" s="1159" t="s">
        <v>1820</v>
      </c>
      <c r="G44" s="1159" t="s">
        <v>3334</v>
      </c>
      <c r="H44" s="1160" t="s">
        <v>2165</v>
      </c>
      <c r="I44" s="5424" t="str">
        <f>IF(C43=0,"",VLOOKUP(C43,'Tablas Magia'!$D$6:$Z$680,5,FALSE))</f>
        <v/>
      </c>
      <c r="J44" s="5424"/>
      <c r="K44" s="5423" t="s">
        <v>7690</v>
      </c>
      <c r="L44" s="5423"/>
      <c r="M44" s="5424" t="str">
        <f>IF(C43=0,"",VLOOKUP(C43,'Tablas Magia'!$D$6:$Z$680,6,FALSE))</f>
        <v/>
      </c>
      <c r="N44" s="5424"/>
      <c r="O44" s="5425" t="s">
        <v>7691</v>
      </c>
      <c r="P44" s="5425"/>
      <c r="Q44" s="1161" t="str">
        <f>IF(C43=0,"",VLOOKUP(C43,'Tablas Magia'!$D$6:$Z$680,4,FALSE))</f>
        <v/>
      </c>
      <c r="R44" s="1143"/>
      <c r="S44" s="1137"/>
      <c r="T44" s="1137"/>
      <c r="U44" s="549"/>
      <c r="V44" s="5450" t="s">
        <v>7688</v>
      </c>
      <c r="W44" s="5451"/>
      <c r="X44" s="1159" t="s">
        <v>7689</v>
      </c>
      <c r="Y44" s="1159" t="s">
        <v>1820</v>
      </c>
      <c r="Z44" s="1159" t="s">
        <v>3334</v>
      </c>
      <c r="AA44" s="1160" t="s">
        <v>2165</v>
      </c>
      <c r="AB44" s="5424" t="str">
        <f>IF(V43=0,"",VLOOKUP(V43,'Tablas Magia'!$D$6:$Z$680,5,FALSE))</f>
        <v/>
      </c>
      <c r="AC44" s="5424"/>
      <c r="AD44" s="5423" t="s">
        <v>7690</v>
      </c>
      <c r="AE44" s="5423"/>
      <c r="AF44" s="5424" t="str">
        <f>IF(V43=0,"",VLOOKUP(V43,'Tablas Magia'!$D$6:$Z$680,6,FALSE))</f>
        <v/>
      </c>
      <c r="AG44" s="5424"/>
      <c r="AH44" s="5425" t="s">
        <v>7691</v>
      </c>
      <c r="AI44" s="5425"/>
      <c r="AJ44" s="1161" t="str">
        <f>IF(V43=0,"",VLOOKUP(V43,'Tablas Magia'!$D$6:$Z$680,4,FALSE))</f>
        <v/>
      </c>
      <c r="AK44" s="1143"/>
      <c r="AL44" s="1137"/>
      <c r="AM44" s="1137"/>
      <c r="AN44" s="549"/>
      <c r="AO44" s="5450" t="s">
        <v>7688</v>
      </c>
      <c r="AP44" s="5451"/>
      <c r="AQ44" s="1159" t="s">
        <v>7689</v>
      </c>
      <c r="AR44" s="1159" t="s">
        <v>1820</v>
      </c>
      <c r="AS44" s="1159" t="s">
        <v>3334</v>
      </c>
      <c r="AT44" s="1160" t="s">
        <v>2165</v>
      </c>
      <c r="AU44" s="5424" t="str">
        <f>IF(AO43=0,"",VLOOKUP(AO43,'Tablas Magia'!$D$6:$Z$680,5,FALSE))</f>
        <v/>
      </c>
      <c r="AV44" s="5424"/>
      <c r="AW44" s="5423" t="s">
        <v>7690</v>
      </c>
      <c r="AX44" s="5423"/>
      <c r="AY44" s="5424" t="str">
        <f>IF(AO43=0,"",VLOOKUP(AO43,'Tablas Magia'!$D$6:$Z$680,6,FALSE))</f>
        <v/>
      </c>
      <c r="AZ44" s="5424"/>
      <c r="BA44" s="5425" t="s">
        <v>7691</v>
      </c>
      <c r="BB44" s="5425"/>
      <c r="BC44" s="1161" t="str">
        <f>IF(AO43=0,"",VLOOKUP(AO43,'Tablas Magia'!$D$6:$Z$680,4,FALSE))</f>
        <v/>
      </c>
      <c r="BD44" s="1143"/>
      <c r="BE44" s="1137"/>
    </row>
    <row r="45" spans="1:57" ht="12" customHeight="1" x14ac:dyDescent="0.2">
      <c r="A45" s="1137"/>
      <c r="B45" s="549"/>
      <c r="C45" s="5426" t="s">
        <v>1674</v>
      </c>
      <c r="D45" s="5427"/>
      <c r="E45" s="1162" t="str">
        <f>IF(C43=0,"",VLOOKUP(C43,'Tablas Magia'!$D$6:$Z$680,7,FALSE))</f>
        <v/>
      </c>
      <c r="F45" s="1162" t="str">
        <f>IF(C43=0,"",VLOOKUP(C43,'Tablas Magia'!$D$6:$Z$680,11,FALSE))</f>
        <v/>
      </c>
      <c r="G45" s="1163" t="str">
        <f>IF(C43=0,"",VLOOKUP(C43,'Tablas Magia'!$D$6:$Z$680,15,FALSE))</f>
        <v/>
      </c>
      <c r="H45" s="5428" t="str">
        <f>IF(C43=0,"",VLOOKUP(C43,'Tablas Magia'!$D$6:$Z$680,19,FALSE))</f>
        <v/>
      </c>
      <c r="I45" s="5429"/>
      <c r="J45" s="5429"/>
      <c r="K45" s="5429"/>
      <c r="L45" s="5429"/>
      <c r="M45" s="5429"/>
      <c r="N45" s="5429"/>
      <c r="O45" s="5429"/>
      <c r="P45" s="5429"/>
      <c r="Q45" s="5430"/>
      <c r="R45" s="1143"/>
      <c r="S45" s="1137"/>
      <c r="T45" s="1137"/>
      <c r="U45" s="549"/>
      <c r="V45" s="5426" t="s">
        <v>1674</v>
      </c>
      <c r="W45" s="5427"/>
      <c r="X45" s="1162" t="str">
        <f>IF(V43=0,"",VLOOKUP(V43,'Tablas Magia'!$D$6:$Z$680,7,FALSE))</f>
        <v/>
      </c>
      <c r="Y45" s="1162" t="str">
        <f>IF(V43=0,"",VLOOKUP(V43,'Tablas Magia'!$D$6:$Z$680,11,FALSE))</f>
        <v/>
      </c>
      <c r="Z45" s="1163" t="str">
        <f>IF(V43=0,"",VLOOKUP(V43,'Tablas Magia'!$D$6:$Z$680,15,FALSE))</f>
        <v/>
      </c>
      <c r="AA45" s="5428" t="str">
        <f>IF(V43=0,"",VLOOKUP(V43,'Tablas Magia'!$D$6:$Z$680,19,FALSE))</f>
        <v/>
      </c>
      <c r="AB45" s="5429"/>
      <c r="AC45" s="5429"/>
      <c r="AD45" s="5429"/>
      <c r="AE45" s="5429"/>
      <c r="AF45" s="5429"/>
      <c r="AG45" s="5429"/>
      <c r="AH45" s="5429"/>
      <c r="AI45" s="5429"/>
      <c r="AJ45" s="5430"/>
      <c r="AK45" s="1143"/>
      <c r="AL45" s="1137"/>
      <c r="AM45" s="1137"/>
      <c r="AN45" s="549"/>
      <c r="AO45" s="5426" t="s">
        <v>1674</v>
      </c>
      <c r="AP45" s="5427"/>
      <c r="AQ45" s="1162" t="str">
        <f>IF(AO43=0,"",VLOOKUP(AO43,'Tablas Magia'!$D$6:$Z$680,7,FALSE))</f>
        <v/>
      </c>
      <c r="AR45" s="1162" t="str">
        <f>IF(AO43=0,"",VLOOKUP(AO43,'Tablas Magia'!$D$6:$Z$680,11,FALSE))</f>
        <v/>
      </c>
      <c r="AS45" s="1163" t="str">
        <f>IF(AO43=0,"",VLOOKUP(AO43,'Tablas Magia'!$D$6:$Z$680,15,FALSE))</f>
        <v/>
      </c>
      <c r="AT45" s="5428" t="str">
        <f>IF(AO43=0,"",VLOOKUP(AO43,'Tablas Magia'!$D$6:$Z$680,19,FALSE))</f>
        <v/>
      </c>
      <c r="AU45" s="5429"/>
      <c r="AV45" s="5429"/>
      <c r="AW45" s="5429"/>
      <c r="AX45" s="5429"/>
      <c r="AY45" s="5429"/>
      <c r="AZ45" s="5429"/>
      <c r="BA45" s="5429"/>
      <c r="BB45" s="5429"/>
      <c r="BC45" s="5430"/>
      <c r="BD45" s="1143"/>
      <c r="BE45" s="1137"/>
    </row>
    <row r="46" spans="1:57" ht="12" customHeight="1" x14ac:dyDescent="0.2">
      <c r="A46" s="1137"/>
      <c r="B46" s="549"/>
      <c r="C46" s="5431" t="s">
        <v>4572</v>
      </c>
      <c r="D46" s="5432"/>
      <c r="E46" s="1164" t="str">
        <f>IF(C43=0,"",VLOOKUP(C43,'Tablas Magia'!$D$6:$Z$680,8,FALSE))</f>
        <v/>
      </c>
      <c r="F46" s="1164" t="str">
        <f>IF(C43=0,"",VLOOKUP(C43,'Tablas Magia'!$D$6:$Z$680,12,FALSE))</f>
        <v/>
      </c>
      <c r="G46" s="1165" t="str">
        <f>IF(C43=0,"",VLOOKUP(C43,'Tablas Magia'!$D$6:$Z$680,16,FALSE))</f>
        <v/>
      </c>
      <c r="H46" s="5433" t="str">
        <f>IF(C43=0,"",VLOOKUP(C43,'Tablas Magia'!$D$6:$Z$680,20,FALSE))</f>
        <v/>
      </c>
      <c r="I46" s="5434"/>
      <c r="J46" s="5434"/>
      <c r="K46" s="5434"/>
      <c r="L46" s="5434"/>
      <c r="M46" s="5434"/>
      <c r="N46" s="5434"/>
      <c r="O46" s="5434"/>
      <c r="P46" s="5434"/>
      <c r="Q46" s="5435"/>
      <c r="R46" s="1143"/>
      <c r="S46" s="1137"/>
      <c r="T46" s="1137"/>
      <c r="U46" s="549"/>
      <c r="V46" s="5431" t="s">
        <v>4572</v>
      </c>
      <c r="W46" s="5432"/>
      <c r="X46" s="1164" t="str">
        <f>IF(V43=0,"",VLOOKUP(V43,'Tablas Magia'!$D$6:$Z$680,8,FALSE))</f>
        <v/>
      </c>
      <c r="Y46" s="1164" t="str">
        <f>IF(V43=0,"",VLOOKUP(V43,'Tablas Magia'!$D$6:$Z$680,12,FALSE))</f>
        <v/>
      </c>
      <c r="Z46" s="1165" t="str">
        <f>IF(V43=0,"",VLOOKUP(V43,'Tablas Magia'!$D$6:$Z$680,16,FALSE))</f>
        <v/>
      </c>
      <c r="AA46" s="5433" t="str">
        <f>IF(V43=0,"",VLOOKUP(V43,'Tablas Magia'!$D$6:$Z$680,20,FALSE))</f>
        <v/>
      </c>
      <c r="AB46" s="5434"/>
      <c r="AC46" s="5434"/>
      <c r="AD46" s="5434"/>
      <c r="AE46" s="5434"/>
      <c r="AF46" s="5434"/>
      <c r="AG46" s="5434"/>
      <c r="AH46" s="5434"/>
      <c r="AI46" s="5434"/>
      <c r="AJ46" s="5435"/>
      <c r="AK46" s="1143"/>
      <c r="AL46" s="1137"/>
      <c r="AM46" s="1137"/>
      <c r="AN46" s="549"/>
      <c r="AO46" s="5431" t="s">
        <v>4572</v>
      </c>
      <c r="AP46" s="5432"/>
      <c r="AQ46" s="1164" t="str">
        <f>IF(AO43=0,"",VLOOKUP(AO43,'Tablas Magia'!$D$6:$Z$680,8,FALSE))</f>
        <v/>
      </c>
      <c r="AR46" s="1164" t="str">
        <f>IF(AO43=0,"",VLOOKUP(AO43,'Tablas Magia'!$D$6:$Z$680,12,FALSE))</f>
        <v/>
      </c>
      <c r="AS46" s="1165" t="str">
        <f>IF(AO43=0,"",VLOOKUP(AO43,'Tablas Magia'!$D$6:$Z$680,16,FALSE))</f>
        <v/>
      </c>
      <c r="AT46" s="5433" t="str">
        <f>IF(AO43=0,"",VLOOKUP(AO43,'Tablas Magia'!$D$6:$Z$680,20,FALSE))</f>
        <v/>
      </c>
      <c r="AU46" s="5434"/>
      <c r="AV46" s="5434"/>
      <c r="AW46" s="5434"/>
      <c r="AX46" s="5434"/>
      <c r="AY46" s="5434"/>
      <c r="AZ46" s="5434"/>
      <c r="BA46" s="5434"/>
      <c r="BB46" s="5434"/>
      <c r="BC46" s="5435"/>
      <c r="BD46" s="1143"/>
      <c r="BE46" s="1137"/>
    </row>
    <row r="47" spans="1:57" ht="12" customHeight="1" x14ac:dyDescent="0.2">
      <c r="A47" s="1137"/>
      <c r="B47" s="549"/>
      <c r="C47" s="5426" t="s">
        <v>4573</v>
      </c>
      <c r="D47" s="5427"/>
      <c r="E47" s="1162" t="str">
        <f>IF(C43=0,"",VLOOKUP(C43,'Tablas Magia'!$D$6:$Z$680,9,FALSE))</f>
        <v/>
      </c>
      <c r="F47" s="1162" t="str">
        <f>IF(C43=0,"",VLOOKUP(C43,'Tablas Magia'!$D$6:$Z$680,13,FALSE))</f>
        <v/>
      </c>
      <c r="G47" s="1163" t="str">
        <f>IF(C43=0,"",VLOOKUP(C43,'Tablas Magia'!$D$6:$Z$680,17,FALSE))</f>
        <v/>
      </c>
      <c r="H47" s="5428" t="str">
        <f>IF(C43=0,"",VLOOKUP(C43,'Tablas Magia'!$D$6:$Z$680,21,FALSE))</f>
        <v/>
      </c>
      <c r="I47" s="5429"/>
      <c r="J47" s="5429"/>
      <c r="K47" s="5429"/>
      <c r="L47" s="5429"/>
      <c r="M47" s="5429"/>
      <c r="N47" s="5429"/>
      <c r="O47" s="5429"/>
      <c r="P47" s="5429"/>
      <c r="Q47" s="5430"/>
      <c r="R47" s="1143"/>
      <c r="S47" s="1137"/>
      <c r="T47" s="1137"/>
      <c r="U47" s="549"/>
      <c r="V47" s="5426" t="s">
        <v>4573</v>
      </c>
      <c r="W47" s="5427"/>
      <c r="X47" s="1162" t="str">
        <f>IF(V43=0,"",VLOOKUP(V43,'Tablas Magia'!$D$6:$Z$680,9,FALSE))</f>
        <v/>
      </c>
      <c r="Y47" s="1162" t="str">
        <f>IF(V43=0,"",VLOOKUP(V43,'Tablas Magia'!$D$6:$Z$680,13,FALSE))</f>
        <v/>
      </c>
      <c r="Z47" s="1163" t="str">
        <f>IF(V43=0,"",VLOOKUP(V43,'Tablas Magia'!$D$6:$Z$680,17,FALSE))</f>
        <v/>
      </c>
      <c r="AA47" s="5428" t="str">
        <f>IF(V43=0,"",VLOOKUP(V43,'Tablas Magia'!$D$6:$Z$680,21,FALSE))</f>
        <v/>
      </c>
      <c r="AB47" s="5429"/>
      <c r="AC47" s="5429"/>
      <c r="AD47" s="5429"/>
      <c r="AE47" s="5429"/>
      <c r="AF47" s="5429"/>
      <c r="AG47" s="5429"/>
      <c r="AH47" s="5429"/>
      <c r="AI47" s="5429"/>
      <c r="AJ47" s="5430"/>
      <c r="AK47" s="1143"/>
      <c r="AL47" s="1137"/>
      <c r="AM47" s="1137"/>
      <c r="AN47" s="549"/>
      <c r="AO47" s="5426" t="s">
        <v>4573</v>
      </c>
      <c r="AP47" s="5427"/>
      <c r="AQ47" s="1162" t="str">
        <f>IF(AO43=0,"",VLOOKUP(AO43,'Tablas Magia'!$D$6:$Z$680,9,FALSE))</f>
        <v/>
      </c>
      <c r="AR47" s="1162" t="str">
        <f>IF(AO43=0,"",VLOOKUP(AO43,'Tablas Magia'!$D$6:$Z$680,13,FALSE))</f>
        <v/>
      </c>
      <c r="AS47" s="1163" t="str">
        <f>IF(AO43=0,"",VLOOKUP(AO43,'Tablas Magia'!$D$6:$Z$680,17,FALSE))</f>
        <v/>
      </c>
      <c r="AT47" s="5428" t="str">
        <f>IF(AO43=0,"",VLOOKUP(AO43,'Tablas Magia'!$D$6:$Z$680,21,FALSE))</f>
        <v/>
      </c>
      <c r="AU47" s="5429"/>
      <c r="AV47" s="5429"/>
      <c r="AW47" s="5429"/>
      <c r="AX47" s="5429"/>
      <c r="AY47" s="5429"/>
      <c r="AZ47" s="5429"/>
      <c r="BA47" s="5429"/>
      <c r="BB47" s="5429"/>
      <c r="BC47" s="5430"/>
      <c r="BD47" s="1143"/>
      <c r="BE47" s="1137"/>
    </row>
    <row r="48" spans="1:57" ht="12" customHeight="1" thickBot="1" x14ac:dyDescent="0.25">
      <c r="A48" s="1137"/>
      <c r="B48" s="549"/>
      <c r="C48" s="5436" t="s">
        <v>4574</v>
      </c>
      <c r="D48" s="5437"/>
      <c r="E48" s="1166" t="str">
        <f>IF(C43=0,"",VLOOKUP(C43,'Tablas Magia'!$D$6:$Z$680,10,FALSE))</f>
        <v/>
      </c>
      <c r="F48" s="1166" t="str">
        <f>IF(C43=0,"",VLOOKUP(C43,'Tablas Magia'!$D$6:$Z$680,14,FALSE))</f>
        <v/>
      </c>
      <c r="G48" s="1167" t="str">
        <f>IF(C43=0,"",VLOOKUP(C43,'Tablas Magia'!$D$6:$Z$680,18,FALSE))</f>
        <v/>
      </c>
      <c r="H48" s="5438" t="str">
        <f>IF(C43=0,"",VLOOKUP(C43,'Tablas Magia'!$D$6:$Z$680,22,FALSE))</f>
        <v/>
      </c>
      <c r="I48" s="5439"/>
      <c r="J48" s="5439"/>
      <c r="K48" s="5439"/>
      <c r="L48" s="5439"/>
      <c r="M48" s="5439"/>
      <c r="N48" s="5439"/>
      <c r="O48" s="5439"/>
      <c r="P48" s="5439"/>
      <c r="Q48" s="5440"/>
      <c r="R48" s="1143"/>
      <c r="S48" s="1137"/>
      <c r="T48" s="1137"/>
      <c r="U48" s="549"/>
      <c r="V48" s="5436" t="s">
        <v>4574</v>
      </c>
      <c r="W48" s="5437"/>
      <c r="X48" s="1166" t="str">
        <f>IF(V43=0,"",VLOOKUP(V43,'Tablas Magia'!$D$6:$Z$680,10,FALSE))</f>
        <v/>
      </c>
      <c r="Y48" s="1166" t="str">
        <f>IF(V43=0,"",VLOOKUP(V43,'Tablas Magia'!$D$6:$Z$680,14,FALSE))</f>
        <v/>
      </c>
      <c r="Z48" s="1167" t="str">
        <f>IF(V43=0,"",VLOOKUP(V43,'Tablas Magia'!$D$6:$Z$680,18,FALSE))</f>
        <v/>
      </c>
      <c r="AA48" s="5438" t="str">
        <f>IF(V43=0,"",VLOOKUP(V43,'Tablas Magia'!$D$6:$Z$680,22,FALSE))</f>
        <v/>
      </c>
      <c r="AB48" s="5439"/>
      <c r="AC48" s="5439"/>
      <c r="AD48" s="5439"/>
      <c r="AE48" s="5439"/>
      <c r="AF48" s="5439"/>
      <c r="AG48" s="5439"/>
      <c r="AH48" s="5439"/>
      <c r="AI48" s="5439"/>
      <c r="AJ48" s="5440"/>
      <c r="AK48" s="1143"/>
      <c r="AL48" s="1137"/>
      <c r="AM48" s="1137"/>
      <c r="AN48" s="549"/>
      <c r="AO48" s="5436" t="s">
        <v>4574</v>
      </c>
      <c r="AP48" s="5437"/>
      <c r="AQ48" s="1166" t="str">
        <f>IF(AO43=0,"",VLOOKUP(AO43,'Tablas Magia'!$D$6:$Z$680,10,FALSE))</f>
        <v/>
      </c>
      <c r="AR48" s="1166" t="str">
        <f>IF(AO43=0,"",VLOOKUP(AO43,'Tablas Magia'!$D$6:$Z$680,14,FALSE))</f>
        <v/>
      </c>
      <c r="AS48" s="1167" t="str">
        <f>IF(AO43=0,"",VLOOKUP(AO43,'Tablas Magia'!$D$6:$Z$680,18,FALSE))</f>
        <v/>
      </c>
      <c r="AT48" s="5438" t="str">
        <f>IF(AO43=0,"",VLOOKUP(AO43,'Tablas Magia'!$D$6:$Z$680,22,FALSE))</f>
        <v/>
      </c>
      <c r="AU48" s="5439"/>
      <c r="AV48" s="5439"/>
      <c r="AW48" s="5439"/>
      <c r="AX48" s="5439"/>
      <c r="AY48" s="5439"/>
      <c r="AZ48" s="5439"/>
      <c r="BA48" s="5439"/>
      <c r="BB48" s="5439"/>
      <c r="BC48" s="5440"/>
      <c r="BD48" s="1143"/>
      <c r="BE48" s="1137"/>
    </row>
    <row r="49" spans="1:57" ht="12" customHeight="1" x14ac:dyDescent="0.2">
      <c r="A49" s="1137"/>
      <c r="B49" s="549"/>
      <c r="C49" s="5441" t="str">
        <f>IF(C43=0,"",VLOOKUP(C43,'Tablas Magia'!$D$6:$Z$680,23,FALSE))</f>
        <v/>
      </c>
      <c r="D49" s="5442"/>
      <c r="E49" s="5442"/>
      <c r="F49" s="5442"/>
      <c r="G49" s="5442"/>
      <c r="H49" s="5442"/>
      <c r="I49" s="5442"/>
      <c r="J49" s="5442"/>
      <c r="K49" s="5442"/>
      <c r="L49" s="5442"/>
      <c r="M49" s="5442"/>
      <c r="N49" s="5442"/>
      <c r="O49" s="5442"/>
      <c r="P49" s="5442"/>
      <c r="Q49" s="5443"/>
      <c r="R49" s="1143"/>
      <c r="S49" s="1137"/>
      <c r="T49" s="1137"/>
      <c r="U49" s="549"/>
      <c r="V49" s="5441" t="str">
        <f>IF(V43=0,"",VLOOKUP(V43,'Tablas Magia'!$D$6:$Z$680,23,FALSE))</f>
        <v/>
      </c>
      <c r="W49" s="5442"/>
      <c r="X49" s="5442"/>
      <c r="Y49" s="5442"/>
      <c r="Z49" s="5442"/>
      <c r="AA49" s="5442"/>
      <c r="AB49" s="5442"/>
      <c r="AC49" s="5442"/>
      <c r="AD49" s="5442"/>
      <c r="AE49" s="5442"/>
      <c r="AF49" s="5442"/>
      <c r="AG49" s="5442"/>
      <c r="AH49" s="5442"/>
      <c r="AI49" s="5442"/>
      <c r="AJ49" s="5443"/>
      <c r="AK49" s="1143"/>
      <c r="AL49" s="1137"/>
      <c r="AM49" s="1137"/>
      <c r="AN49" s="549"/>
      <c r="AO49" s="5441" t="str">
        <f>IF(AO43=0,"",VLOOKUP(AO43,'Tablas Magia'!$D$6:$Z$680,23,FALSE))</f>
        <v/>
      </c>
      <c r="AP49" s="5442"/>
      <c r="AQ49" s="5442"/>
      <c r="AR49" s="5442"/>
      <c r="AS49" s="5442"/>
      <c r="AT49" s="5442"/>
      <c r="AU49" s="5442"/>
      <c r="AV49" s="5442"/>
      <c r="AW49" s="5442"/>
      <c r="AX49" s="5442"/>
      <c r="AY49" s="5442"/>
      <c r="AZ49" s="5442"/>
      <c r="BA49" s="5442"/>
      <c r="BB49" s="5442"/>
      <c r="BC49" s="5443"/>
      <c r="BD49" s="1143"/>
      <c r="BE49" s="1137"/>
    </row>
    <row r="50" spans="1:57" ht="12" customHeight="1" x14ac:dyDescent="0.2">
      <c r="A50" s="1137"/>
      <c r="B50" s="549"/>
      <c r="C50" s="5444"/>
      <c r="D50" s="5445"/>
      <c r="E50" s="5445"/>
      <c r="F50" s="5445"/>
      <c r="G50" s="5445"/>
      <c r="H50" s="5445"/>
      <c r="I50" s="5445"/>
      <c r="J50" s="5445"/>
      <c r="K50" s="5445"/>
      <c r="L50" s="5445"/>
      <c r="M50" s="5445"/>
      <c r="N50" s="5445"/>
      <c r="O50" s="5445"/>
      <c r="P50" s="5445"/>
      <c r="Q50" s="5446"/>
      <c r="R50" s="1143"/>
      <c r="S50" s="1137"/>
      <c r="T50" s="1137"/>
      <c r="U50" s="549"/>
      <c r="V50" s="5444"/>
      <c r="W50" s="5445"/>
      <c r="X50" s="5445"/>
      <c r="Y50" s="5445"/>
      <c r="Z50" s="5445"/>
      <c r="AA50" s="5445"/>
      <c r="AB50" s="5445"/>
      <c r="AC50" s="5445"/>
      <c r="AD50" s="5445"/>
      <c r="AE50" s="5445"/>
      <c r="AF50" s="5445"/>
      <c r="AG50" s="5445"/>
      <c r="AH50" s="5445"/>
      <c r="AI50" s="5445"/>
      <c r="AJ50" s="5446"/>
      <c r="AK50" s="1143"/>
      <c r="AL50" s="1137"/>
      <c r="AM50" s="1137"/>
      <c r="AN50" s="549"/>
      <c r="AO50" s="5444"/>
      <c r="AP50" s="5445"/>
      <c r="AQ50" s="5445"/>
      <c r="AR50" s="5445"/>
      <c r="AS50" s="5445"/>
      <c r="AT50" s="5445"/>
      <c r="AU50" s="5445"/>
      <c r="AV50" s="5445"/>
      <c r="AW50" s="5445"/>
      <c r="AX50" s="5445"/>
      <c r="AY50" s="5445"/>
      <c r="AZ50" s="5445"/>
      <c r="BA50" s="5445"/>
      <c r="BB50" s="5445"/>
      <c r="BC50" s="5446"/>
      <c r="BD50" s="1143"/>
      <c r="BE50" s="1137"/>
    </row>
    <row r="51" spans="1:57" ht="12" customHeight="1" x14ac:dyDescent="0.2">
      <c r="A51" s="1137"/>
      <c r="B51" s="549"/>
      <c r="C51" s="5444"/>
      <c r="D51" s="5445"/>
      <c r="E51" s="5445"/>
      <c r="F51" s="5445"/>
      <c r="G51" s="5445"/>
      <c r="H51" s="5445"/>
      <c r="I51" s="5445"/>
      <c r="J51" s="5445"/>
      <c r="K51" s="5445"/>
      <c r="L51" s="5445"/>
      <c r="M51" s="5445"/>
      <c r="N51" s="5445"/>
      <c r="O51" s="5445"/>
      <c r="P51" s="5445"/>
      <c r="Q51" s="5446"/>
      <c r="R51" s="1143"/>
      <c r="S51" s="1137"/>
      <c r="T51" s="1137"/>
      <c r="U51" s="549"/>
      <c r="V51" s="5444"/>
      <c r="W51" s="5445"/>
      <c r="X51" s="5445"/>
      <c r="Y51" s="5445"/>
      <c r="Z51" s="5445"/>
      <c r="AA51" s="5445"/>
      <c r="AB51" s="5445"/>
      <c r="AC51" s="5445"/>
      <c r="AD51" s="5445"/>
      <c r="AE51" s="5445"/>
      <c r="AF51" s="5445"/>
      <c r="AG51" s="5445"/>
      <c r="AH51" s="5445"/>
      <c r="AI51" s="5445"/>
      <c r="AJ51" s="5446"/>
      <c r="AK51" s="1143"/>
      <c r="AL51" s="1137"/>
      <c r="AM51" s="1137"/>
      <c r="AN51" s="549"/>
      <c r="AO51" s="5444"/>
      <c r="AP51" s="5445"/>
      <c r="AQ51" s="5445"/>
      <c r="AR51" s="5445"/>
      <c r="AS51" s="5445"/>
      <c r="AT51" s="5445"/>
      <c r="AU51" s="5445"/>
      <c r="AV51" s="5445"/>
      <c r="AW51" s="5445"/>
      <c r="AX51" s="5445"/>
      <c r="AY51" s="5445"/>
      <c r="AZ51" s="5445"/>
      <c r="BA51" s="5445"/>
      <c r="BB51" s="5445"/>
      <c r="BC51" s="5446"/>
      <c r="BD51" s="1143"/>
      <c r="BE51" s="1137"/>
    </row>
    <row r="52" spans="1:57" ht="12" customHeight="1" thickBot="1" x14ac:dyDescent="0.25">
      <c r="A52" s="1137"/>
      <c r="B52" s="549"/>
      <c r="C52" s="5447"/>
      <c r="D52" s="5448"/>
      <c r="E52" s="5448"/>
      <c r="F52" s="5448"/>
      <c r="G52" s="5448"/>
      <c r="H52" s="5448"/>
      <c r="I52" s="5448"/>
      <c r="J52" s="5448"/>
      <c r="K52" s="5448"/>
      <c r="L52" s="5448"/>
      <c r="M52" s="5448"/>
      <c r="N52" s="5448"/>
      <c r="O52" s="5448"/>
      <c r="P52" s="5448"/>
      <c r="Q52" s="5449"/>
      <c r="R52" s="1143"/>
      <c r="S52" s="1137"/>
      <c r="T52" s="1137"/>
      <c r="U52" s="549"/>
      <c r="V52" s="5447"/>
      <c r="W52" s="5448"/>
      <c r="X52" s="5448"/>
      <c r="Y52" s="5448"/>
      <c r="Z52" s="5448"/>
      <c r="AA52" s="5448"/>
      <c r="AB52" s="5448"/>
      <c r="AC52" s="5448"/>
      <c r="AD52" s="5448"/>
      <c r="AE52" s="5448"/>
      <c r="AF52" s="5448"/>
      <c r="AG52" s="5448"/>
      <c r="AH52" s="5448"/>
      <c r="AI52" s="5448"/>
      <c r="AJ52" s="5449"/>
      <c r="AK52" s="1143"/>
      <c r="AL52" s="1137"/>
      <c r="AM52" s="1137"/>
      <c r="AN52" s="549"/>
      <c r="AO52" s="5447"/>
      <c r="AP52" s="5448"/>
      <c r="AQ52" s="5448"/>
      <c r="AR52" s="5448"/>
      <c r="AS52" s="5448"/>
      <c r="AT52" s="5448"/>
      <c r="AU52" s="5448"/>
      <c r="AV52" s="5448"/>
      <c r="AW52" s="5448"/>
      <c r="AX52" s="5448"/>
      <c r="AY52" s="5448"/>
      <c r="AZ52" s="5448"/>
      <c r="BA52" s="5448"/>
      <c r="BB52" s="5448"/>
      <c r="BC52" s="5449"/>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452"/>
      <c r="D54" s="5453"/>
      <c r="E54" s="5453"/>
      <c r="F54" s="5453"/>
      <c r="G54" s="5453"/>
      <c r="H54" s="1157" t="s">
        <v>1627</v>
      </c>
      <c r="I54" s="1158" t="str">
        <f>IF(C54=0,"",VLOOKUP(C54,'Tablas Magia'!$D$6:$Z$680,3,FALSE))</f>
        <v/>
      </c>
      <c r="J54" s="5454" t="s">
        <v>7687</v>
      </c>
      <c r="K54" s="5454"/>
      <c r="L54" s="5454"/>
      <c r="M54" s="5455" t="str">
        <f>IF(C54=0,"",VLOOKUP(C54,'Tablas Magia'!$D$6:$Z$680,2,FALSE))</f>
        <v/>
      </c>
      <c r="N54" s="5455"/>
      <c r="O54" s="5455"/>
      <c r="P54" s="5455"/>
      <c r="Q54" s="5456"/>
      <c r="R54" s="1143"/>
      <c r="S54" s="1137"/>
      <c r="T54" s="1137"/>
      <c r="U54" s="549"/>
      <c r="V54" s="5452"/>
      <c r="W54" s="5453"/>
      <c r="X54" s="5453"/>
      <c r="Y54" s="5453"/>
      <c r="Z54" s="5453"/>
      <c r="AA54" s="1157" t="s">
        <v>1627</v>
      </c>
      <c r="AB54" s="1158" t="str">
        <f>IF(V54=0,"",VLOOKUP(V54,'Tablas Magia'!$D$6:$Z$680,3,FALSE))</f>
        <v/>
      </c>
      <c r="AC54" s="5454" t="s">
        <v>7687</v>
      </c>
      <c r="AD54" s="5454"/>
      <c r="AE54" s="5454"/>
      <c r="AF54" s="5455" t="str">
        <f>IF(V54=0,"",VLOOKUP(V54,'Tablas Magia'!$D$6:$Z$680,2,FALSE))</f>
        <v/>
      </c>
      <c r="AG54" s="5455"/>
      <c r="AH54" s="5455"/>
      <c r="AI54" s="5455"/>
      <c r="AJ54" s="5456"/>
      <c r="AK54" s="1143"/>
      <c r="AL54" s="1137"/>
      <c r="AM54" s="1137"/>
      <c r="AN54" s="549"/>
      <c r="AO54" s="5452"/>
      <c r="AP54" s="5453"/>
      <c r="AQ54" s="5453"/>
      <c r="AR54" s="5453"/>
      <c r="AS54" s="5453"/>
      <c r="AT54" s="1157" t="s">
        <v>1627</v>
      </c>
      <c r="AU54" s="1158" t="str">
        <f>IF(AO54=0,"",VLOOKUP(AO54,'Tablas Magia'!$D$6:$Z$680,3,FALSE))</f>
        <v/>
      </c>
      <c r="AV54" s="5454" t="s">
        <v>7687</v>
      </c>
      <c r="AW54" s="5454"/>
      <c r="AX54" s="5454"/>
      <c r="AY54" s="5455" t="str">
        <f>IF(AO54=0,"",VLOOKUP(AO54,'Tablas Magia'!$D$6:$Z$680,2,FALSE))</f>
        <v/>
      </c>
      <c r="AZ54" s="5455"/>
      <c r="BA54" s="5455"/>
      <c r="BB54" s="5455"/>
      <c r="BC54" s="5456"/>
      <c r="BD54" s="1143"/>
      <c r="BE54" s="1137"/>
    </row>
    <row r="55" spans="1:57" ht="12" customHeight="1" x14ac:dyDescent="0.2">
      <c r="A55" s="1137"/>
      <c r="B55" s="549"/>
      <c r="C55" s="5450" t="s">
        <v>7688</v>
      </c>
      <c r="D55" s="5451"/>
      <c r="E55" s="1159" t="s">
        <v>7689</v>
      </c>
      <c r="F55" s="1159" t="s">
        <v>1820</v>
      </c>
      <c r="G55" s="1159" t="s">
        <v>3334</v>
      </c>
      <c r="H55" s="1160" t="s">
        <v>2165</v>
      </c>
      <c r="I55" s="5424" t="str">
        <f>IF(C54=0,"",VLOOKUP(C54,'Tablas Magia'!$D$6:$Z$680,5,FALSE))</f>
        <v/>
      </c>
      <c r="J55" s="5424"/>
      <c r="K55" s="5423" t="s">
        <v>7690</v>
      </c>
      <c r="L55" s="5423"/>
      <c r="M55" s="5424" t="str">
        <f>IF(C54=0,"",VLOOKUP(C54,'Tablas Magia'!$D$6:$Z$680,6,FALSE))</f>
        <v/>
      </c>
      <c r="N55" s="5424"/>
      <c r="O55" s="5425" t="s">
        <v>7691</v>
      </c>
      <c r="P55" s="5425"/>
      <c r="Q55" s="1161" t="str">
        <f>IF(C54=0,"",VLOOKUP(C54,'Tablas Magia'!$D$6:$Z$680,4,FALSE))</f>
        <v/>
      </c>
      <c r="R55" s="1143"/>
      <c r="S55" s="1137"/>
      <c r="T55" s="1137"/>
      <c r="U55" s="549"/>
      <c r="V55" s="5450" t="s">
        <v>7688</v>
      </c>
      <c r="W55" s="5451"/>
      <c r="X55" s="1159" t="s">
        <v>7689</v>
      </c>
      <c r="Y55" s="1159" t="s">
        <v>1820</v>
      </c>
      <c r="Z55" s="1159" t="s">
        <v>3334</v>
      </c>
      <c r="AA55" s="1160" t="s">
        <v>2165</v>
      </c>
      <c r="AB55" s="5424" t="str">
        <f>IF(V54=0,"",VLOOKUP(V54,'Tablas Magia'!$D$6:$Z$680,5,FALSE))</f>
        <v/>
      </c>
      <c r="AC55" s="5424"/>
      <c r="AD55" s="5423" t="s">
        <v>7690</v>
      </c>
      <c r="AE55" s="5423"/>
      <c r="AF55" s="5424" t="str">
        <f>IF(V54=0,"",VLOOKUP(V54,'Tablas Magia'!$D$6:$Z$680,6,FALSE))</f>
        <v/>
      </c>
      <c r="AG55" s="5424"/>
      <c r="AH55" s="5425" t="s">
        <v>7691</v>
      </c>
      <c r="AI55" s="5425"/>
      <c r="AJ55" s="1161" t="str">
        <f>IF(V54=0,"",VLOOKUP(V54,'Tablas Magia'!$D$6:$Z$680,4,FALSE))</f>
        <v/>
      </c>
      <c r="AK55" s="1143"/>
      <c r="AL55" s="1137"/>
      <c r="AM55" s="1137"/>
      <c r="AN55" s="549"/>
      <c r="AO55" s="5450" t="s">
        <v>7688</v>
      </c>
      <c r="AP55" s="5451"/>
      <c r="AQ55" s="1159" t="s">
        <v>7689</v>
      </c>
      <c r="AR55" s="1159" t="s">
        <v>1820</v>
      </c>
      <c r="AS55" s="1159" t="s">
        <v>3334</v>
      </c>
      <c r="AT55" s="1160" t="s">
        <v>2165</v>
      </c>
      <c r="AU55" s="5424" t="str">
        <f>IF(AO54=0,"",VLOOKUP(AO54,'Tablas Magia'!$D$6:$Z$680,5,FALSE))</f>
        <v/>
      </c>
      <c r="AV55" s="5424"/>
      <c r="AW55" s="5423" t="s">
        <v>7690</v>
      </c>
      <c r="AX55" s="5423"/>
      <c r="AY55" s="5424" t="str">
        <f>IF(AO54=0,"",VLOOKUP(AO54,'Tablas Magia'!$D$6:$Z$680,6,FALSE))</f>
        <v/>
      </c>
      <c r="AZ55" s="5424"/>
      <c r="BA55" s="5425" t="s">
        <v>7691</v>
      </c>
      <c r="BB55" s="5425"/>
      <c r="BC55" s="1161" t="str">
        <f>IF(AO54=0,"",VLOOKUP(AO54,'Tablas Magia'!$D$6:$Z$680,4,FALSE))</f>
        <v/>
      </c>
      <c r="BD55" s="1143"/>
      <c r="BE55" s="1137"/>
    </row>
    <row r="56" spans="1:57" ht="12" customHeight="1" x14ac:dyDescent="0.2">
      <c r="A56" s="1137"/>
      <c r="B56" s="549"/>
      <c r="C56" s="5426" t="s">
        <v>1674</v>
      </c>
      <c r="D56" s="5427"/>
      <c r="E56" s="1162" t="str">
        <f>IF(C54=0,"",VLOOKUP(C54,'Tablas Magia'!$D$6:$Z$680,7,FALSE))</f>
        <v/>
      </c>
      <c r="F56" s="1162" t="str">
        <f>IF(C54=0,"",VLOOKUP(C54,'Tablas Magia'!$D$6:$Z$680,11,FALSE))</f>
        <v/>
      </c>
      <c r="G56" s="1163" t="str">
        <f>IF(C54=0,"",VLOOKUP(C54,'Tablas Magia'!$D$6:$Z$680,15,FALSE))</f>
        <v/>
      </c>
      <c r="H56" s="5428" t="str">
        <f>IF(C54=0,"",VLOOKUP(C54,'Tablas Magia'!$D$6:$Z$680,19,FALSE))</f>
        <v/>
      </c>
      <c r="I56" s="5429"/>
      <c r="J56" s="5429"/>
      <c r="K56" s="5429"/>
      <c r="L56" s="5429"/>
      <c r="M56" s="5429"/>
      <c r="N56" s="5429"/>
      <c r="O56" s="5429"/>
      <c r="P56" s="5429"/>
      <c r="Q56" s="5430"/>
      <c r="R56" s="1143"/>
      <c r="S56" s="1137"/>
      <c r="T56" s="1137"/>
      <c r="U56" s="549"/>
      <c r="V56" s="5426" t="s">
        <v>1674</v>
      </c>
      <c r="W56" s="5427"/>
      <c r="X56" s="1162" t="str">
        <f>IF(V54=0,"",VLOOKUP(V54,'Tablas Magia'!$D$6:$Z$680,7,FALSE))</f>
        <v/>
      </c>
      <c r="Y56" s="1162" t="str">
        <f>IF(V54=0,"",VLOOKUP(V54,'Tablas Magia'!$D$6:$Z$680,11,FALSE))</f>
        <v/>
      </c>
      <c r="Z56" s="1163" t="str">
        <f>IF(V54=0,"",VLOOKUP(V54,'Tablas Magia'!$D$6:$Z$680,15,FALSE))</f>
        <v/>
      </c>
      <c r="AA56" s="5428" t="str">
        <f>IF(V54=0,"",VLOOKUP(V54,'Tablas Magia'!$D$6:$Z$680,19,FALSE))</f>
        <v/>
      </c>
      <c r="AB56" s="5429"/>
      <c r="AC56" s="5429"/>
      <c r="AD56" s="5429"/>
      <c r="AE56" s="5429"/>
      <c r="AF56" s="5429"/>
      <c r="AG56" s="5429"/>
      <c r="AH56" s="5429"/>
      <c r="AI56" s="5429"/>
      <c r="AJ56" s="5430"/>
      <c r="AK56" s="1143"/>
      <c r="AL56" s="1137"/>
      <c r="AM56" s="1137"/>
      <c r="AN56" s="549"/>
      <c r="AO56" s="5426" t="s">
        <v>1674</v>
      </c>
      <c r="AP56" s="5427"/>
      <c r="AQ56" s="1162" t="str">
        <f>IF(AO54=0,"",VLOOKUP(AO54,'Tablas Magia'!$D$6:$Z$680,7,FALSE))</f>
        <v/>
      </c>
      <c r="AR56" s="1162" t="str">
        <f>IF(AO54=0,"",VLOOKUP(AO54,'Tablas Magia'!$D$6:$Z$680,11,FALSE))</f>
        <v/>
      </c>
      <c r="AS56" s="1163" t="str">
        <f>IF(AO54=0,"",VLOOKUP(AO54,'Tablas Magia'!$D$6:$Z$680,15,FALSE))</f>
        <v/>
      </c>
      <c r="AT56" s="5428" t="str">
        <f>IF(AO54=0,"",VLOOKUP(AO54,'Tablas Magia'!$D$6:$Z$680,19,FALSE))</f>
        <v/>
      </c>
      <c r="AU56" s="5429"/>
      <c r="AV56" s="5429"/>
      <c r="AW56" s="5429"/>
      <c r="AX56" s="5429"/>
      <c r="AY56" s="5429"/>
      <c r="AZ56" s="5429"/>
      <c r="BA56" s="5429"/>
      <c r="BB56" s="5429"/>
      <c r="BC56" s="5430"/>
      <c r="BD56" s="1143"/>
      <c r="BE56" s="1137"/>
    </row>
    <row r="57" spans="1:57" ht="12" customHeight="1" x14ac:dyDescent="0.2">
      <c r="A57" s="1137"/>
      <c r="B57" s="549"/>
      <c r="C57" s="5431" t="s">
        <v>4572</v>
      </c>
      <c r="D57" s="5432"/>
      <c r="E57" s="1164" t="str">
        <f>IF(C54=0,"",VLOOKUP(C54,'Tablas Magia'!$D$6:$Z$680,8,FALSE))</f>
        <v/>
      </c>
      <c r="F57" s="1164" t="str">
        <f>IF(C54=0,"",VLOOKUP(C54,'Tablas Magia'!$D$6:$Z$680,12,FALSE))</f>
        <v/>
      </c>
      <c r="G57" s="1165" t="str">
        <f>IF(C54=0,"",VLOOKUP(C54,'Tablas Magia'!$D$6:$Z$680,16,FALSE))</f>
        <v/>
      </c>
      <c r="H57" s="5433" t="str">
        <f>IF(C54=0,"",VLOOKUP(C54,'Tablas Magia'!$D$6:$Z$680,20,FALSE))</f>
        <v/>
      </c>
      <c r="I57" s="5434"/>
      <c r="J57" s="5434"/>
      <c r="K57" s="5434"/>
      <c r="L57" s="5434"/>
      <c r="M57" s="5434"/>
      <c r="N57" s="5434"/>
      <c r="O57" s="5434"/>
      <c r="P57" s="5434"/>
      <c r="Q57" s="5435"/>
      <c r="R57" s="1143"/>
      <c r="S57" s="1137"/>
      <c r="T57" s="1137"/>
      <c r="U57" s="549"/>
      <c r="V57" s="5431" t="s">
        <v>4572</v>
      </c>
      <c r="W57" s="5432"/>
      <c r="X57" s="1164" t="str">
        <f>IF(V54=0,"",VLOOKUP(V54,'Tablas Magia'!$D$6:$Z$680,8,FALSE))</f>
        <v/>
      </c>
      <c r="Y57" s="1164" t="str">
        <f>IF(V54=0,"",VLOOKUP(V54,'Tablas Magia'!$D$6:$Z$680,12,FALSE))</f>
        <v/>
      </c>
      <c r="Z57" s="1165" t="str">
        <f>IF(V54=0,"",VLOOKUP(V54,'Tablas Magia'!$D$6:$Z$680,16,FALSE))</f>
        <v/>
      </c>
      <c r="AA57" s="5433" t="str">
        <f>IF(V54=0,"",VLOOKUP(V54,'Tablas Magia'!$D$6:$Z$680,20,FALSE))</f>
        <v/>
      </c>
      <c r="AB57" s="5434"/>
      <c r="AC57" s="5434"/>
      <c r="AD57" s="5434"/>
      <c r="AE57" s="5434"/>
      <c r="AF57" s="5434"/>
      <c r="AG57" s="5434"/>
      <c r="AH57" s="5434"/>
      <c r="AI57" s="5434"/>
      <c r="AJ57" s="5435"/>
      <c r="AK57" s="1143"/>
      <c r="AL57" s="1137"/>
      <c r="AM57" s="1137"/>
      <c r="AN57" s="549"/>
      <c r="AO57" s="5431" t="s">
        <v>4572</v>
      </c>
      <c r="AP57" s="5432"/>
      <c r="AQ57" s="1164" t="str">
        <f>IF(AO54=0,"",VLOOKUP(AO54,'Tablas Magia'!$D$6:$Z$680,8,FALSE))</f>
        <v/>
      </c>
      <c r="AR57" s="1164" t="str">
        <f>IF(AO54=0,"",VLOOKUP(AO54,'Tablas Magia'!$D$6:$Z$680,12,FALSE))</f>
        <v/>
      </c>
      <c r="AS57" s="1165" t="str">
        <f>IF(AO54=0,"",VLOOKUP(AO54,'Tablas Magia'!$D$6:$Z$680,16,FALSE))</f>
        <v/>
      </c>
      <c r="AT57" s="5433" t="str">
        <f>IF(AO54=0,"",VLOOKUP(AO54,'Tablas Magia'!$D$6:$Z$680,20,FALSE))</f>
        <v/>
      </c>
      <c r="AU57" s="5434"/>
      <c r="AV57" s="5434"/>
      <c r="AW57" s="5434"/>
      <c r="AX57" s="5434"/>
      <c r="AY57" s="5434"/>
      <c r="AZ57" s="5434"/>
      <c r="BA57" s="5434"/>
      <c r="BB57" s="5434"/>
      <c r="BC57" s="5435"/>
      <c r="BD57" s="1143"/>
      <c r="BE57" s="1137"/>
    </row>
    <row r="58" spans="1:57" ht="12" customHeight="1" x14ac:dyDescent="0.2">
      <c r="A58" s="1137"/>
      <c r="B58" s="549"/>
      <c r="C58" s="5426" t="s">
        <v>4573</v>
      </c>
      <c r="D58" s="5427"/>
      <c r="E58" s="1162" t="str">
        <f>IF(C54=0,"",VLOOKUP(C54,'Tablas Magia'!$D$6:$Z$680,9,FALSE))</f>
        <v/>
      </c>
      <c r="F58" s="1162" t="str">
        <f>IF(C54=0,"",VLOOKUP(C54,'Tablas Magia'!$D$6:$Z$680,13,FALSE))</f>
        <v/>
      </c>
      <c r="G58" s="1163" t="str">
        <f>IF(C54=0,"",VLOOKUP(C54,'Tablas Magia'!$D$6:$Z$680,17,FALSE))</f>
        <v/>
      </c>
      <c r="H58" s="5428" t="str">
        <f>IF(C54=0,"",VLOOKUP(C54,'Tablas Magia'!$D$6:$Z$680,21,FALSE))</f>
        <v/>
      </c>
      <c r="I58" s="5429"/>
      <c r="J58" s="5429"/>
      <c r="K58" s="5429"/>
      <c r="L58" s="5429"/>
      <c r="M58" s="5429"/>
      <c r="N58" s="5429"/>
      <c r="O58" s="5429"/>
      <c r="P58" s="5429"/>
      <c r="Q58" s="5430"/>
      <c r="R58" s="1143"/>
      <c r="S58" s="1137"/>
      <c r="T58" s="1137"/>
      <c r="U58" s="549"/>
      <c r="V58" s="5426" t="s">
        <v>4573</v>
      </c>
      <c r="W58" s="5427"/>
      <c r="X58" s="1162" t="str">
        <f>IF(V54=0,"",VLOOKUP(V54,'Tablas Magia'!$D$6:$Z$680,9,FALSE))</f>
        <v/>
      </c>
      <c r="Y58" s="1162" t="str">
        <f>IF(V54=0,"",VLOOKUP(V54,'Tablas Magia'!$D$6:$Z$680,13,FALSE))</f>
        <v/>
      </c>
      <c r="Z58" s="1163" t="str">
        <f>IF(V54=0,"",VLOOKUP(V54,'Tablas Magia'!$D$6:$Z$680,17,FALSE))</f>
        <v/>
      </c>
      <c r="AA58" s="5428" t="str">
        <f>IF(V54=0,"",VLOOKUP(V54,'Tablas Magia'!$D$6:$Z$680,21,FALSE))</f>
        <v/>
      </c>
      <c r="AB58" s="5429"/>
      <c r="AC58" s="5429"/>
      <c r="AD58" s="5429"/>
      <c r="AE58" s="5429"/>
      <c r="AF58" s="5429"/>
      <c r="AG58" s="5429"/>
      <c r="AH58" s="5429"/>
      <c r="AI58" s="5429"/>
      <c r="AJ58" s="5430"/>
      <c r="AK58" s="1143"/>
      <c r="AL58" s="1137"/>
      <c r="AM58" s="1137"/>
      <c r="AN58" s="549"/>
      <c r="AO58" s="5426" t="s">
        <v>4573</v>
      </c>
      <c r="AP58" s="5427"/>
      <c r="AQ58" s="1162" t="str">
        <f>IF(AO54=0,"",VLOOKUP(AO54,'Tablas Magia'!$D$6:$Z$680,9,FALSE))</f>
        <v/>
      </c>
      <c r="AR58" s="1162" t="str">
        <f>IF(AO54=0,"",VLOOKUP(AO54,'Tablas Magia'!$D$6:$Z$680,13,FALSE))</f>
        <v/>
      </c>
      <c r="AS58" s="1163" t="str">
        <f>IF(AO54=0,"",VLOOKUP(AO54,'Tablas Magia'!$D$6:$Z$680,17,FALSE))</f>
        <v/>
      </c>
      <c r="AT58" s="5428" t="str">
        <f>IF(AO54=0,"",VLOOKUP(AO54,'Tablas Magia'!$D$6:$Z$680,21,FALSE))</f>
        <v/>
      </c>
      <c r="AU58" s="5429"/>
      <c r="AV58" s="5429"/>
      <c r="AW58" s="5429"/>
      <c r="AX58" s="5429"/>
      <c r="AY58" s="5429"/>
      <c r="AZ58" s="5429"/>
      <c r="BA58" s="5429"/>
      <c r="BB58" s="5429"/>
      <c r="BC58" s="5430"/>
      <c r="BD58" s="1143"/>
      <c r="BE58" s="1137"/>
    </row>
    <row r="59" spans="1:57" ht="12" customHeight="1" thickBot="1" x14ac:dyDescent="0.25">
      <c r="A59" s="1137"/>
      <c r="B59" s="549"/>
      <c r="C59" s="5436" t="s">
        <v>4574</v>
      </c>
      <c r="D59" s="5437"/>
      <c r="E59" s="1166" t="str">
        <f>IF(C54=0,"",VLOOKUP(C54,'Tablas Magia'!$D$6:$Z$680,10,FALSE))</f>
        <v/>
      </c>
      <c r="F59" s="1166" t="str">
        <f>IF(C54=0,"",VLOOKUP(C54,'Tablas Magia'!$D$6:$Z$680,14,FALSE))</f>
        <v/>
      </c>
      <c r="G59" s="1167" t="str">
        <f>IF(C54=0,"",VLOOKUP(C54,'Tablas Magia'!$D$6:$Z$680,18,FALSE))</f>
        <v/>
      </c>
      <c r="H59" s="5438" t="str">
        <f>IF(C54=0,"",VLOOKUP(C54,'Tablas Magia'!$D$6:$Z$680,22,FALSE))</f>
        <v/>
      </c>
      <c r="I59" s="5439"/>
      <c r="J59" s="5439"/>
      <c r="K59" s="5439"/>
      <c r="L59" s="5439"/>
      <c r="M59" s="5439"/>
      <c r="N59" s="5439"/>
      <c r="O59" s="5439"/>
      <c r="P59" s="5439"/>
      <c r="Q59" s="5440"/>
      <c r="R59" s="1143"/>
      <c r="S59" s="1137"/>
      <c r="T59" s="1137"/>
      <c r="U59" s="549"/>
      <c r="V59" s="5436" t="s">
        <v>4574</v>
      </c>
      <c r="W59" s="5437"/>
      <c r="X59" s="1166" t="str">
        <f>IF(V54=0,"",VLOOKUP(V54,'Tablas Magia'!$D$6:$Z$680,10,FALSE))</f>
        <v/>
      </c>
      <c r="Y59" s="1166" t="str">
        <f>IF(V54=0,"",VLOOKUP(V54,'Tablas Magia'!$D$6:$Z$680,14,FALSE))</f>
        <v/>
      </c>
      <c r="Z59" s="1167" t="str">
        <f>IF(V54=0,"",VLOOKUP(V54,'Tablas Magia'!$D$6:$Z$680,18,FALSE))</f>
        <v/>
      </c>
      <c r="AA59" s="5438" t="str">
        <f>IF(V54=0,"",VLOOKUP(V54,'Tablas Magia'!$D$6:$Z$680,22,FALSE))</f>
        <v/>
      </c>
      <c r="AB59" s="5439"/>
      <c r="AC59" s="5439"/>
      <c r="AD59" s="5439"/>
      <c r="AE59" s="5439"/>
      <c r="AF59" s="5439"/>
      <c r="AG59" s="5439"/>
      <c r="AH59" s="5439"/>
      <c r="AI59" s="5439"/>
      <c r="AJ59" s="5440"/>
      <c r="AK59" s="1143"/>
      <c r="AL59" s="1137"/>
      <c r="AM59" s="1137"/>
      <c r="AN59" s="549"/>
      <c r="AO59" s="5436" t="s">
        <v>4574</v>
      </c>
      <c r="AP59" s="5437"/>
      <c r="AQ59" s="1166" t="str">
        <f>IF(AO54=0,"",VLOOKUP(AO54,'Tablas Magia'!$D$6:$Z$680,10,FALSE))</f>
        <v/>
      </c>
      <c r="AR59" s="1166" t="str">
        <f>IF(AO54=0,"",VLOOKUP(AO54,'Tablas Magia'!$D$6:$Z$680,14,FALSE))</f>
        <v/>
      </c>
      <c r="AS59" s="1167" t="str">
        <f>IF(AO54=0,"",VLOOKUP(AO54,'Tablas Magia'!$D$6:$Z$680,18,FALSE))</f>
        <v/>
      </c>
      <c r="AT59" s="5438" t="str">
        <f>IF(AO54=0,"",VLOOKUP(AO54,'Tablas Magia'!$D$6:$Z$680,22,FALSE))</f>
        <v/>
      </c>
      <c r="AU59" s="5439"/>
      <c r="AV59" s="5439"/>
      <c r="AW59" s="5439"/>
      <c r="AX59" s="5439"/>
      <c r="AY59" s="5439"/>
      <c r="AZ59" s="5439"/>
      <c r="BA59" s="5439"/>
      <c r="BB59" s="5439"/>
      <c r="BC59" s="5440"/>
      <c r="BD59" s="1143"/>
      <c r="BE59" s="1137"/>
    </row>
    <row r="60" spans="1:57" ht="12" customHeight="1" x14ac:dyDescent="0.2">
      <c r="A60" s="1137"/>
      <c r="B60" s="549"/>
      <c r="C60" s="5441" t="str">
        <f>IF(C54=0,"",VLOOKUP(C54,'Tablas Magia'!$D$6:$Z$680,23,FALSE))</f>
        <v/>
      </c>
      <c r="D60" s="5442"/>
      <c r="E60" s="5442"/>
      <c r="F60" s="5442"/>
      <c r="G60" s="5442"/>
      <c r="H60" s="5442"/>
      <c r="I60" s="5442"/>
      <c r="J60" s="5442"/>
      <c r="K60" s="5442"/>
      <c r="L60" s="5442"/>
      <c r="M60" s="5442"/>
      <c r="N60" s="5442"/>
      <c r="O60" s="5442"/>
      <c r="P60" s="5442"/>
      <c r="Q60" s="5443"/>
      <c r="R60" s="1143"/>
      <c r="S60" s="1137"/>
      <c r="T60" s="1137"/>
      <c r="U60" s="549"/>
      <c r="V60" s="5441" t="str">
        <f>IF(V54=0,"",VLOOKUP(V54,'Tablas Magia'!$D$6:$Z$680,23,FALSE))</f>
        <v/>
      </c>
      <c r="W60" s="5442"/>
      <c r="X60" s="5442"/>
      <c r="Y60" s="5442"/>
      <c r="Z60" s="5442"/>
      <c r="AA60" s="5442"/>
      <c r="AB60" s="5442"/>
      <c r="AC60" s="5442"/>
      <c r="AD60" s="5442"/>
      <c r="AE60" s="5442"/>
      <c r="AF60" s="5442"/>
      <c r="AG60" s="5442"/>
      <c r="AH60" s="5442"/>
      <c r="AI60" s="5442"/>
      <c r="AJ60" s="5443"/>
      <c r="AK60" s="1143"/>
      <c r="AL60" s="1137"/>
      <c r="AM60" s="1137"/>
      <c r="AN60" s="549"/>
      <c r="AO60" s="5441" t="str">
        <f>IF(AO54=0,"",VLOOKUP(AO54,'Tablas Magia'!$D$6:$Z$680,23,FALSE))</f>
        <v/>
      </c>
      <c r="AP60" s="5442"/>
      <c r="AQ60" s="5442"/>
      <c r="AR60" s="5442"/>
      <c r="AS60" s="5442"/>
      <c r="AT60" s="5442"/>
      <c r="AU60" s="5442"/>
      <c r="AV60" s="5442"/>
      <c r="AW60" s="5442"/>
      <c r="AX60" s="5442"/>
      <c r="AY60" s="5442"/>
      <c r="AZ60" s="5442"/>
      <c r="BA60" s="5442"/>
      <c r="BB60" s="5442"/>
      <c r="BC60" s="5443"/>
      <c r="BD60" s="1143"/>
      <c r="BE60" s="1137"/>
    </row>
    <row r="61" spans="1:57" ht="12" customHeight="1" x14ac:dyDescent="0.2">
      <c r="A61" s="1137"/>
      <c r="B61" s="549"/>
      <c r="C61" s="5444"/>
      <c r="D61" s="5445"/>
      <c r="E61" s="5445"/>
      <c r="F61" s="5445"/>
      <c r="G61" s="5445"/>
      <c r="H61" s="5445"/>
      <c r="I61" s="5445"/>
      <c r="J61" s="5445"/>
      <c r="K61" s="5445"/>
      <c r="L61" s="5445"/>
      <c r="M61" s="5445"/>
      <c r="N61" s="5445"/>
      <c r="O61" s="5445"/>
      <c r="P61" s="5445"/>
      <c r="Q61" s="5446"/>
      <c r="R61" s="1143"/>
      <c r="S61" s="1137"/>
      <c r="T61" s="1137"/>
      <c r="U61" s="549"/>
      <c r="V61" s="5444"/>
      <c r="W61" s="5445"/>
      <c r="X61" s="5445"/>
      <c r="Y61" s="5445"/>
      <c r="Z61" s="5445"/>
      <c r="AA61" s="5445"/>
      <c r="AB61" s="5445"/>
      <c r="AC61" s="5445"/>
      <c r="AD61" s="5445"/>
      <c r="AE61" s="5445"/>
      <c r="AF61" s="5445"/>
      <c r="AG61" s="5445"/>
      <c r="AH61" s="5445"/>
      <c r="AI61" s="5445"/>
      <c r="AJ61" s="5446"/>
      <c r="AK61" s="1143"/>
      <c r="AL61" s="1137"/>
      <c r="AM61" s="1137"/>
      <c r="AN61" s="549"/>
      <c r="AO61" s="5444"/>
      <c r="AP61" s="5445"/>
      <c r="AQ61" s="5445"/>
      <c r="AR61" s="5445"/>
      <c r="AS61" s="5445"/>
      <c r="AT61" s="5445"/>
      <c r="AU61" s="5445"/>
      <c r="AV61" s="5445"/>
      <c r="AW61" s="5445"/>
      <c r="AX61" s="5445"/>
      <c r="AY61" s="5445"/>
      <c r="AZ61" s="5445"/>
      <c r="BA61" s="5445"/>
      <c r="BB61" s="5445"/>
      <c r="BC61" s="5446"/>
      <c r="BD61" s="1143"/>
      <c r="BE61" s="1137"/>
    </row>
    <row r="62" spans="1:57" ht="12" customHeight="1" x14ac:dyDescent="0.2">
      <c r="A62" s="1137"/>
      <c r="B62" s="549"/>
      <c r="C62" s="5444"/>
      <c r="D62" s="5445"/>
      <c r="E62" s="5445"/>
      <c r="F62" s="5445"/>
      <c r="G62" s="5445"/>
      <c r="H62" s="5445"/>
      <c r="I62" s="5445"/>
      <c r="J62" s="5445"/>
      <c r="K62" s="5445"/>
      <c r="L62" s="5445"/>
      <c r="M62" s="5445"/>
      <c r="N62" s="5445"/>
      <c r="O62" s="5445"/>
      <c r="P62" s="5445"/>
      <c r="Q62" s="5446"/>
      <c r="R62" s="1143"/>
      <c r="S62" s="1137"/>
      <c r="T62" s="1137"/>
      <c r="U62" s="549"/>
      <c r="V62" s="5444"/>
      <c r="W62" s="5445"/>
      <c r="X62" s="5445"/>
      <c r="Y62" s="5445"/>
      <c r="Z62" s="5445"/>
      <c r="AA62" s="5445"/>
      <c r="AB62" s="5445"/>
      <c r="AC62" s="5445"/>
      <c r="AD62" s="5445"/>
      <c r="AE62" s="5445"/>
      <c r="AF62" s="5445"/>
      <c r="AG62" s="5445"/>
      <c r="AH62" s="5445"/>
      <c r="AI62" s="5445"/>
      <c r="AJ62" s="5446"/>
      <c r="AK62" s="1143"/>
      <c r="AL62" s="1137"/>
      <c r="AM62" s="1137"/>
      <c r="AN62" s="549"/>
      <c r="AO62" s="5444"/>
      <c r="AP62" s="5445"/>
      <c r="AQ62" s="5445"/>
      <c r="AR62" s="5445"/>
      <c r="AS62" s="5445"/>
      <c r="AT62" s="5445"/>
      <c r="AU62" s="5445"/>
      <c r="AV62" s="5445"/>
      <c r="AW62" s="5445"/>
      <c r="AX62" s="5445"/>
      <c r="AY62" s="5445"/>
      <c r="AZ62" s="5445"/>
      <c r="BA62" s="5445"/>
      <c r="BB62" s="5445"/>
      <c r="BC62" s="5446"/>
      <c r="BD62" s="1143"/>
      <c r="BE62" s="1137"/>
    </row>
    <row r="63" spans="1:57" ht="12" customHeight="1" thickBot="1" x14ac:dyDescent="0.25">
      <c r="A63" s="1137"/>
      <c r="B63" s="549"/>
      <c r="C63" s="5447"/>
      <c r="D63" s="5448"/>
      <c r="E63" s="5448"/>
      <c r="F63" s="5448"/>
      <c r="G63" s="5448"/>
      <c r="H63" s="5448"/>
      <c r="I63" s="5448"/>
      <c r="J63" s="5448"/>
      <c r="K63" s="5448"/>
      <c r="L63" s="5448"/>
      <c r="M63" s="5448"/>
      <c r="N63" s="5448"/>
      <c r="O63" s="5448"/>
      <c r="P63" s="5448"/>
      <c r="Q63" s="5449"/>
      <c r="R63" s="1143"/>
      <c r="S63" s="1137"/>
      <c r="T63" s="1137"/>
      <c r="U63" s="549"/>
      <c r="V63" s="5447"/>
      <c r="W63" s="5448"/>
      <c r="X63" s="5448"/>
      <c r="Y63" s="5448"/>
      <c r="Z63" s="5448"/>
      <c r="AA63" s="5448"/>
      <c r="AB63" s="5448"/>
      <c r="AC63" s="5448"/>
      <c r="AD63" s="5448"/>
      <c r="AE63" s="5448"/>
      <c r="AF63" s="5448"/>
      <c r="AG63" s="5448"/>
      <c r="AH63" s="5448"/>
      <c r="AI63" s="5448"/>
      <c r="AJ63" s="5449"/>
      <c r="AK63" s="1143"/>
      <c r="AL63" s="1137"/>
      <c r="AM63" s="1137"/>
      <c r="AN63" s="549"/>
      <c r="AO63" s="5447"/>
      <c r="AP63" s="5448"/>
      <c r="AQ63" s="5448"/>
      <c r="AR63" s="5448"/>
      <c r="AS63" s="5448"/>
      <c r="AT63" s="5448"/>
      <c r="AU63" s="5448"/>
      <c r="AV63" s="5448"/>
      <c r="AW63" s="5448"/>
      <c r="AX63" s="5448"/>
      <c r="AY63" s="5448"/>
      <c r="AZ63" s="5448"/>
      <c r="BA63" s="5448"/>
      <c r="BB63" s="5448"/>
      <c r="BC63" s="5449"/>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68" t="s">
        <v>2019</v>
      </c>
      <c r="F4" s="5468"/>
      <c r="G4" s="5468"/>
      <c r="H4" s="5464" t="s">
        <v>8629</v>
      </c>
      <c r="I4" s="5465"/>
      <c r="J4" s="5468"/>
      <c r="K4" s="5468"/>
      <c r="L4" s="5469"/>
      <c r="M4" s="2113"/>
      <c r="N4" s="2113"/>
      <c r="O4" s="2126" t="s">
        <v>8627</v>
      </c>
      <c r="P4" s="2127" t="str">
        <f>B8&amp;"-"&amp;B108</f>
        <v>2-20</v>
      </c>
      <c r="Q4" s="2114"/>
      <c r="R4" s="2115"/>
      <c r="S4" s="2111"/>
      <c r="T4" s="2111"/>
      <c r="U4" s="2116"/>
      <c r="V4" s="2112"/>
      <c r="W4" s="2130" t="s">
        <v>8628</v>
      </c>
      <c r="X4" s="5459" t="str">
        <f>IF($E$4="","",$E$4)</f>
        <v>Luz</v>
      </c>
      <c r="Y4" s="5459"/>
      <c r="Z4" s="5459"/>
      <c r="AA4" s="5460" t="s">
        <v>8629</v>
      </c>
      <c r="AB4" s="5461"/>
      <c r="AC4" s="5459" t="str">
        <f>IF($J$4="","",$J$4)</f>
        <v/>
      </c>
      <c r="AD4" s="5459"/>
      <c r="AE4" s="5462"/>
      <c r="AF4" s="2113"/>
      <c r="AG4" s="2113"/>
      <c r="AH4" s="2126" t="s">
        <v>8627</v>
      </c>
      <c r="AI4" s="2127" t="str">
        <f>U8&amp;"-"&amp;U108</f>
        <v>22-40</v>
      </c>
      <c r="AJ4" s="2114"/>
      <c r="AK4" s="2115"/>
      <c r="AL4" s="2111"/>
      <c r="AM4" s="2111"/>
      <c r="AN4" s="2116"/>
      <c r="AO4" s="2112"/>
      <c r="AP4" s="2130" t="s">
        <v>8628</v>
      </c>
      <c r="AQ4" s="5459" t="str">
        <f>IF($E$4="","",$E$4)</f>
        <v>Luz</v>
      </c>
      <c r="AR4" s="5459"/>
      <c r="AS4" s="5459"/>
      <c r="AT4" s="5460" t="s">
        <v>8629</v>
      </c>
      <c r="AU4" s="5461"/>
      <c r="AV4" s="5459" t="str">
        <f>IF($J$4="","",$J$4)</f>
        <v/>
      </c>
      <c r="AW4" s="5459"/>
      <c r="AX4" s="5462"/>
      <c r="AY4" s="2113"/>
      <c r="AZ4" s="2113"/>
      <c r="BA4" s="2126" t="s">
        <v>8627</v>
      </c>
      <c r="BB4" s="2127" t="str">
        <f>AN8&amp;"-"&amp;AN108</f>
        <v>42-60</v>
      </c>
      <c r="BC4" s="2114"/>
      <c r="BD4" s="2115"/>
      <c r="BE4" s="2111"/>
      <c r="BF4" s="2111"/>
      <c r="BG4" s="2116"/>
      <c r="BH4" s="2112"/>
      <c r="BI4" s="2130" t="s">
        <v>8628</v>
      </c>
      <c r="BJ4" s="5459" t="str">
        <f>IF($E$4="","",$E$4)</f>
        <v>Luz</v>
      </c>
      <c r="BK4" s="5459"/>
      <c r="BL4" s="5459"/>
      <c r="BM4" s="5460" t="s">
        <v>8629</v>
      </c>
      <c r="BN4" s="5461"/>
      <c r="BO4" s="5459" t="str">
        <f>IF($J$4="","",$J$4)</f>
        <v/>
      </c>
      <c r="BP4" s="5459"/>
      <c r="BQ4" s="5462"/>
      <c r="BR4" s="2113"/>
      <c r="BS4" s="2113"/>
      <c r="BT4" s="2126" t="s">
        <v>8627</v>
      </c>
      <c r="BU4" s="2127" t="str">
        <f>BG8&amp;"-"&amp;BG108</f>
        <v>62-80</v>
      </c>
      <c r="BV4" s="2114"/>
      <c r="BW4" s="2115"/>
      <c r="BX4" s="2111"/>
      <c r="BY4" s="2111"/>
      <c r="BZ4" s="2116"/>
      <c r="CA4" s="2112"/>
      <c r="CB4" s="2130" t="s">
        <v>8628</v>
      </c>
      <c r="CC4" s="5459" t="str">
        <f>IF($E$4="","",$E$4)</f>
        <v>Luz</v>
      </c>
      <c r="CD4" s="5459"/>
      <c r="CE4" s="5459"/>
      <c r="CF4" s="5460" t="s">
        <v>8629</v>
      </c>
      <c r="CG4" s="5461"/>
      <c r="CH4" s="5459" t="str">
        <f>IF($J$4="","",$J$4)</f>
        <v/>
      </c>
      <c r="CI4" s="5459"/>
      <c r="CJ4" s="5462"/>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63" t="str">
        <f>B8&amp;"-"&amp;B52</f>
        <v>2-10</v>
      </c>
      <c r="D7" s="5463"/>
      <c r="E7" s="5463"/>
      <c r="F7" s="5463"/>
      <c r="G7" s="5463"/>
      <c r="H7" s="5463"/>
      <c r="I7" s="5463"/>
      <c r="J7" s="5463"/>
      <c r="K7" s="5463"/>
      <c r="L7" s="5463"/>
      <c r="M7" s="5463"/>
      <c r="N7" s="5463"/>
      <c r="O7" s="5463"/>
      <c r="P7" s="5463"/>
      <c r="Q7" s="5463"/>
      <c r="R7" s="2120"/>
      <c r="S7" s="1137"/>
      <c r="T7" s="1137"/>
      <c r="U7" s="2125"/>
      <c r="V7" s="5463" t="str">
        <f>U8&amp;"-"&amp;U52</f>
        <v>22-30</v>
      </c>
      <c r="W7" s="5463"/>
      <c r="X7" s="5463"/>
      <c r="Y7" s="5463"/>
      <c r="Z7" s="5463"/>
      <c r="AA7" s="5463"/>
      <c r="AB7" s="5463"/>
      <c r="AC7" s="5463"/>
      <c r="AD7" s="5463"/>
      <c r="AE7" s="5463"/>
      <c r="AF7" s="5463"/>
      <c r="AG7" s="5463"/>
      <c r="AH7" s="5463"/>
      <c r="AI7" s="5463"/>
      <c r="AJ7" s="5463"/>
      <c r="AK7" s="2120"/>
      <c r="AL7" s="1137"/>
      <c r="AM7" s="2123"/>
      <c r="AN7" s="2119"/>
      <c r="AO7" s="5463" t="str">
        <f>AN8&amp;"-"&amp;AN52</f>
        <v>42-50</v>
      </c>
      <c r="AP7" s="5463"/>
      <c r="AQ7" s="5463"/>
      <c r="AR7" s="5463"/>
      <c r="AS7" s="5463"/>
      <c r="AT7" s="5463"/>
      <c r="AU7" s="5463"/>
      <c r="AV7" s="5463"/>
      <c r="AW7" s="5463"/>
      <c r="AX7" s="5463"/>
      <c r="AY7" s="5463"/>
      <c r="AZ7" s="5463"/>
      <c r="BA7" s="5463"/>
      <c r="BB7" s="5463"/>
      <c r="BC7" s="5463"/>
      <c r="BD7" s="2120"/>
      <c r="BE7" s="1137"/>
      <c r="BF7" s="1137"/>
      <c r="BG7" s="2119"/>
      <c r="BH7" s="5463" t="str">
        <f>BG8&amp;"-"&amp;BG52</f>
        <v>62-70</v>
      </c>
      <c r="BI7" s="5463"/>
      <c r="BJ7" s="5463"/>
      <c r="BK7" s="5463"/>
      <c r="BL7" s="5463"/>
      <c r="BM7" s="5463"/>
      <c r="BN7" s="5463"/>
      <c r="BO7" s="5463"/>
      <c r="BP7" s="5463"/>
      <c r="BQ7" s="5463"/>
      <c r="BR7" s="5463"/>
      <c r="BS7" s="5463"/>
      <c r="BT7" s="5463"/>
      <c r="BU7" s="5463"/>
      <c r="BV7" s="5463"/>
      <c r="BW7" s="2120"/>
      <c r="BX7" s="1137"/>
      <c r="BY7" s="1137"/>
      <c r="BZ7" s="2119"/>
      <c r="CA7" s="5463" t="str">
        <f>BZ8&amp;"-"&amp;BZ52</f>
        <v>82-90</v>
      </c>
      <c r="CB7" s="5463"/>
      <c r="CC7" s="5463"/>
      <c r="CD7" s="5463"/>
      <c r="CE7" s="5463"/>
      <c r="CF7" s="5463"/>
      <c r="CG7" s="5463"/>
      <c r="CH7" s="5463"/>
      <c r="CI7" s="5463"/>
      <c r="CJ7" s="5463"/>
      <c r="CK7" s="5463"/>
      <c r="CL7" s="5463"/>
      <c r="CM7" s="5463"/>
      <c r="CN7" s="5463"/>
      <c r="CO7" s="5463"/>
      <c r="CP7" s="2120"/>
      <c r="CQ7" s="1137"/>
    </row>
    <row r="8" spans="1:95" ht="12" customHeight="1" x14ac:dyDescent="0.2">
      <c r="A8" s="1137"/>
      <c r="B8" s="2108">
        <v>2</v>
      </c>
      <c r="C8" s="5466"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67"/>
      <c r="E8" s="5467"/>
      <c r="F8" s="5467"/>
      <c r="G8" s="5467"/>
      <c r="H8" s="1157" t="s">
        <v>1627</v>
      </c>
      <c r="I8" s="1158">
        <f>B8</f>
        <v>2</v>
      </c>
      <c r="J8" s="5454" t="s">
        <v>7687</v>
      </c>
      <c r="K8" s="5454"/>
      <c r="L8" s="5454"/>
      <c r="M8" s="5455" t="str">
        <f>IF(C8=0,"",VLOOKUP(C8,'Tablas Magia'!$D$6:$Z$680,2,FALSE))</f>
        <v>Luz</v>
      </c>
      <c r="N8" s="5455"/>
      <c r="O8" s="5455"/>
      <c r="P8" s="5455"/>
      <c r="Q8" s="5456"/>
      <c r="R8" s="1143"/>
      <c r="S8" s="1137"/>
      <c r="T8" s="1137"/>
      <c r="U8" s="2108">
        <f>B8+20</f>
        <v>22</v>
      </c>
      <c r="V8" s="5466"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67"/>
      <c r="X8" s="5467"/>
      <c r="Y8" s="5467"/>
      <c r="Z8" s="5467"/>
      <c r="AA8" s="1157" t="s">
        <v>1627</v>
      </c>
      <c r="AB8" s="1158">
        <f>U8</f>
        <v>22</v>
      </c>
      <c r="AC8" s="5454" t="s">
        <v>7687</v>
      </c>
      <c r="AD8" s="5454"/>
      <c r="AE8" s="5454"/>
      <c r="AF8" s="5455" t="str">
        <f>IF(V8=0,"",VLOOKUP(V8,'Tablas Magia'!$D$6:$Z$680,2,FALSE))</f>
        <v>Luz</v>
      </c>
      <c r="AG8" s="5455"/>
      <c r="AH8" s="5455"/>
      <c r="AI8" s="5455"/>
      <c r="AJ8" s="5456"/>
      <c r="AK8" s="1143"/>
      <c r="AL8" s="1137"/>
      <c r="AM8" s="1137"/>
      <c r="AN8" s="2122">
        <f>U8+20</f>
        <v>42</v>
      </c>
      <c r="AO8" s="5466"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67"/>
      <c r="AQ8" s="5467"/>
      <c r="AR8" s="5467"/>
      <c r="AS8" s="5467"/>
      <c r="AT8" s="1157" t="s">
        <v>1627</v>
      </c>
      <c r="AU8" s="1158">
        <f>AN8</f>
        <v>42</v>
      </c>
      <c r="AV8" s="5454" t="s">
        <v>7687</v>
      </c>
      <c r="AW8" s="5454"/>
      <c r="AX8" s="5454"/>
      <c r="AY8" s="5455" t="str">
        <f>IF(AO8=0,"",VLOOKUP(AO8,'Tablas Magia'!$D$6:$Z$680,2,FALSE))</f>
        <v>Luz</v>
      </c>
      <c r="AZ8" s="5455"/>
      <c r="BA8" s="5455"/>
      <c r="BB8" s="5455"/>
      <c r="BC8" s="5456"/>
      <c r="BD8" s="1143"/>
      <c r="BE8" s="1137"/>
      <c r="BF8" s="1137"/>
      <c r="BG8" s="2122">
        <f>AN8+20</f>
        <v>62</v>
      </c>
      <c r="BH8" s="5466"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67"/>
      <c r="BJ8" s="5467"/>
      <c r="BK8" s="5467"/>
      <c r="BL8" s="5467"/>
      <c r="BM8" s="1157" t="s">
        <v>1627</v>
      </c>
      <c r="BN8" s="1158">
        <f>BG8</f>
        <v>62</v>
      </c>
      <c r="BO8" s="5454" t="s">
        <v>7687</v>
      </c>
      <c r="BP8" s="5454"/>
      <c r="BQ8" s="5454"/>
      <c r="BR8" s="5455" t="str">
        <f>IF(BH8=0,"",VLOOKUP(BH8,'Tablas Magia'!$D$6:$Z$680,2,FALSE))</f>
        <v>Luz</v>
      </c>
      <c r="BS8" s="5455"/>
      <c r="BT8" s="5455"/>
      <c r="BU8" s="5455"/>
      <c r="BV8" s="5456"/>
      <c r="BW8" s="1143"/>
      <c r="BX8" s="1137"/>
      <c r="BY8" s="1137"/>
      <c r="BZ8" s="2122">
        <f>BG8+20</f>
        <v>82</v>
      </c>
      <c r="CA8" s="5466"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67"/>
      <c r="CC8" s="5467"/>
      <c r="CD8" s="5467"/>
      <c r="CE8" s="5467"/>
      <c r="CF8" s="1157" t="s">
        <v>1627</v>
      </c>
      <c r="CG8" s="1158">
        <f>BZ8</f>
        <v>82</v>
      </c>
      <c r="CH8" s="5454" t="s">
        <v>7687</v>
      </c>
      <c r="CI8" s="5454"/>
      <c r="CJ8" s="5454"/>
      <c r="CK8" s="5455" t="str">
        <f>IF(CA8=0,"",VLOOKUP(CA8,'Tablas Magia'!$D$6:$Z$680,2,FALSE))</f>
        <v>Luz</v>
      </c>
      <c r="CL8" s="5455"/>
      <c r="CM8" s="5455"/>
      <c r="CN8" s="5455"/>
      <c r="CO8" s="5456"/>
      <c r="CP8" s="1143"/>
      <c r="CQ8" s="1137"/>
    </row>
    <row r="9" spans="1:95" ht="12" customHeight="1" x14ac:dyDescent="0.2">
      <c r="A9" s="1137"/>
      <c r="B9" s="2108"/>
      <c r="C9" s="5450" t="s">
        <v>7688</v>
      </c>
      <c r="D9" s="5451"/>
      <c r="E9" s="1159" t="s">
        <v>7689</v>
      </c>
      <c r="F9" s="1159" t="s">
        <v>1820</v>
      </c>
      <c r="G9" s="1159" t="s">
        <v>3334</v>
      </c>
      <c r="H9" s="1160" t="s">
        <v>2165</v>
      </c>
      <c r="I9" s="5424" t="str">
        <f>IF(C8=0,"",VLOOKUP(C8,'Tablas Magia'!$D$6:$Z$680,5,FALSE))</f>
        <v>Efecto</v>
      </c>
      <c r="J9" s="5424"/>
      <c r="K9" s="5423" t="s">
        <v>7690</v>
      </c>
      <c r="L9" s="5423"/>
      <c r="M9" s="5424" t="str">
        <f>IF(C8=0,"",VLOOKUP(C8,'Tablas Magia'!$D$6:$Z$680,6,FALSE))</f>
        <v>Activa</v>
      </c>
      <c r="N9" s="5424"/>
      <c r="O9" s="5425" t="s">
        <v>7691</v>
      </c>
      <c r="P9" s="5425"/>
      <c r="Q9" s="1161" t="str">
        <f>IF(C8=0,"",VLOOKUP(C8,'Tablas Magia'!$D$6:$Z$680,4,FALSE))</f>
        <v>Si</v>
      </c>
      <c r="R9" s="1143"/>
      <c r="S9" s="1137"/>
      <c r="T9" s="1137"/>
      <c r="U9" s="2108"/>
      <c r="V9" s="5450" t="s">
        <v>7688</v>
      </c>
      <c r="W9" s="5451"/>
      <c r="X9" s="1159" t="s">
        <v>7689</v>
      </c>
      <c r="Y9" s="1159" t="s">
        <v>1820</v>
      </c>
      <c r="Z9" s="1159" t="s">
        <v>3334</v>
      </c>
      <c r="AA9" s="1160" t="s">
        <v>2165</v>
      </c>
      <c r="AB9" s="5424" t="str">
        <f>IF(V8=0,"",VLOOKUP(V8,'Tablas Magia'!$D$6:$Z$680,5,FALSE))</f>
        <v>Ataque</v>
      </c>
      <c r="AC9" s="5424"/>
      <c r="AD9" s="5423" t="s">
        <v>7690</v>
      </c>
      <c r="AE9" s="5423"/>
      <c r="AF9" s="5424" t="str">
        <f>IF(V8=0,"",VLOOKUP(V8,'Tablas Magia'!$D$6:$Z$680,6,FALSE))</f>
        <v>Activa</v>
      </c>
      <c r="AG9" s="5424"/>
      <c r="AH9" s="5425" t="s">
        <v>7691</v>
      </c>
      <c r="AI9" s="5425"/>
      <c r="AJ9" s="1161" t="str">
        <f>IF(V8=0,"",VLOOKUP(V8,'Tablas Magia'!$D$6:$Z$680,4,FALSE))</f>
        <v>No</v>
      </c>
      <c r="AK9" s="1143"/>
      <c r="AL9" s="1137"/>
      <c r="AM9" s="1137"/>
      <c r="AN9" s="2122"/>
      <c r="AO9" s="5450" t="s">
        <v>7688</v>
      </c>
      <c r="AP9" s="5451"/>
      <c r="AQ9" s="1159" t="s">
        <v>7689</v>
      </c>
      <c r="AR9" s="1159" t="s">
        <v>1820</v>
      </c>
      <c r="AS9" s="1159" t="s">
        <v>3334</v>
      </c>
      <c r="AT9" s="1160" t="s">
        <v>2165</v>
      </c>
      <c r="AU9" s="5424" t="str">
        <f>IF(AO8=0,"",VLOOKUP(AO8,'Tablas Magia'!$D$6:$Z$680,5,FALSE))</f>
        <v>Efecto</v>
      </c>
      <c r="AV9" s="5424"/>
      <c r="AW9" s="5423" t="s">
        <v>7690</v>
      </c>
      <c r="AX9" s="5423"/>
      <c r="AY9" s="5424" t="str">
        <f>IF(AO8=0,"",VLOOKUP(AO8,'Tablas Magia'!$D$6:$Z$680,6,FALSE))</f>
        <v>Activa</v>
      </c>
      <c r="AZ9" s="5424"/>
      <c r="BA9" s="5425" t="s">
        <v>7691</v>
      </c>
      <c r="BB9" s="5425"/>
      <c r="BC9" s="1161" t="str">
        <f>IF(AO8=0,"",VLOOKUP(AO8,'Tablas Magia'!$D$6:$Z$680,4,FALSE))</f>
        <v>No</v>
      </c>
      <c r="BD9" s="1143"/>
      <c r="BE9" s="1137"/>
      <c r="BF9" s="1137"/>
      <c r="BG9" s="2122"/>
      <c r="BH9" s="5450" t="s">
        <v>7688</v>
      </c>
      <c r="BI9" s="5451"/>
      <c r="BJ9" s="1159" t="s">
        <v>7689</v>
      </c>
      <c r="BK9" s="1159" t="s">
        <v>1820</v>
      </c>
      <c r="BL9" s="1159" t="s">
        <v>3334</v>
      </c>
      <c r="BM9" s="1160" t="s">
        <v>2165</v>
      </c>
      <c r="BN9" s="5424" t="str">
        <f>IF(BH8=0,"",VLOOKUP(BH8,'Tablas Magia'!$D$6:$Z$680,5,FALSE))</f>
        <v>Auto</v>
      </c>
      <c r="BO9" s="5424"/>
      <c r="BP9" s="5423" t="s">
        <v>7690</v>
      </c>
      <c r="BQ9" s="5423"/>
      <c r="BR9" s="5424" t="str">
        <f>IF(BH8=0,"",VLOOKUP(BH8,'Tablas Magia'!$D$6:$Z$680,6,FALSE))</f>
        <v>Activa</v>
      </c>
      <c r="BS9" s="5424"/>
      <c r="BT9" s="5425" t="s">
        <v>7691</v>
      </c>
      <c r="BU9" s="5425"/>
      <c r="BV9" s="1161" t="str">
        <f>IF(BH8=0,"",VLOOKUP(BH8,'Tablas Magia'!$D$6:$Z$680,4,FALSE))</f>
        <v>Si</v>
      </c>
      <c r="BW9" s="1143"/>
      <c r="BX9" s="1137"/>
      <c r="BY9" s="1137"/>
      <c r="BZ9" s="2122"/>
      <c r="CA9" s="5450" t="s">
        <v>7688</v>
      </c>
      <c r="CB9" s="5451"/>
      <c r="CC9" s="1159" t="s">
        <v>7689</v>
      </c>
      <c r="CD9" s="1159" t="s">
        <v>1820</v>
      </c>
      <c r="CE9" s="1159" t="s">
        <v>3334</v>
      </c>
      <c r="CF9" s="1160" t="s">
        <v>2165</v>
      </c>
      <c r="CG9" s="5424" t="str">
        <f>IF(CA8=0,"",VLOOKUP(CA8,'Tablas Magia'!$D$6:$Z$680,5,FALSE))</f>
        <v>Efecto</v>
      </c>
      <c r="CH9" s="5424"/>
      <c r="CI9" s="5423" t="s">
        <v>7690</v>
      </c>
      <c r="CJ9" s="5423"/>
      <c r="CK9" s="5424" t="str">
        <f>IF(CA8=0,"",VLOOKUP(CA8,'Tablas Magia'!$D$6:$Z$680,6,FALSE))</f>
        <v>Activa</v>
      </c>
      <c r="CL9" s="5424"/>
      <c r="CM9" s="5425" t="s">
        <v>7691</v>
      </c>
      <c r="CN9" s="5425"/>
      <c r="CO9" s="1161" t="str">
        <f>IF(CA8=0,"",VLOOKUP(CA8,'Tablas Magia'!$D$6:$Z$680,4,FALSE))</f>
        <v>Si</v>
      </c>
      <c r="CP9" s="1143"/>
      <c r="CQ9" s="1137"/>
    </row>
    <row r="10" spans="1:95" ht="12" customHeight="1" x14ac:dyDescent="0.2">
      <c r="A10" s="1137"/>
      <c r="B10" s="2108"/>
      <c r="C10" s="5426" t="s">
        <v>1674</v>
      </c>
      <c r="D10" s="5427"/>
      <c r="E10" s="1162">
        <f>IF(C8=0,"",VLOOKUP(C8,'Tablas Magia'!$D$6:$Z$680,7,FALSE))</f>
        <v>5</v>
      </c>
      <c r="F10" s="1162">
        <f>IF(C8=0,"",VLOOKUP(C8,'Tablas Magia'!$D$6:$Z$680,11,FALSE))</f>
        <v>20</v>
      </c>
      <c r="G10" s="1163">
        <f>IF(C8=0,"",VLOOKUP(C8,'Tablas Magia'!$D$6:$Z$680,15,FALSE))</f>
        <v>5</v>
      </c>
      <c r="H10" s="5428" t="str">
        <f>IF(C8=0,"",VLOOKUP(C8,'Tablas Magia'!$D$6:$Z$680,19,FALSE))</f>
        <v>5 metros de zona iluminada</v>
      </c>
      <c r="I10" s="5429"/>
      <c r="J10" s="5429"/>
      <c r="K10" s="5429"/>
      <c r="L10" s="5429"/>
      <c r="M10" s="5429"/>
      <c r="N10" s="5429"/>
      <c r="O10" s="5429"/>
      <c r="P10" s="5429"/>
      <c r="Q10" s="5430"/>
      <c r="R10" s="1143"/>
      <c r="S10" s="1137"/>
      <c r="T10" s="1137"/>
      <c r="U10" s="2108"/>
      <c r="V10" s="5426" t="s">
        <v>1674</v>
      </c>
      <c r="W10" s="5427"/>
      <c r="X10" s="1162">
        <f>IF(V8=0,"",VLOOKUP(V8,'Tablas Magia'!$D$6:$Z$680,7,FALSE))</f>
        <v>6</v>
      </c>
      <c r="Y10" s="1162">
        <f>IF(V8=0,"",VLOOKUP(V8,'Tablas Magia'!$D$6:$Z$680,11,FALSE))</f>
        <v>50</v>
      </c>
      <c r="Z10" s="1163" t="str">
        <f>IF(V8=0,"",VLOOKUP(V8,'Tablas Magia'!$D$6:$Z$680,15,FALSE))</f>
        <v>No</v>
      </c>
      <c r="AA10" s="5428" t="str">
        <f>IF(V8=0,"",VLOOKUP(V8,'Tablas Magia'!$D$6:$Z$680,19,FALSE))</f>
        <v>Daño 60.</v>
      </c>
      <c r="AB10" s="5429"/>
      <c r="AC10" s="5429"/>
      <c r="AD10" s="5429"/>
      <c r="AE10" s="5429"/>
      <c r="AF10" s="5429"/>
      <c r="AG10" s="5429"/>
      <c r="AH10" s="5429"/>
      <c r="AI10" s="5429"/>
      <c r="AJ10" s="5430"/>
      <c r="AK10" s="1143"/>
      <c r="AL10" s="1137"/>
      <c r="AM10" s="1137"/>
      <c r="AN10" s="2122"/>
      <c r="AO10" s="5426" t="s">
        <v>1674</v>
      </c>
      <c r="AP10" s="5427"/>
      <c r="AQ10" s="1162">
        <f>IF(AO8=0,"",VLOOKUP(AO8,'Tablas Magia'!$D$6:$Z$680,7,FALSE))</f>
        <v>7</v>
      </c>
      <c r="AR10" s="1162">
        <f>IF(AO8=0,"",VLOOKUP(AO8,'Tablas Magia'!$D$6:$Z$680,11,FALSE))</f>
        <v>70</v>
      </c>
      <c r="AS10" s="1163" t="str">
        <f>IF(AO8=0,"",VLOOKUP(AO8,'Tablas Magia'!$D$6:$Z$680,15,FALSE))</f>
        <v>No</v>
      </c>
      <c r="AT10" s="5428" t="str">
        <f>IF(AO8=0,"",VLOOKUP(AO8,'Tablas Magia'!$D$6:$Z$680,19,FALSE))</f>
        <v>40 Puntos de Vida.</v>
      </c>
      <c r="AU10" s="5429"/>
      <c r="AV10" s="5429"/>
      <c r="AW10" s="5429"/>
      <c r="AX10" s="5429"/>
      <c r="AY10" s="5429"/>
      <c r="AZ10" s="5429"/>
      <c r="BA10" s="5429"/>
      <c r="BB10" s="5429"/>
      <c r="BC10" s="5430"/>
      <c r="BD10" s="1143"/>
      <c r="BE10" s="1137"/>
      <c r="BF10" s="1137"/>
      <c r="BG10" s="2122"/>
      <c r="BH10" s="5426" t="s">
        <v>1674</v>
      </c>
      <c r="BI10" s="5427"/>
      <c r="BJ10" s="1162">
        <f>IF(BH8=0,"",VLOOKUP(BH8,'Tablas Magia'!$D$6:$Z$680,7,FALSE))</f>
        <v>7</v>
      </c>
      <c r="BK10" s="1162">
        <f>IF(BH8=0,"",VLOOKUP(BH8,'Tablas Magia'!$D$6:$Z$680,11,FALSE))</f>
        <v>140</v>
      </c>
      <c r="BL10" s="1163">
        <f>IF(BH8=0,"",VLOOKUP(BH8,'Tablas Magia'!$D$6:$Z$680,15,FALSE))</f>
        <v>15</v>
      </c>
      <c r="BM10" s="5428" t="str">
        <f>IF(BH8=0,"",VLOOKUP(BH8,'Tablas Magia'!$D$6:$Z$680,19,FALSE))</f>
        <v>RM 120 / radio de 20 metros</v>
      </c>
      <c r="BN10" s="5429"/>
      <c r="BO10" s="5429"/>
      <c r="BP10" s="5429"/>
      <c r="BQ10" s="5429"/>
      <c r="BR10" s="5429"/>
      <c r="BS10" s="5429"/>
      <c r="BT10" s="5429"/>
      <c r="BU10" s="5429"/>
      <c r="BV10" s="5430"/>
      <c r="BW10" s="1143"/>
      <c r="BX10" s="1137"/>
      <c r="BY10" s="1137"/>
      <c r="BZ10" s="2122"/>
      <c r="CA10" s="5426" t="s">
        <v>1674</v>
      </c>
      <c r="CB10" s="5427"/>
      <c r="CC10" s="1162">
        <f>IF(CA8=0,"",VLOOKUP(CA8,'Tablas Magia'!$D$6:$Z$680,7,FALSE))</f>
        <v>10</v>
      </c>
      <c r="CD10" s="1162">
        <f>IF(CA8=0,"",VLOOKUP(CA8,'Tablas Magia'!$D$6:$Z$680,11,FALSE))</f>
        <v>250</v>
      </c>
      <c r="CE10" s="1163">
        <f>IF(CA8=0,"",VLOOKUP(CA8,'Tablas Magia'!$D$6:$Z$680,15,FALSE))</f>
        <v>50</v>
      </c>
      <c r="CF10" s="5428" t="str">
        <f>IF(CA8=0,"",VLOOKUP(CA8,'Tablas Magia'!$D$6:$Z$680,19,FALSE))</f>
        <v>Nivel 1.</v>
      </c>
      <c r="CG10" s="5429"/>
      <c r="CH10" s="5429"/>
      <c r="CI10" s="5429"/>
      <c r="CJ10" s="5429"/>
      <c r="CK10" s="5429"/>
      <c r="CL10" s="5429"/>
      <c r="CM10" s="5429"/>
      <c r="CN10" s="5429"/>
      <c r="CO10" s="5430"/>
      <c r="CP10" s="1143"/>
      <c r="CQ10" s="1137"/>
    </row>
    <row r="11" spans="1:95" ht="12" customHeight="1" x14ac:dyDescent="0.2">
      <c r="A11" s="1137"/>
      <c r="B11" s="2108"/>
      <c r="C11" s="5431" t="s">
        <v>4572</v>
      </c>
      <c r="D11" s="5432"/>
      <c r="E11" s="1164">
        <f>IF(C8=0,"",VLOOKUP(C8,'Tablas Magia'!$D$6:$Z$680,8,FALSE))</f>
        <v>8</v>
      </c>
      <c r="F11" s="1164">
        <f>IF(C8=0,"",VLOOKUP(C8,'Tablas Magia'!$D$6:$Z$680,12,FALSE))</f>
        <v>50</v>
      </c>
      <c r="G11" s="1165">
        <f>IF(C8=0,"",VLOOKUP(C8,'Tablas Magia'!$D$6:$Z$680,16,FALSE))</f>
        <v>5</v>
      </c>
      <c r="H11" s="5433" t="str">
        <f>IF(C8=0,"",VLOOKUP(C8,'Tablas Magia'!$D$6:$Z$680,20,FALSE))</f>
        <v>25 metros de zona iluminada</v>
      </c>
      <c r="I11" s="5434"/>
      <c r="J11" s="5434"/>
      <c r="K11" s="5434"/>
      <c r="L11" s="5434"/>
      <c r="M11" s="5434"/>
      <c r="N11" s="5434"/>
      <c r="O11" s="5434"/>
      <c r="P11" s="5434"/>
      <c r="Q11" s="5435"/>
      <c r="R11" s="1143"/>
      <c r="S11" s="1137"/>
      <c r="T11" s="1137"/>
      <c r="U11" s="2108"/>
      <c r="V11" s="5431" t="s">
        <v>4572</v>
      </c>
      <c r="W11" s="5432"/>
      <c r="X11" s="1164">
        <f>IF(V8=0,"",VLOOKUP(V8,'Tablas Magia'!$D$6:$Z$680,8,FALSE))</f>
        <v>9</v>
      </c>
      <c r="Y11" s="1164">
        <f>IF(V8=0,"",VLOOKUP(V8,'Tablas Magia'!$D$6:$Z$680,12,FALSE))</f>
        <v>90</v>
      </c>
      <c r="Z11" s="1165" t="str">
        <f>IF(V8=0,"",VLOOKUP(V8,'Tablas Magia'!$D$6:$Z$680,16,FALSE))</f>
        <v>No</v>
      </c>
      <c r="AA11" s="5433" t="str">
        <f>IF(V8=0,"",VLOOKUP(V8,'Tablas Magia'!$D$6:$Z$680,20,FALSE))</f>
        <v>Daño 90.</v>
      </c>
      <c r="AB11" s="5434"/>
      <c r="AC11" s="5434"/>
      <c r="AD11" s="5434"/>
      <c r="AE11" s="5434"/>
      <c r="AF11" s="5434"/>
      <c r="AG11" s="5434"/>
      <c r="AH11" s="5434"/>
      <c r="AI11" s="5434"/>
      <c r="AJ11" s="5435"/>
      <c r="AK11" s="1143"/>
      <c r="AL11" s="1137"/>
      <c r="AM11" s="1137"/>
      <c r="AN11" s="2122"/>
      <c r="AO11" s="5431" t="s">
        <v>4572</v>
      </c>
      <c r="AP11" s="5432"/>
      <c r="AQ11" s="1164">
        <f>IF(AO8=0,"",VLOOKUP(AO8,'Tablas Magia'!$D$6:$Z$680,8,FALSE))</f>
        <v>10</v>
      </c>
      <c r="AR11" s="1164">
        <f>IF(AO8=0,"",VLOOKUP(AO8,'Tablas Magia'!$D$6:$Z$680,12,FALSE))</f>
        <v>100</v>
      </c>
      <c r="AS11" s="1165" t="str">
        <f>IF(AO8=0,"",VLOOKUP(AO8,'Tablas Magia'!$D$6:$Z$680,16,FALSE))</f>
        <v>No</v>
      </c>
      <c r="AT11" s="5433" t="str">
        <f>IF(AO8=0,"",VLOOKUP(AO8,'Tablas Magia'!$D$6:$Z$680,20,FALSE))</f>
        <v>80 Puntos de Vida</v>
      </c>
      <c r="AU11" s="5434"/>
      <c r="AV11" s="5434"/>
      <c r="AW11" s="5434"/>
      <c r="AX11" s="5434"/>
      <c r="AY11" s="5434"/>
      <c r="AZ11" s="5434"/>
      <c r="BA11" s="5434"/>
      <c r="BB11" s="5434"/>
      <c r="BC11" s="5435"/>
      <c r="BD11" s="1143"/>
      <c r="BE11" s="1137"/>
      <c r="BF11" s="1137"/>
      <c r="BG11" s="2122"/>
      <c r="BH11" s="5431" t="s">
        <v>4572</v>
      </c>
      <c r="BI11" s="5432"/>
      <c r="BJ11" s="1164">
        <f>IF(BH8=0,"",VLOOKUP(BH8,'Tablas Magia'!$D$6:$Z$680,8,FALSE))</f>
        <v>9</v>
      </c>
      <c r="BK11" s="1164">
        <f>IF(BH8=0,"",VLOOKUP(BH8,'Tablas Magia'!$D$6:$Z$680,12,FALSE))</f>
        <v>180</v>
      </c>
      <c r="BL11" s="1165">
        <f>IF(BH8=0,"",VLOOKUP(BH8,'Tablas Magia'!$D$6:$Z$680,16,FALSE))</f>
        <v>20</v>
      </c>
      <c r="BM11" s="5433" t="str">
        <f>IF(BH8=0,"",VLOOKUP(BH8,'Tablas Magia'!$D$6:$Z$680,20,FALSE))</f>
        <v>RM 140 / radio de 100 metros</v>
      </c>
      <c r="BN11" s="5434"/>
      <c r="BO11" s="5434"/>
      <c r="BP11" s="5434"/>
      <c r="BQ11" s="5434"/>
      <c r="BR11" s="5434"/>
      <c r="BS11" s="5434"/>
      <c r="BT11" s="5434"/>
      <c r="BU11" s="5434"/>
      <c r="BV11" s="5435"/>
      <c r="BW11" s="1143"/>
      <c r="BX11" s="1137"/>
      <c r="BY11" s="1137"/>
      <c r="BZ11" s="2122"/>
      <c r="CA11" s="5431" t="s">
        <v>4572</v>
      </c>
      <c r="CB11" s="5432"/>
      <c r="CC11" s="1164">
        <f>IF(CA8=0,"",VLOOKUP(CA8,'Tablas Magia'!$D$6:$Z$680,8,FALSE))</f>
        <v>12</v>
      </c>
      <c r="CD11" s="1164">
        <f>IF(CA8=0,"",VLOOKUP(CA8,'Tablas Magia'!$D$6:$Z$680,12,FALSE))</f>
        <v>350</v>
      </c>
      <c r="CE11" s="1165">
        <f>IF(CA8=0,"",VLOOKUP(CA8,'Tablas Magia'!$D$6:$Z$680,16,FALSE))</f>
        <v>70</v>
      </c>
      <c r="CF11" s="5433" t="str">
        <f>IF(CA8=0,"",VLOOKUP(CA8,'Tablas Magia'!$D$6:$Z$680,20,FALSE))</f>
        <v>Nivel 3</v>
      </c>
      <c r="CG11" s="5434"/>
      <c r="CH11" s="5434"/>
      <c r="CI11" s="5434"/>
      <c r="CJ11" s="5434"/>
      <c r="CK11" s="5434"/>
      <c r="CL11" s="5434"/>
      <c r="CM11" s="5434"/>
      <c r="CN11" s="5434"/>
      <c r="CO11" s="5435"/>
      <c r="CP11" s="1143"/>
      <c r="CQ11" s="1137"/>
    </row>
    <row r="12" spans="1:95" ht="12" customHeight="1" x14ac:dyDescent="0.2">
      <c r="A12" s="1137"/>
      <c r="B12" s="2108"/>
      <c r="C12" s="5426" t="s">
        <v>4573</v>
      </c>
      <c r="D12" s="5427"/>
      <c r="E12" s="1162">
        <f>IF(C8=0,"",VLOOKUP(C8,'Tablas Magia'!$D$6:$Z$680,9,FALSE))</f>
        <v>10</v>
      </c>
      <c r="F12" s="1162">
        <f>IF(C8=0,"",VLOOKUP(C8,'Tablas Magia'!$D$6:$Z$680,13,FALSE))</f>
        <v>100</v>
      </c>
      <c r="G12" s="1163">
        <f>IF(C8=0,"",VLOOKUP(C8,'Tablas Magia'!$D$6:$Z$680,17,FALSE))</f>
        <v>10</v>
      </c>
      <c r="H12" s="5428" t="str">
        <f>IF(C8=0,"",VLOOKUP(C8,'Tablas Magia'!$D$6:$Z$680,21,FALSE))</f>
        <v>100 metros de zona iluminada</v>
      </c>
      <c r="I12" s="5429"/>
      <c r="J12" s="5429"/>
      <c r="K12" s="5429"/>
      <c r="L12" s="5429"/>
      <c r="M12" s="5429"/>
      <c r="N12" s="5429"/>
      <c r="O12" s="5429"/>
      <c r="P12" s="5429"/>
      <c r="Q12" s="5430"/>
      <c r="R12" s="1143"/>
      <c r="S12" s="1137"/>
      <c r="T12" s="1137"/>
      <c r="U12" s="2108"/>
      <c r="V12" s="5426" t="s">
        <v>4573</v>
      </c>
      <c r="W12" s="5427"/>
      <c r="X12" s="1162">
        <f>IF(V8=0,"",VLOOKUP(V8,'Tablas Magia'!$D$6:$Z$680,9,FALSE))</f>
        <v>12</v>
      </c>
      <c r="Y12" s="1162">
        <f>IF(V8=0,"",VLOOKUP(V8,'Tablas Magia'!$D$6:$Z$680,13,FALSE))</f>
        <v>120</v>
      </c>
      <c r="Z12" s="1163" t="str">
        <f>IF(V8=0,"",VLOOKUP(V8,'Tablas Magia'!$D$6:$Z$680,17,FALSE))</f>
        <v>No</v>
      </c>
      <c r="AA12" s="5428" t="str">
        <f>IF(V8=0,"",VLOOKUP(V8,'Tablas Magia'!$D$6:$Z$680,21,FALSE))</f>
        <v>Daño 120.</v>
      </c>
      <c r="AB12" s="5429"/>
      <c r="AC12" s="5429"/>
      <c r="AD12" s="5429"/>
      <c r="AE12" s="5429"/>
      <c r="AF12" s="5429"/>
      <c r="AG12" s="5429"/>
      <c r="AH12" s="5429"/>
      <c r="AI12" s="5429"/>
      <c r="AJ12" s="5430"/>
      <c r="AK12" s="1143"/>
      <c r="AL12" s="1137"/>
      <c r="AM12" s="1137"/>
      <c r="AN12" s="2122"/>
      <c r="AO12" s="5426" t="s">
        <v>4573</v>
      </c>
      <c r="AP12" s="5427"/>
      <c r="AQ12" s="1162">
        <f>IF(AO8=0,"",VLOOKUP(AO8,'Tablas Magia'!$D$6:$Z$680,9,FALSE))</f>
        <v>13</v>
      </c>
      <c r="AR12" s="1162">
        <f>IF(AO8=0,"",VLOOKUP(AO8,'Tablas Magia'!$D$6:$Z$680,13,FALSE))</f>
        <v>150</v>
      </c>
      <c r="AS12" s="1163" t="str">
        <f>IF(AO8=0,"",VLOOKUP(AO8,'Tablas Magia'!$D$6:$Z$680,17,FALSE))</f>
        <v>No</v>
      </c>
      <c r="AT12" s="5428" t="str">
        <f>IF(AO8=0,"",VLOOKUP(AO8,'Tablas Magia'!$D$6:$Z$680,21,FALSE))</f>
        <v>120 Puntos de Vida</v>
      </c>
      <c r="AU12" s="5429"/>
      <c r="AV12" s="5429"/>
      <c r="AW12" s="5429"/>
      <c r="AX12" s="5429"/>
      <c r="AY12" s="5429"/>
      <c r="AZ12" s="5429"/>
      <c r="BA12" s="5429"/>
      <c r="BB12" s="5429"/>
      <c r="BC12" s="5430"/>
      <c r="BD12" s="1143"/>
      <c r="BE12" s="1137"/>
      <c r="BF12" s="1137"/>
      <c r="BG12" s="2122"/>
      <c r="BH12" s="5426" t="s">
        <v>4573</v>
      </c>
      <c r="BI12" s="5427"/>
      <c r="BJ12" s="1162">
        <f>IF(BH8=0,"",VLOOKUP(BH8,'Tablas Magia'!$D$6:$Z$680,9,FALSE))</f>
        <v>12</v>
      </c>
      <c r="BK12" s="1162">
        <f>IF(BH8=0,"",VLOOKUP(BH8,'Tablas Magia'!$D$6:$Z$680,13,FALSE))</f>
        <v>240</v>
      </c>
      <c r="BL12" s="1163">
        <f>IF(BH8=0,"",VLOOKUP(BH8,'Tablas Magia'!$D$6:$Z$680,17,FALSE))</f>
        <v>25</v>
      </c>
      <c r="BM12" s="5428" t="str">
        <f>IF(BH8=0,"",VLOOKUP(BH8,'Tablas Magia'!$D$6:$Z$680,21,FALSE))</f>
        <v>RM 160 / radio de 250 metros</v>
      </c>
      <c r="BN12" s="5429"/>
      <c r="BO12" s="5429"/>
      <c r="BP12" s="5429"/>
      <c r="BQ12" s="5429"/>
      <c r="BR12" s="5429"/>
      <c r="BS12" s="5429"/>
      <c r="BT12" s="5429"/>
      <c r="BU12" s="5429"/>
      <c r="BV12" s="5430"/>
      <c r="BW12" s="1143"/>
      <c r="BX12" s="1137"/>
      <c r="BY12" s="1137"/>
      <c r="BZ12" s="2122"/>
      <c r="CA12" s="5426" t="s">
        <v>4573</v>
      </c>
      <c r="CB12" s="5427"/>
      <c r="CC12" s="1162">
        <f>IF(CA8=0,"",VLOOKUP(CA8,'Tablas Magia'!$D$6:$Z$680,9,FALSE))</f>
        <v>14</v>
      </c>
      <c r="CD12" s="1162">
        <f>IF(CA8=0,"",VLOOKUP(CA8,'Tablas Magia'!$D$6:$Z$680,13,FALSE))</f>
        <v>500</v>
      </c>
      <c r="CE12" s="1163">
        <f>IF(CA8=0,"",VLOOKUP(CA8,'Tablas Magia'!$D$6:$Z$680,17,FALSE))</f>
        <v>100</v>
      </c>
      <c r="CF12" s="5428" t="str">
        <f>IF(CA8=0,"",VLOOKUP(CA8,'Tablas Magia'!$D$6:$Z$680,21,FALSE))</f>
        <v>Nivel 6.</v>
      </c>
      <c r="CG12" s="5429"/>
      <c r="CH12" s="5429"/>
      <c r="CI12" s="5429"/>
      <c r="CJ12" s="5429"/>
      <c r="CK12" s="5429"/>
      <c r="CL12" s="5429"/>
      <c r="CM12" s="5429"/>
      <c r="CN12" s="5429"/>
      <c r="CO12" s="5430"/>
      <c r="CP12" s="1143"/>
      <c r="CQ12" s="1137"/>
    </row>
    <row r="13" spans="1:95" ht="12" customHeight="1" thickBot="1" x14ac:dyDescent="0.25">
      <c r="A13" s="1137"/>
      <c r="B13" s="2108"/>
      <c r="C13" s="5436" t="s">
        <v>4574</v>
      </c>
      <c r="D13" s="5437"/>
      <c r="E13" s="1166">
        <f>IF(C8=0,"",VLOOKUP(C8,'Tablas Magia'!$D$6:$Z$680,10,FALSE))</f>
        <v>12</v>
      </c>
      <c r="F13" s="1166">
        <f>IF(C8=0,"",VLOOKUP(C8,'Tablas Magia'!$D$6:$Z$680,14,FALSE))</f>
        <v>200</v>
      </c>
      <c r="G13" s="1167">
        <f>IF(C8=0,"",VLOOKUP(C8,'Tablas Magia'!$D$6:$Z$680,18,FALSE))</f>
        <v>15</v>
      </c>
      <c r="H13" s="5438" t="str">
        <f>IF(C8=0,"",VLOOKUP(C8,'Tablas Magia'!$D$6:$Z$680,22,FALSE))</f>
        <v>500 metros de zona iluminada</v>
      </c>
      <c r="I13" s="5439"/>
      <c r="J13" s="5439"/>
      <c r="K13" s="5439"/>
      <c r="L13" s="5439"/>
      <c r="M13" s="5439"/>
      <c r="N13" s="5439"/>
      <c r="O13" s="5439"/>
      <c r="P13" s="5439"/>
      <c r="Q13" s="5440"/>
      <c r="R13" s="1143"/>
      <c r="S13" s="1137"/>
      <c r="T13" s="1137"/>
      <c r="U13" s="2108"/>
      <c r="V13" s="5436" t="s">
        <v>4574</v>
      </c>
      <c r="W13" s="5437"/>
      <c r="X13" s="1166">
        <f>IF(V8=0,"",VLOOKUP(V8,'Tablas Magia'!$D$6:$Z$680,10,FALSE))</f>
        <v>15</v>
      </c>
      <c r="Y13" s="1166">
        <f>IF(V8=0,"",VLOOKUP(V8,'Tablas Magia'!$D$6:$Z$680,14,FALSE))</f>
        <v>150</v>
      </c>
      <c r="Z13" s="1167" t="str">
        <f>IF(V8=0,"",VLOOKUP(V8,'Tablas Magia'!$D$6:$Z$680,18,FALSE))</f>
        <v>No</v>
      </c>
      <c r="AA13" s="5438" t="str">
        <f>IF(V8=0,"",VLOOKUP(V8,'Tablas Magia'!$D$6:$Z$680,22,FALSE))</f>
        <v>Daño 150.</v>
      </c>
      <c r="AB13" s="5439"/>
      <c r="AC13" s="5439"/>
      <c r="AD13" s="5439"/>
      <c r="AE13" s="5439"/>
      <c r="AF13" s="5439"/>
      <c r="AG13" s="5439"/>
      <c r="AH13" s="5439"/>
      <c r="AI13" s="5439"/>
      <c r="AJ13" s="5440"/>
      <c r="AK13" s="1143"/>
      <c r="AL13" s="1137"/>
      <c r="AM13" s="1137"/>
      <c r="AN13" s="2122"/>
      <c r="AO13" s="5436" t="s">
        <v>4574</v>
      </c>
      <c r="AP13" s="5437"/>
      <c r="AQ13" s="1166">
        <f>IF(AO8=0,"",VLOOKUP(AO8,'Tablas Magia'!$D$6:$Z$680,10,FALSE))</f>
        <v>15</v>
      </c>
      <c r="AR13" s="1166">
        <f>IF(AO8=0,"",VLOOKUP(AO8,'Tablas Magia'!$D$6:$Z$680,14,FALSE))</f>
        <v>200</v>
      </c>
      <c r="AS13" s="1167" t="str">
        <f>IF(AO8=0,"",VLOOKUP(AO8,'Tablas Magia'!$D$6:$Z$680,18,FALSE))</f>
        <v>No</v>
      </c>
      <c r="AT13" s="5438" t="str">
        <f>IF(AO8=0,"",VLOOKUP(AO8,'Tablas Magia'!$D$6:$Z$680,22,FALSE))</f>
        <v>250 Puntos de Vida</v>
      </c>
      <c r="AU13" s="5439"/>
      <c r="AV13" s="5439"/>
      <c r="AW13" s="5439"/>
      <c r="AX13" s="5439"/>
      <c r="AY13" s="5439"/>
      <c r="AZ13" s="5439"/>
      <c r="BA13" s="5439"/>
      <c r="BB13" s="5439"/>
      <c r="BC13" s="5440"/>
      <c r="BD13" s="1143"/>
      <c r="BE13" s="1137"/>
      <c r="BF13" s="1137"/>
      <c r="BG13" s="2122"/>
      <c r="BH13" s="5436" t="s">
        <v>4574</v>
      </c>
      <c r="BI13" s="5437"/>
      <c r="BJ13" s="1166">
        <f>IF(BH8=0,"",VLOOKUP(BH8,'Tablas Magia'!$D$6:$Z$680,10,FALSE))</f>
        <v>15</v>
      </c>
      <c r="BK13" s="1166">
        <f>IF(BH8=0,"",VLOOKUP(BH8,'Tablas Magia'!$D$6:$Z$680,14,FALSE))</f>
        <v>300</v>
      </c>
      <c r="BL13" s="1167">
        <f>IF(BH8=0,"",VLOOKUP(BH8,'Tablas Magia'!$D$6:$Z$680,18,FALSE))</f>
        <v>30</v>
      </c>
      <c r="BM13" s="5438" t="str">
        <f>IF(BH8=0,"",VLOOKUP(BH8,'Tablas Magia'!$D$6:$Z$680,22,FALSE))</f>
        <v>RM 180 / radio de 500 metros</v>
      </c>
      <c r="BN13" s="5439"/>
      <c r="BO13" s="5439"/>
      <c r="BP13" s="5439"/>
      <c r="BQ13" s="5439"/>
      <c r="BR13" s="5439"/>
      <c r="BS13" s="5439"/>
      <c r="BT13" s="5439"/>
      <c r="BU13" s="5439"/>
      <c r="BV13" s="5440"/>
      <c r="BW13" s="1143"/>
      <c r="BX13" s="1137"/>
      <c r="BY13" s="1137"/>
      <c r="BZ13" s="2122"/>
      <c r="CA13" s="5436" t="s">
        <v>4574</v>
      </c>
      <c r="CB13" s="5437"/>
      <c r="CC13" s="1166">
        <f>IF(CA8=0,"",VLOOKUP(CA8,'Tablas Magia'!$D$6:$Z$680,10,FALSE))</f>
        <v>16</v>
      </c>
      <c r="CD13" s="1166">
        <f>IF(CA8=0,"",VLOOKUP(CA8,'Tablas Magia'!$D$6:$Z$680,14,FALSE))</f>
        <v>700</v>
      </c>
      <c r="CE13" s="1167">
        <f>IF(CA8=0,"",VLOOKUP(CA8,'Tablas Magia'!$D$6:$Z$680,18,FALSE))</f>
        <v>140</v>
      </c>
      <c r="CF13" s="5438" t="str">
        <f>IF(CA8=0,"",VLOOKUP(CA8,'Tablas Magia'!$D$6:$Z$680,22,FALSE))</f>
        <v>Nivel 10.</v>
      </c>
      <c r="CG13" s="5439"/>
      <c r="CH13" s="5439"/>
      <c r="CI13" s="5439"/>
      <c r="CJ13" s="5439"/>
      <c r="CK13" s="5439"/>
      <c r="CL13" s="5439"/>
      <c r="CM13" s="5439"/>
      <c r="CN13" s="5439"/>
      <c r="CO13" s="5440"/>
      <c r="CP13" s="1143"/>
      <c r="CQ13" s="1137"/>
    </row>
    <row r="14" spans="1:95" ht="12" customHeight="1" x14ac:dyDescent="0.2">
      <c r="A14" s="1137"/>
      <c r="B14" s="2108"/>
      <c r="C14" s="5441" t="str">
        <f>IF(C8=0,"",VLOOKUP(C8,'Tablas Magia'!$D$6:$Z$680,23,FALSE))</f>
        <v>Crea una fuente de luz en un punto u objeto determinado por el hechicero</v>
      </c>
      <c r="D14" s="5442"/>
      <c r="E14" s="5442"/>
      <c r="F14" s="5442"/>
      <c r="G14" s="5442"/>
      <c r="H14" s="5442"/>
      <c r="I14" s="5442"/>
      <c r="J14" s="5442"/>
      <c r="K14" s="5442"/>
      <c r="L14" s="5442"/>
      <c r="M14" s="5442"/>
      <c r="N14" s="5442"/>
      <c r="O14" s="5442"/>
      <c r="P14" s="5442"/>
      <c r="Q14" s="5443"/>
      <c r="R14" s="1143"/>
      <c r="S14" s="1137"/>
      <c r="T14" s="1137"/>
      <c r="U14" s="2108"/>
      <c r="V14" s="5441" t="str">
        <f>IF(V8=0,"",VLOOKUP(V8,'Tablas Magia'!$D$6:$Z$680,23,FALSE))</f>
        <v>Proyecta una descarga de energía mágica basada en luz. El ataque se realiza en la TA de Energía</v>
      </c>
      <c r="W14" s="5442"/>
      <c r="X14" s="5442"/>
      <c r="Y14" s="5442"/>
      <c r="Z14" s="5442"/>
      <c r="AA14" s="5442"/>
      <c r="AB14" s="5442"/>
      <c r="AC14" s="5442"/>
      <c r="AD14" s="5442"/>
      <c r="AE14" s="5442"/>
      <c r="AF14" s="5442"/>
      <c r="AG14" s="5442"/>
      <c r="AH14" s="5442"/>
      <c r="AI14" s="5442"/>
      <c r="AJ14" s="5443"/>
      <c r="AK14" s="1143"/>
      <c r="AL14" s="1137"/>
      <c r="AM14" s="1137"/>
      <c r="AN14" s="2122"/>
      <c r="AO14" s="5441" t="str">
        <f>IF(AO8=0,"",VLOOKUP(AO8,'Tablas Magia'!$D$6:$Z$680,23,FALSE))</f>
        <v>Hace recuperar puntos de vida al sujeto sobre el que se lance. Este conjuro no permite restaurar miembros cercenados o pérdidas permanentes, ni tampoco elimina los penalizadores causados por los críticos</v>
      </c>
      <c r="AP14" s="5442"/>
      <c r="AQ14" s="5442"/>
      <c r="AR14" s="5442"/>
      <c r="AS14" s="5442"/>
      <c r="AT14" s="5442"/>
      <c r="AU14" s="5442"/>
      <c r="AV14" s="5442"/>
      <c r="AW14" s="5442"/>
      <c r="AX14" s="5442"/>
      <c r="AY14" s="5442"/>
      <c r="AZ14" s="5442"/>
      <c r="BA14" s="5442"/>
      <c r="BB14" s="5442"/>
      <c r="BC14" s="5443"/>
      <c r="BD14" s="1143"/>
      <c r="BE14" s="1137"/>
      <c r="BF14" s="1137"/>
      <c r="BG14" s="2122"/>
      <c r="BH14" s="5441"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42"/>
      <c r="BJ14" s="5442"/>
      <c r="BK14" s="5442"/>
      <c r="BL14" s="5442"/>
      <c r="BM14" s="5442"/>
      <c r="BN14" s="5442"/>
      <c r="BO14" s="5442"/>
      <c r="BP14" s="5442"/>
      <c r="BQ14" s="5442"/>
      <c r="BR14" s="5442"/>
      <c r="BS14" s="5442"/>
      <c r="BT14" s="5442"/>
      <c r="BU14" s="5442"/>
      <c r="BV14" s="5443"/>
      <c r="BW14" s="1143"/>
      <c r="BX14" s="1137"/>
      <c r="BY14" s="1137"/>
      <c r="BZ14" s="2122"/>
      <c r="CA14" s="5441"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42"/>
      <c r="CC14" s="5442"/>
      <c r="CD14" s="5442"/>
      <c r="CE14" s="5442"/>
      <c r="CF14" s="5442"/>
      <c r="CG14" s="5442"/>
      <c r="CH14" s="5442"/>
      <c r="CI14" s="5442"/>
      <c r="CJ14" s="5442"/>
      <c r="CK14" s="5442"/>
      <c r="CL14" s="5442"/>
      <c r="CM14" s="5442"/>
      <c r="CN14" s="5442"/>
      <c r="CO14" s="5443"/>
      <c r="CP14" s="1143"/>
      <c r="CQ14" s="1137"/>
    </row>
    <row r="15" spans="1:95" ht="12" customHeight="1" x14ac:dyDescent="0.2">
      <c r="A15" s="1137"/>
      <c r="B15" s="2108"/>
      <c r="C15" s="5444"/>
      <c r="D15" s="5445"/>
      <c r="E15" s="5445"/>
      <c r="F15" s="5445"/>
      <c r="G15" s="5445"/>
      <c r="H15" s="5445"/>
      <c r="I15" s="5445"/>
      <c r="J15" s="5445"/>
      <c r="K15" s="5445"/>
      <c r="L15" s="5445"/>
      <c r="M15" s="5445"/>
      <c r="N15" s="5445"/>
      <c r="O15" s="5445"/>
      <c r="P15" s="5445"/>
      <c r="Q15" s="5446"/>
      <c r="R15" s="1143"/>
      <c r="S15" s="1137"/>
      <c r="T15" s="1137"/>
      <c r="U15" s="2108"/>
      <c r="V15" s="5444"/>
      <c r="W15" s="5445"/>
      <c r="X15" s="5445"/>
      <c r="Y15" s="5445"/>
      <c r="Z15" s="5445"/>
      <c r="AA15" s="5445"/>
      <c r="AB15" s="5445"/>
      <c r="AC15" s="5445"/>
      <c r="AD15" s="5445"/>
      <c r="AE15" s="5445"/>
      <c r="AF15" s="5445"/>
      <c r="AG15" s="5445"/>
      <c r="AH15" s="5445"/>
      <c r="AI15" s="5445"/>
      <c r="AJ15" s="5446"/>
      <c r="AK15" s="1143"/>
      <c r="AL15" s="1137"/>
      <c r="AM15" s="1137"/>
      <c r="AN15" s="2122"/>
      <c r="AO15" s="5444"/>
      <c r="AP15" s="5445"/>
      <c r="AQ15" s="5445"/>
      <c r="AR15" s="5445"/>
      <c r="AS15" s="5445"/>
      <c r="AT15" s="5445"/>
      <c r="AU15" s="5445"/>
      <c r="AV15" s="5445"/>
      <c r="AW15" s="5445"/>
      <c r="AX15" s="5445"/>
      <c r="AY15" s="5445"/>
      <c r="AZ15" s="5445"/>
      <c r="BA15" s="5445"/>
      <c r="BB15" s="5445"/>
      <c r="BC15" s="5446"/>
      <c r="BD15" s="1143"/>
      <c r="BE15" s="1137"/>
      <c r="BF15" s="1137"/>
      <c r="BG15" s="2122"/>
      <c r="BH15" s="5444"/>
      <c r="BI15" s="5445"/>
      <c r="BJ15" s="5445"/>
      <c r="BK15" s="5445"/>
      <c r="BL15" s="5445"/>
      <c r="BM15" s="5445"/>
      <c r="BN15" s="5445"/>
      <c r="BO15" s="5445"/>
      <c r="BP15" s="5445"/>
      <c r="BQ15" s="5445"/>
      <c r="BR15" s="5445"/>
      <c r="BS15" s="5445"/>
      <c r="BT15" s="5445"/>
      <c r="BU15" s="5445"/>
      <c r="BV15" s="5446"/>
      <c r="BW15" s="1143"/>
      <c r="BX15" s="1137"/>
      <c r="BY15" s="1137"/>
      <c r="BZ15" s="2122"/>
      <c r="CA15" s="5444"/>
      <c r="CB15" s="5445"/>
      <c r="CC15" s="5445"/>
      <c r="CD15" s="5445"/>
      <c r="CE15" s="5445"/>
      <c r="CF15" s="5445"/>
      <c r="CG15" s="5445"/>
      <c r="CH15" s="5445"/>
      <c r="CI15" s="5445"/>
      <c r="CJ15" s="5445"/>
      <c r="CK15" s="5445"/>
      <c r="CL15" s="5445"/>
      <c r="CM15" s="5445"/>
      <c r="CN15" s="5445"/>
      <c r="CO15" s="5446"/>
      <c r="CP15" s="1143"/>
      <c r="CQ15" s="1137"/>
    </row>
    <row r="16" spans="1:95" ht="12" customHeight="1" x14ac:dyDescent="0.2">
      <c r="A16" s="1137"/>
      <c r="B16" s="2108"/>
      <c r="C16" s="5444"/>
      <c r="D16" s="5445"/>
      <c r="E16" s="5445"/>
      <c r="F16" s="5445"/>
      <c r="G16" s="5445"/>
      <c r="H16" s="5445"/>
      <c r="I16" s="5445"/>
      <c r="J16" s="5445"/>
      <c r="K16" s="5445"/>
      <c r="L16" s="5445"/>
      <c r="M16" s="5445"/>
      <c r="N16" s="5445"/>
      <c r="O16" s="5445"/>
      <c r="P16" s="5445"/>
      <c r="Q16" s="5446"/>
      <c r="R16" s="1143"/>
      <c r="S16" s="1137"/>
      <c r="T16" s="1137"/>
      <c r="U16" s="2108"/>
      <c r="V16" s="5444"/>
      <c r="W16" s="5445"/>
      <c r="X16" s="5445"/>
      <c r="Y16" s="5445"/>
      <c r="Z16" s="5445"/>
      <c r="AA16" s="5445"/>
      <c r="AB16" s="5445"/>
      <c r="AC16" s="5445"/>
      <c r="AD16" s="5445"/>
      <c r="AE16" s="5445"/>
      <c r="AF16" s="5445"/>
      <c r="AG16" s="5445"/>
      <c r="AH16" s="5445"/>
      <c r="AI16" s="5445"/>
      <c r="AJ16" s="5446"/>
      <c r="AK16" s="1143"/>
      <c r="AL16" s="1137"/>
      <c r="AM16" s="1137"/>
      <c r="AN16" s="2122"/>
      <c r="AO16" s="5444"/>
      <c r="AP16" s="5445"/>
      <c r="AQ16" s="5445"/>
      <c r="AR16" s="5445"/>
      <c r="AS16" s="5445"/>
      <c r="AT16" s="5445"/>
      <c r="AU16" s="5445"/>
      <c r="AV16" s="5445"/>
      <c r="AW16" s="5445"/>
      <c r="AX16" s="5445"/>
      <c r="AY16" s="5445"/>
      <c r="AZ16" s="5445"/>
      <c r="BA16" s="5445"/>
      <c r="BB16" s="5445"/>
      <c r="BC16" s="5446"/>
      <c r="BD16" s="1143"/>
      <c r="BE16" s="1137"/>
      <c r="BF16" s="1137"/>
      <c r="BG16" s="2122"/>
      <c r="BH16" s="5444"/>
      <c r="BI16" s="5445"/>
      <c r="BJ16" s="5445"/>
      <c r="BK16" s="5445"/>
      <c r="BL16" s="5445"/>
      <c r="BM16" s="5445"/>
      <c r="BN16" s="5445"/>
      <c r="BO16" s="5445"/>
      <c r="BP16" s="5445"/>
      <c r="BQ16" s="5445"/>
      <c r="BR16" s="5445"/>
      <c r="BS16" s="5445"/>
      <c r="BT16" s="5445"/>
      <c r="BU16" s="5445"/>
      <c r="BV16" s="5446"/>
      <c r="BW16" s="1143"/>
      <c r="BX16" s="1137"/>
      <c r="BY16" s="1137"/>
      <c r="BZ16" s="2122"/>
      <c r="CA16" s="5444"/>
      <c r="CB16" s="5445"/>
      <c r="CC16" s="5445"/>
      <c r="CD16" s="5445"/>
      <c r="CE16" s="5445"/>
      <c r="CF16" s="5445"/>
      <c r="CG16" s="5445"/>
      <c r="CH16" s="5445"/>
      <c r="CI16" s="5445"/>
      <c r="CJ16" s="5445"/>
      <c r="CK16" s="5445"/>
      <c r="CL16" s="5445"/>
      <c r="CM16" s="5445"/>
      <c r="CN16" s="5445"/>
      <c r="CO16" s="5446"/>
      <c r="CP16" s="1143"/>
      <c r="CQ16" s="1137"/>
    </row>
    <row r="17" spans="1:95" ht="12" customHeight="1" thickBot="1" x14ac:dyDescent="0.25">
      <c r="A17" s="1137"/>
      <c r="B17" s="2108"/>
      <c r="C17" s="5447"/>
      <c r="D17" s="5448"/>
      <c r="E17" s="5448"/>
      <c r="F17" s="5448"/>
      <c r="G17" s="5448"/>
      <c r="H17" s="5448"/>
      <c r="I17" s="5448"/>
      <c r="J17" s="5448"/>
      <c r="K17" s="5448"/>
      <c r="L17" s="5448"/>
      <c r="M17" s="5448"/>
      <c r="N17" s="5448"/>
      <c r="O17" s="5448"/>
      <c r="P17" s="5448"/>
      <c r="Q17" s="5449"/>
      <c r="R17" s="1143"/>
      <c r="S17" s="1137"/>
      <c r="T17" s="1137"/>
      <c r="U17" s="2108"/>
      <c r="V17" s="5447"/>
      <c r="W17" s="5448"/>
      <c r="X17" s="5448"/>
      <c r="Y17" s="5448"/>
      <c r="Z17" s="5448"/>
      <c r="AA17" s="5448"/>
      <c r="AB17" s="5448"/>
      <c r="AC17" s="5448"/>
      <c r="AD17" s="5448"/>
      <c r="AE17" s="5448"/>
      <c r="AF17" s="5448"/>
      <c r="AG17" s="5448"/>
      <c r="AH17" s="5448"/>
      <c r="AI17" s="5448"/>
      <c r="AJ17" s="5449"/>
      <c r="AK17" s="1143"/>
      <c r="AL17" s="1137"/>
      <c r="AM17" s="1137"/>
      <c r="AN17" s="2122"/>
      <c r="AO17" s="5447"/>
      <c r="AP17" s="5448"/>
      <c r="AQ17" s="5448"/>
      <c r="AR17" s="5448"/>
      <c r="AS17" s="5448"/>
      <c r="AT17" s="5448"/>
      <c r="AU17" s="5448"/>
      <c r="AV17" s="5448"/>
      <c r="AW17" s="5448"/>
      <c r="AX17" s="5448"/>
      <c r="AY17" s="5448"/>
      <c r="AZ17" s="5448"/>
      <c r="BA17" s="5448"/>
      <c r="BB17" s="5448"/>
      <c r="BC17" s="5449"/>
      <c r="BD17" s="1143"/>
      <c r="BE17" s="1137"/>
      <c r="BF17" s="1137"/>
      <c r="BG17" s="2122"/>
      <c r="BH17" s="5447"/>
      <c r="BI17" s="5448"/>
      <c r="BJ17" s="5448"/>
      <c r="BK17" s="5448"/>
      <c r="BL17" s="5448"/>
      <c r="BM17" s="5448"/>
      <c r="BN17" s="5448"/>
      <c r="BO17" s="5448"/>
      <c r="BP17" s="5448"/>
      <c r="BQ17" s="5448"/>
      <c r="BR17" s="5448"/>
      <c r="BS17" s="5448"/>
      <c r="BT17" s="5448"/>
      <c r="BU17" s="5448"/>
      <c r="BV17" s="5449"/>
      <c r="BW17" s="1143"/>
      <c r="BX17" s="1137"/>
      <c r="BY17" s="1137"/>
      <c r="BZ17" s="2122"/>
      <c r="CA17" s="5447"/>
      <c r="CB17" s="5448"/>
      <c r="CC17" s="5448"/>
      <c r="CD17" s="5448"/>
      <c r="CE17" s="5448"/>
      <c r="CF17" s="5448"/>
      <c r="CG17" s="5448"/>
      <c r="CH17" s="5448"/>
      <c r="CI17" s="5448"/>
      <c r="CJ17" s="5448"/>
      <c r="CK17" s="5448"/>
      <c r="CL17" s="5448"/>
      <c r="CM17" s="5448"/>
      <c r="CN17" s="5448"/>
      <c r="CO17" s="5449"/>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66"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67"/>
      <c r="E19" s="5467"/>
      <c r="F19" s="5467"/>
      <c r="G19" s="5467"/>
      <c r="H19" s="1157" t="s">
        <v>1627</v>
      </c>
      <c r="I19" s="1158">
        <f>B19</f>
        <v>4</v>
      </c>
      <c r="J19" s="5454" t="s">
        <v>7687</v>
      </c>
      <c r="K19" s="5454"/>
      <c r="L19" s="5454"/>
      <c r="M19" s="5455" t="e">
        <f>IF(C19=0,"",VLOOKUP(C19,'Tablas Magia'!$D$6:$Z$680,2,FALSE))</f>
        <v>#N/A</v>
      </c>
      <c r="N19" s="5455"/>
      <c r="O19" s="5455"/>
      <c r="P19" s="5455"/>
      <c r="Q19" s="5456"/>
      <c r="R19" s="1143"/>
      <c r="S19" s="1137"/>
      <c r="T19" s="1137"/>
      <c r="U19" s="2108">
        <f>U8+2</f>
        <v>24</v>
      </c>
      <c r="V19" s="5466"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67"/>
      <c r="X19" s="5467"/>
      <c r="Y19" s="5467"/>
      <c r="Z19" s="5467"/>
      <c r="AA19" s="1157" t="s">
        <v>1627</v>
      </c>
      <c r="AB19" s="1158">
        <f>U19</f>
        <v>24</v>
      </c>
      <c r="AC19" s="5454" t="s">
        <v>7687</v>
      </c>
      <c r="AD19" s="5454"/>
      <c r="AE19" s="5454"/>
      <c r="AF19" s="5455" t="e">
        <f>IF(V19=0,"",VLOOKUP(V19,'Tablas Magia'!$D$6:$Z$680,2,FALSE))</f>
        <v>#N/A</v>
      </c>
      <c r="AG19" s="5455"/>
      <c r="AH19" s="5455"/>
      <c r="AI19" s="5455"/>
      <c r="AJ19" s="5456"/>
      <c r="AK19" s="1143"/>
      <c r="AL19" s="1137"/>
      <c r="AM19" s="1137"/>
      <c r="AN19" s="2122">
        <f>AN8+2</f>
        <v>44</v>
      </c>
      <c r="AO19" s="5466"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67"/>
      <c r="AQ19" s="5467"/>
      <c r="AR19" s="5467"/>
      <c r="AS19" s="5467"/>
      <c r="AT19" s="1157" t="s">
        <v>1627</v>
      </c>
      <c r="AU19" s="1158">
        <f>AN19</f>
        <v>44</v>
      </c>
      <c r="AV19" s="5454" t="s">
        <v>7687</v>
      </c>
      <c r="AW19" s="5454"/>
      <c r="AX19" s="5454"/>
      <c r="AY19" s="5455" t="e">
        <f>IF(AO19=0,"",VLOOKUP(AO19,'Tablas Magia'!$D$6:$Z$680,2,FALSE))</f>
        <v>#N/A</v>
      </c>
      <c r="AZ19" s="5455"/>
      <c r="BA19" s="5455"/>
      <c r="BB19" s="5455"/>
      <c r="BC19" s="5456"/>
      <c r="BD19" s="1143"/>
      <c r="BE19" s="1137"/>
      <c r="BF19" s="1137"/>
      <c r="BG19" s="2122">
        <f>BG8+2</f>
        <v>64</v>
      </c>
      <c r="BH19" s="5466"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67"/>
      <c r="BJ19" s="5467"/>
      <c r="BK19" s="5467"/>
      <c r="BL19" s="5467"/>
      <c r="BM19" s="1157" t="s">
        <v>1627</v>
      </c>
      <c r="BN19" s="1158">
        <f>BG19</f>
        <v>64</v>
      </c>
      <c r="BO19" s="5454" t="s">
        <v>7687</v>
      </c>
      <c r="BP19" s="5454"/>
      <c r="BQ19" s="5454"/>
      <c r="BR19" s="5455" t="e">
        <f>IF(BH19=0,"",VLOOKUP(BH19,'Tablas Magia'!$D$6:$Z$680,2,FALSE))</f>
        <v>#N/A</v>
      </c>
      <c r="BS19" s="5455"/>
      <c r="BT19" s="5455"/>
      <c r="BU19" s="5455"/>
      <c r="BV19" s="5456"/>
      <c r="BW19" s="1143"/>
      <c r="BX19" s="1137"/>
      <c r="BY19" s="1137"/>
      <c r="BZ19" s="2122">
        <f>BZ8+2</f>
        <v>84</v>
      </c>
      <c r="CA19" s="5466"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67"/>
      <c r="CC19" s="5467"/>
      <c r="CD19" s="5467"/>
      <c r="CE19" s="5467"/>
      <c r="CF19" s="1157" t="s">
        <v>1627</v>
      </c>
      <c r="CG19" s="1158">
        <f>BZ19</f>
        <v>84</v>
      </c>
      <c r="CH19" s="5454" t="s">
        <v>7687</v>
      </c>
      <c r="CI19" s="5454"/>
      <c r="CJ19" s="5454"/>
      <c r="CK19" s="5455" t="e">
        <f>IF(CA19=0,"",VLOOKUP(CA19,'Tablas Magia'!$D$6:$Z$680,2,FALSE))</f>
        <v>#N/A</v>
      </c>
      <c r="CL19" s="5455"/>
      <c r="CM19" s="5455"/>
      <c r="CN19" s="5455"/>
      <c r="CO19" s="5456"/>
      <c r="CP19" s="1143"/>
      <c r="CQ19" s="1137"/>
    </row>
    <row r="20" spans="1:95" ht="12" customHeight="1" x14ac:dyDescent="0.2">
      <c r="A20" s="1137"/>
      <c r="B20" s="2108"/>
      <c r="C20" s="5450" t="s">
        <v>7688</v>
      </c>
      <c r="D20" s="5451"/>
      <c r="E20" s="1159" t="s">
        <v>7689</v>
      </c>
      <c r="F20" s="1159" t="s">
        <v>1820</v>
      </c>
      <c r="G20" s="1159" t="s">
        <v>3334</v>
      </c>
      <c r="H20" s="1160" t="s">
        <v>2165</v>
      </c>
      <c r="I20" s="5424" t="e">
        <f>IF(C19=0,"",VLOOKUP(C19,'Tablas Magia'!$D$6:$Z$680,5,FALSE))</f>
        <v>#N/A</v>
      </c>
      <c r="J20" s="5424"/>
      <c r="K20" s="5423" t="s">
        <v>7690</v>
      </c>
      <c r="L20" s="5423"/>
      <c r="M20" s="5424" t="e">
        <f>IF(C19=0,"",VLOOKUP(C19,'Tablas Magia'!$D$6:$Z$680,6,FALSE))</f>
        <v>#N/A</v>
      </c>
      <c r="N20" s="5424"/>
      <c r="O20" s="5425" t="s">
        <v>7691</v>
      </c>
      <c r="P20" s="5425"/>
      <c r="Q20" s="1161" t="e">
        <f>IF(C19=0,"",VLOOKUP(C19,'Tablas Magia'!$D$6:$Z$680,4,FALSE))</f>
        <v>#N/A</v>
      </c>
      <c r="R20" s="1143"/>
      <c r="S20" s="1137"/>
      <c r="T20" s="1137"/>
      <c r="U20" s="2108"/>
      <c r="V20" s="5450" t="s">
        <v>7688</v>
      </c>
      <c r="W20" s="5451"/>
      <c r="X20" s="1159" t="s">
        <v>7689</v>
      </c>
      <c r="Y20" s="1159" t="s">
        <v>1820</v>
      </c>
      <c r="Z20" s="1159" t="s">
        <v>3334</v>
      </c>
      <c r="AA20" s="1160" t="s">
        <v>2165</v>
      </c>
      <c r="AB20" s="5424" t="e">
        <f>IF(V19=0,"",VLOOKUP(V19,'Tablas Magia'!$D$6:$Z$680,5,FALSE))</f>
        <v>#N/A</v>
      </c>
      <c r="AC20" s="5424"/>
      <c r="AD20" s="5423" t="s">
        <v>7690</v>
      </c>
      <c r="AE20" s="5423"/>
      <c r="AF20" s="5424" t="e">
        <f>IF(V19=0,"",VLOOKUP(V19,'Tablas Magia'!$D$6:$Z$680,6,FALSE))</f>
        <v>#N/A</v>
      </c>
      <c r="AG20" s="5424"/>
      <c r="AH20" s="5425" t="s">
        <v>7691</v>
      </c>
      <c r="AI20" s="5425"/>
      <c r="AJ20" s="1161" t="e">
        <f>IF(V19=0,"",VLOOKUP(V19,'Tablas Magia'!$D$6:$Z$680,4,FALSE))</f>
        <v>#N/A</v>
      </c>
      <c r="AK20" s="1143"/>
      <c r="AL20" s="1137"/>
      <c r="AM20" s="1137"/>
      <c r="AN20" s="2122"/>
      <c r="AO20" s="5450" t="s">
        <v>7688</v>
      </c>
      <c r="AP20" s="5451"/>
      <c r="AQ20" s="1159" t="s">
        <v>7689</v>
      </c>
      <c r="AR20" s="1159" t="s">
        <v>1820</v>
      </c>
      <c r="AS20" s="1159" t="s">
        <v>3334</v>
      </c>
      <c r="AT20" s="1160" t="s">
        <v>2165</v>
      </c>
      <c r="AU20" s="5424" t="e">
        <f>IF(AO19=0,"",VLOOKUP(AO19,'Tablas Magia'!$D$6:$Z$680,5,FALSE))</f>
        <v>#N/A</v>
      </c>
      <c r="AV20" s="5424"/>
      <c r="AW20" s="5423" t="s">
        <v>7690</v>
      </c>
      <c r="AX20" s="5423"/>
      <c r="AY20" s="5424" t="e">
        <f>IF(AO19=0,"",VLOOKUP(AO19,'Tablas Magia'!$D$6:$Z$680,6,FALSE))</f>
        <v>#N/A</v>
      </c>
      <c r="AZ20" s="5424"/>
      <c r="BA20" s="5425" t="s">
        <v>7691</v>
      </c>
      <c r="BB20" s="5425"/>
      <c r="BC20" s="1161" t="e">
        <f>IF(AO19=0,"",VLOOKUP(AO19,'Tablas Magia'!$D$6:$Z$680,4,FALSE))</f>
        <v>#N/A</v>
      </c>
      <c r="BD20" s="1143"/>
      <c r="BE20" s="1137"/>
      <c r="BF20" s="1137"/>
      <c r="BG20" s="2122"/>
      <c r="BH20" s="5450" t="s">
        <v>7688</v>
      </c>
      <c r="BI20" s="5451"/>
      <c r="BJ20" s="1159" t="s">
        <v>7689</v>
      </c>
      <c r="BK20" s="1159" t="s">
        <v>1820</v>
      </c>
      <c r="BL20" s="1159" t="s">
        <v>3334</v>
      </c>
      <c r="BM20" s="1160" t="s">
        <v>2165</v>
      </c>
      <c r="BN20" s="5424" t="e">
        <f>IF(BH19=0,"",VLOOKUP(BH19,'Tablas Magia'!$D$6:$Z$680,5,FALSE))</f>
        <v>#N/A</v>
      </c>
      <c r="BO20" s="5424"/>
      <c r="BP20" s="5423" t="s">
        <v>7690</v>
      </c>
      <c r="BQ20" s="5423"/>
      <c r="BR20" s="5424" t="e">
        <f>IF(BH19=0,"",VLOOKUP(BH19,'Tablas Magia'!$D$6:$Z$680,6,FALSE))</f>
        <v>#N/A</v>
      </c>
      <c r="BS20" s="5424"/>
      <c r="BT20" s="5425" t="s">
        <v>7691</v>
      </c>
      <c r="BU20" s="5425"/>
      <c r="BV20" s="1161" t="e">
        <f>IF(BH19=0,"",VLOOKUP(BH19,'Tablas Magia'!$D$6:$Z$680,4,FALSE))</f>
        <v>#N/A</v>
      </c>
      <c r="BW20" s="1143"/>
      <c r="BX20" s="1137"/>
      <c r="BY20" s="1137"/>
      <c r="BZ20" s="2122"/>
      <c r="CA20" s="5450" t="s">
        <v>7688</v>
      </c>
      <c r="CB20" s="5451"/>
      <c r="CC20" s="1159" t="s">
        <v>7689</v>
      </c>
      <c r="CD20" s="1159" t="s">
        <v>1820</v>
      </c>
      <c r="CE20" s="1159" t="s">
        <v>3334</v>
      </c>
      <c r="CF20" s="1160" t="s">
        <v>2165</v>
      </c>
      <c r="CG20" s="5424" t="e">
        <f>IF(CA19=0,"",VLOOKUP(CA19,'Tablas Magia'!$D$6:$Z$680,5,FALSE))</f>
        <v>#N/A</v>
      </c>
      <c r="CH20" s="5424"/>
      <c r="CI20" s="5423" t="s">
        <v>7690</v>
      </c>
      <c r="CJ20" s="5423"/>
      <c r="CK20" s="5424" t="e">
        <f>IF(CA19=0,"",VLOOKUP(CA19,'Tablas Magia'!$D$6:$Z$680,6,FALSE))</f>
        <v>#N/A</v>
      </c>
      <c r="CL20" s="5424"/>
      <c r="CM20" s="5425" t="s">
        <v>7691</v>
      </c>
      <c r="CN20" s="5425"/>
      <c r="CO20" s="1161" t="e">
        <f>IF(CA19=0,"",VLOOKUP(CA19,'Tablas Magia'!$D$6:$Z$680,4,FALSE))</f>
        <v>#N/A</v>
      </c>
      <c r="CP20" s="1143"/>
      <c r="CQ20" s="1137"/>
    </row>
    <row r="21" spans="1:95" ht="12" customHeight="1" x14ac:dyDescent="0.2">
      <c r="A21" s="1137"/>
      <c r="B21" s="2108"/>
      <c r="C21" s="5426" t="s">
        <v>1674</v>
      </c>
      <c r="D21" s="5427"/>
      <c r="E21" s="1162" t="e">
        <f>IF(C19=0,"",VLOOKUP(C19,'Tablas Magia'!$D$6:$Z$680,7,FALSE))</f>
        <v>#N/A</v>
      </c>
      <c r="F21" s="1162" t="e">
        <f>IF(C19=0,"",VLOOKUP(C19,'Tablas Magia'!$D$6:$Z$680,11,FALSE))</f>
        <v>#N/A</v>
      </c>
      <c r="G21" s="1163" t="e">
        <f>IF(C19=0,"",VLOOKUP(C19,'Tablas Magia'!$D$6:$Z$680,15,FALSE))</f>
        <v>#N/A</v>
      </c>
      <c r="H21" s="5428" t="e">
        <f>IF(C19=0,"",VLOOKUP(C19,'Tablas Magia'!$D$6:$Z$680,19,FALSE))</f>
        <v>#N/A</v>
      </c>
      <c r="I21" s="5429"/>
      <c r="J21" s="5429"/>
      <c r="K21" s="5429"/>
      <c r="L21" s="5429"/>
      <c r="M21" s="5429"/>
      <c r="N21" s="5429"/>
      <c r="O21" s="5429"/>
      <c r="P21" s="5429"/>
      <c r="Q21" s="5430"/>
      <c r="R21" s="1143"/>
      <c r="S21" s="1137"/>
      <c r="T21" s="1137"/>
      <c r="U21" s="2108"/>
      <c r="V21" s="5426" t="s">
        <v>1674</v>
      </c>
      <c r="W21" s="5427"/>
      <c r="X21" s="1162" t="e">
        <f>IF(V19=0,"",VLOOKUP(V19,'Tablas Magia'!$D$6:$Z$680,7,FALSE))</f>
        <v>#N/A</v>
      </c>
      <c r="Y21" s="1162" t="e">
        <f>IF(V19=0,"",VLOOKUP(V19,'Tablas Magia'!$D$6:$Z$680,11,FALSE))</f>
        <v>#N/A</v>
      </c>
      <c r="Z21" s="1163" t="e">
        <f>IF(V19=0,"",VLOOKUP(V19,'Tablas Magia'!$D$6:$Z$680,15,FALSE))</f>
        <v>#N/A</v>
      </c>
      <c r="AA21" s="5428" t="e">
        <f>IF(V19=0,"",VLOOKUP(V19,'Tablas Magia'!$D$6:$Z$680,19,FALSE))</f>
        <v>#N/A</v>
      </c>
      <c r="AB21" s="5429"/>
      <c r="AC21" s="5429"/>
      <c r="AD21" s="5429"/>
      <c r="AE21" s="5429"/>
      <c r="AF21" s="5429"/>
      <c r="AG21" s="5429"/>
      <c r="AH21" s="5429"/>
      <c r="AI21" s="5429"/>
      <c r="AJ21" s="5430"/>
      <c r="AK21" s="1143"/>
      <c r="AL21" s="1137"/>
      <c r="AM21" s="1137"/>
      <c r="AN21" s="2122"/>
      <c r="AO21" s="5426" t="s">
        <v>1674</v>
      </c>
      <c r="AP21" s="5427"/>
      <c r="AQ21" s="1162" t="e">
        <f>IF(AO19=0,"",VLOOKUP(AO19,'Tablas Magia'!$D$6:$Z$680,7,FALSE))</f>
        <v>#N/A</v>
      </c>
      <c r="AR21" s="1162" t="e">
        <f>IF(AO19=0,"",VLOOKUP(AO19,'Tablas Magia'!$D$6:$Z$680,11,FALSE))</f>
        <v>#N/A</v>
      </c>
      <c r="AS21" s="1163" t="e">
        <f>IF(AO19=0,"",VLOOKUP(AO19,'Tablas Magia'!$D$6:$Z$680,15,FALSE))</f>
        <v>#N/A</v>
      </c>
      <c r="AT21" s="5428" t="e">
        <f>IF(AO19=0,"",VLOOKUP(AO19,'Tablas Magia'!$D$6:$Z$680,19,FALSE))</f>
        <v>#N/A</v>
      </c>
      <c r="AU21" s="5429"/>
      <c r="AV21" s="5429"/>
      <c r="AW21" s="5429"/>
      <c r="AX21" s="5429"/>
      <c r="AY21" s="5429"/>
      <c r="AZ21" s="5429"/>
      <c r="BA21" s="5429"/>
      <c r="BB21" s="5429"/>
      <c r="BC21" s="5430"/>
      <c r="BD21" s="1143"/>
      <c r="BE21" s="1137"/>
      <c r="BF21" s="1137"/>
      <c r="BG21" s="2122"/>
      <c r="BH21" s="5426" t="s">
        <v>1674</v>
      </c>
      <c r="BI21" s="5427"/>
      <c r="BJ21" s="1162" t="e">
        <f>IF(BH19=0,"",VLOOKUP(BH19,'Tablas Magia'!$D$6:$Z$680,7,FALSE))</f>
        <v>#N/A</v>
      </c>
      <c r="BK21" s="1162" t="e">
        <f>IF(BH19=0,"",VLOOKUP(BH19,'Tablas Magia'!$D$6:$Z$680,11,FALSE))</f>
        <v>#N/A</v>
      </c>
      <c r="BL21" s="1163" t="e">
        <f>IF(BH19=0,"",VLOOKUP(BH19,'Tablas Magia'!$D$6:$Z$680,15,FALSE))</f>
        <v>#N/A</v>
      </c>
      <c r="BM21" s="5428" t="e">
        <f>IF(BH19=0,"",VLOOKUP(BH19,'Tablas Magia'!$D$6:$Z$680,19,FALSE))</f>
        <v>#N/A</v>
      </c>
      <c r="BN21" s="5429"/>
      <c r="BO21" s="5429"/>
      <c r="BP21" s="5429"/>
      <c r="BQ21" s="5429"/>
      <c r="BR21" s="5429"/>
      <c r="BS21" s="5429"/>
      <c r="BT21" s="5429"/>
      <c r="BU21" s="5429"/>
      <c r="BV21" s="5430"/>
      <c r="BW21" s="1143"/>
      <c r="BX21" s="1137"/>
      <c r="BY21" s="1137"/>
      <c r="BZ21" s="2122"/>
      <c r="CA21" s="5426" t="s">
        <v>1674</v>
      </c>
      <c r="CB21" s="5427"/>
      <c r="CC21" s="1162" t="e">
        <f>IF(CA19=0,"",VLOOKUP(CA19,'Tablas Magia'!$D$6:$Z$680,7,FALSE))</f>
        <v>#N/A</v>
      </c>
      <c r="CD21" s="1162" t="e">
        <f>IF(CA19=0,"",VLOOKUP(CA19,'Tablas Magia'!$D$6:$Z$680,11,FALSE))</f>
        <v>#N/A</v>
      </c>
      <c r="CE21" s="1163" t="e">
        <f>IF(CA19=0,"",VLOOKUP(CA19,'Tablas Magia'!$D$6:$Z$680,15,FALSE))</f>
        <v>#N/A</v>
      </c>
      <c r="CF21" s="5428" t="e">
        <f>IF(CA19=0,"",VLOOKUP(CA19,'Tablas Magia'!$D$6:$Z$680,19,FALSE))</f>
        <v>#N/A</v>
      </c>
      <c r="CG21" s="5429"/>
      <c r="CH21" s="5429"/>
      <c r="CI21" s="5429"/>
      <c r="CJ21" s="5429"/>
      <c r="CK21" s="5429"/>
      <c r="CL21" s="5429"/>
      <c r="CM21" s="5429"/>
      <c r="CN21" s="5429"/>
      <c r="CO21" s="5430"/>
      <c r="CP21" s="1143"/>
      <c r="CQ21" s="1137"/>
    </row>
    <row r="22" spans="1:95" ht="12" customHeight="1" x14ac:dyDescent="0.2">
      <c r="A22" s="1137"/>
      <c r="B22" s="2108"/>
      <c r="C22" s="5431" t="s">
        <v>4572</v>
      </c>
      <c r="D22" s="5432"/>
      <c r="E22" s="1164" t="e">
        <f>IF(C19=0,"",VLOOKUP(C19,'Tablas Magia'!$D$6:$Z$680,8,FALSE))</f>
        <v>#N/A</v>
      </c>
      <c r="F22" s="1164" t="e">
        <f>IF(C19=0,"",VLOOKUP(C19,'Tablas Magia'!$D$6:$Z$680,12,FALSE))</f>
        <v>#N/A</v>
      </c>
      <c r="G22" s="1165" t="e">
        <f>IF(C19=0,"",VLOOKUP(C19,'Tablas Magia'!$D$6:$Z$680,16,FALSE))</f>
        <v>#N/A</v>
      </c>
      <c r="H22" s="5433" t="e">
        <f>IF(C19=0,"",VLOOKUP(C19,'Tablas Magia'!$D$6:$Z$680,20,FALSE))</f>
        <v>#N/A</v>
      </c>
      <c r="I22" s="5434"/>
      <c r="J22" s="5434"/>
      <c r="K22" s="5434"/>
      <c r="L22" s="5434"/>
      <c r="M22" s="5434"/>
      <c r="N22" s="5434"/>
      <c r="O22" s="5434"/>
      <c r="P22" s="5434"/>
      <c r="Q22" s="5435"/>
      <c r="R22" s="1143"/>
      <c r="S22" s="1137"/>
      <c r="T22" s="1137"/>
      <c r="U22" s="2108"/>
      <c r="V22" s="5431" t="s">
        <v>4572</v>
      </c>
      <c r="W22" s="5432"/>
      <c r="X22" s="1164" t="e">
        <f>IF(V19=0,"",VLOOKUP(V19,'Tablas Magia'!$D$6:$Z$680,8,FALSE))</f>
        <v>#N/A</v>
      </c>
      <c r="Y22" s="1164" t="e">
        <f>IF(V19=0,"",VLOOKUP(V19,'Tablas Magia'!$D$6:$Z$680,12,FALSE))</f>
        <v>#N/A</v>
      </c>
      <c r="Z22" s="1165" t="e">
        <f>IF(V19=0,"",VLOOKUP(V19,'Tablas Magia'!$D$6:$Z$680,16,FALSE))</f>
        <v>#N/A</v>
      </c>
      <c r="AA22" s="5433" t="e">
        <f>IF(V19=0,"",VLOOKUP(V19,'Tablas Magia'!$D$6:$Z$680,20,FALSE))</f>
        <v>#N/A</v>
      </c>
      <c r="AB22" s="5434"/>
      <c r="AC22" s="5434"/>
      <c r="AD22" s="5434"/>
      <c r="AE22" s="5434"/>
      <c r="AF22" s="5434"/>
      <c r="AG22" s="5434"/>
      <c r="AH22" s="5434"/>
      <c r="AI22" s="5434"/>
      <c r="AJ22" s="5435"/>
      <c r="AK22" s="1143"/>
      <c r="AL22" s="1137"/>
      <c r="AM22" s="1137"/>
      <c r="AN22" s="2122"/>
      <c r="AO22" s="5431" t="s">
        <v>4572</v>
      </c>
      <c r="AP22" s="5432"/>
      <c r="AQ22" s="1164" t="e">
        <f>IF(AO19=0,"",VLOOKUP(AO19,'Tablas Magia'!$D$6:$Z$680,8,FALSE))</f>
        <v>#N/A</v>
      </c>
      <c r="AR22" s="1164" t="e">
        <f>IF(AO19=0,"",VLOOKUP(AO19,'Tablas Magia'!$D$6:$Z$680,12,FALSE))</f>
        <v>#N/A</v>
      </c>
      <c r="AS22" s="1165" t="e">
        <f>IF(AO19=0,"",VLOOKUP(AO19,'Tablas Magia'!$D$6:$Z$680,16,FALSE))</f>
        <v>#N/A</v>
      </c>
      <c r="AT22" s="5433" t="e">
        <f>IF(AO19=0,"",VLOOKUP(AO19,'Tablas Magia'!$D$6:$Z$680,20,FALSE))</f>
        <v>#N/A</v>
      </c>
      <c r="AU22" s="5434"/>
      <c r="AV22" s="5434"/>
      <c r="AW22" s="5434"/>
      <c r="AX22" s="5434"/>
      <c r="AY22" s="5434"/>
      <c r="AZ22" s="5434"/>
      <c r="BA22" s="5434"/>
      <c r="BB22" s="5434"/>
      <c r="BC22" s="5435"/>
      <c r="BD22" s="1143"/>
      <c r="BE22" s="1137"/>
      <c r="BF22" s="1137"/>
      <c r="BG22" s="2122"/>
      <c r="BH22" s="5431" t="s">
        <v>4572</v>
      </c>
      <c r="BI22" s="5432"/>
      <c r="BJ22" s="1164" t="e">
        <f>IF(BH19=0,"",VLOOKUP(BH19,'Tablas Magia'!$D$6:$Z$680,8,FALSE))</f>
        <v>#N/A</v>
      </c>
      <c r="BK22" s="1164" t="e">
        <f>IF(BH19=0,"",VLOOKUP(BH19,'Tablas Magia'!$D$6:$Z$680,12,FALSE))</f>
        <v>#N/A</v>
      </c>
      <c r="BL22" s="1165" t="e">
        <f>IF(BH19=0,"",VLOOKUP(BH19,'Tablas Magia'!$D$6:$Z$680,16,FALSE))</f>
        <v>#N/A</v>
      </c>
      <c r="BM22" s="5433" t="e">
        <f>IF(BH19=0,"",VLOOKUP(BH19,'Tablas Magia'!$D$6:$Z$680,20,FALSE))</f>
        <v>#N/A</v>
      </c>
      <c r="BN22" s="5434"/>
      <c r="BO22" s="5434"/>
      <c r="BP22" s="5434"/>
      <c r="BQ22" s="5434"/>
      <c r="BR22" s="5434"/>
      <c r="BS22" s="5434"/>
      <c r="BT22" s="5434"/>
      <c r="BU22" s="5434"/>
      <c r="BV22" s="5435"/>
      <c r="BW22" s="1143"/>
      <c r="BX22" s="1137"/>
      <c r="BY22" s="1137"/>
      <c r="BZ22" s="2122"/>
      <c r="CA22" s="5431" t="s">
        <v>4572</v>
      </c>
      <c r="CB22" s="5432"/>
      <c r="CC22" s="1164" t="e">
        <f>IF(CA19=0,"",VLOOKUP(CA19,'Tablas Magia'!$D$6:$Z$680,8,FALSE))</f>
        <v>#N/A</v>
      </c>
      <c r="CD22" s="1164" t="e">
        <f>IF(CA19=0,"",VLOOKUP(CA19,'Tablas Magia'!$D$6:$Z$680,12,FALSE))</f>
        <v>#N/A</v>
      </c>
      <c r="CE22" s="1165" t="e">
        <f>IF(CA19=0,"",VLOOKUP(CA19,'Tablas Magia'!$D$6:$Z$680,16,FALSE))</f>
        <v>#N/A</v>
      </c>
      <c r="CF22" s="5433" t="e">
        <f>IF(CA19=0,"",VLOOKUP(CA19,'Tablas Magia'!$D$6:$Z$680,20,FALSE))</f>
        <v>#N/A</v>
      </c>
      <c r="CG22" s="5434"/>
      <c r="CH22" s="5434"/>
      <c r="CI22" s="5434"/>
      <c r="CJ22" s="5434"/>
      <c r="CK22" s="5434"/>
      <c r="CL22" s="5434"/>
      <c r="CM22" s="5434"/>
      <c r="CN22" s="5434"/>
      <c r="CO22" s="5435"/>
      <c r="CP22" s="1143"/>
      <c r="CQ22" s="1137"/>
    </row>
    <row r="23" spans="1:95" ht="12" customHeight="1" x14ac:dyDescent="0.2">
      <c r="A23" s="1137"/>
      <c r="B23" s="2108"/>
      <c r="C23" s="5426" t="s">
        <v>4573</v>
      </c>
      <c r="D23" s="5427"/>
      <c r="E23" s="1162" t="e">
        <f>IF(C19=0,"",VLOOKUP(C19,'Tablas Magia'!$D$6:$Z$680,9,FALSE))</f>
        <v>#N/A</v>
      </c>
      <c r="F23" s="1162" t="e">
        <f>IF(C19=0,"",VLOOKUP(C19,'Tablas Magia'!$D$6:$Z$680,13,FALSE))</f>
        <v>#N/A</v>
      </c>
      <c r="G23" s="1163" t="e">
        <f>IF(C19=0,"",VLOOKUP(C19,'Tablas Magia'!$D$6:$Z$680,17,FALSE))</f>
        <v>#N/A</v>
      </c>
      <c r="H23" s="5428" t="e">
        <f>IF(C19=0,"",VLOOKUP(C19,'Tablas Magia'!$D$6:$Z$680,21,FALSE))</f>
        <v>#N/A</v>
      </c>
      <c r="I23" s="5429"/>
      <c r="J23" s="5429"/>
      <c r="K23" s="5429"/>
      <c r="L23" s="5429"/>
      <c r="M23" s="5429"/>
      <c r="N23" s="5429"/>
      <c r="O23" s="5429"/>
      <c r="P23" s="5429"/>
      <c r="Q23" s="5430"/>
      <c r="R23" s="1143"/>
      <c r="S23" s="1137"/>
      <c r="T23" s="1137"/>
      <c r="U23" s="2108"/>
      <c r="V23" s="5426" t="s">
        <v>4573</v>
      </c>
      <c r="W23" s="5427"/>
      <c r="X23" s="1162" t="e">
        <f>IF(V19=0,"",VLOOKUP(V19,'Tablas Magia'!$D$6:$Z$680,9,FALSE))</f>
        <v>#N/A</v>
      </c>
      <c r="Y23" s="1162" t="e">
        <f>IF(V19=0,"",VLOOKUP(V19,'Tablas Magia'!$D$6:$Z$680,13,FALSE))</f>
        <v>#N/A</v>
      </c>
      <c r="Z23" s="1163" t="e">
        <f>IF(V19=0,"",VLOOKUP(V19,'Tablas Magia'!$D$6:$Z$680,17,FALSE))</f>
        <v>#N/A</v>
      </c>
      <c r="AA23" s="5428" t="e">
        <f>IF(V19=0,"",VLOOKUP(V19,'Tablas Magia'!$D$6:$Z$680,21,FALSE))</f>
        <v>#N/A</v>
      </c>
      <c r="AB23" s="5429"/>
      <c r="AC23" s="5429"/>
      <c r="AD23" s="5429"/>
      <c r="AE23" s="5429"/>
      <c r="AF23" s="5429"/>
      <c r="AG23" s="5429"/>
      <c r="AH23" s="5429"/>
      <c r="AI23" s="5429"/>
      <c r="AJ23" s="5430"/>
      <c r="AK23" s="1143"/>
      <c r="AL23" s="1137"/>
      <c r="AM23" s="1137"/>
      <c r="AN23" s="2122"/>
      <c r="AO23" s="5426" t="s">
        <v>4573</v>
      </c>
      <c r="AP23" s="5427"/>
      <c r="AQ23" s="1162" t="e">
        <f>IF(AO19=0,"",VLOOKUP(AO19,'Tablas Magia'!$D$6:$Z$680,9,FALSE))</f>
        <v>#N/A</v>
      </c>
      <c r="AR23" s="1162" t="e">
        <f>IF(AO19=0,"",VLOOKUP(AO19,'Tablas Magia'!$D$6:$Z$680,13,FALSE))</f>
        <v>#N/A</v>
      </c>
      <c r="AS23" s="1163" t="e">
        <f>IF(AO19=0,"",VLOOKUP(AO19,'Tablas Magia'!$D$6:$Z$680,17,FALSE))</f>
        <v>#N/A</v>
      </c>
      <c r="AT23" s="5428" t="e">
        <f>IF(AO19=0,"",VLOOKUP(AO19,'Tablas Magia'!$D$6:$Z$680,21,FALSE))</f>
        <v>#N/A</v>
      </c>
      <c r="AU23" s="5429"/>
      <c r="AV23" s="5429"/>
      <c r="AW23" s="5429"/>
      <c r="AX23" s="5429"/>
      <c r="AY23" s="5429"/>
      <c r="AZ23" s="5429"/>
      <c r="BA23" s="5429"/>
      <c r="BB23" s="5429"/>
      <c r="BC23" s="5430"/>
      <c r="BD23" s="1143"/>
      <c r="BE23" s="1137"/>
      <c r="BF23" s="1137"/>
      <c r="BG23" s="2122"/>
      <c r="BH23" s="5426" t="s">
        <v>4573</v>
      </c>
      <c r="BI23" s="5427"/>
      <c r="BJ23" s="1162" t="e">
        <f>IF(BH19=0,"",VLOOKUP(BH19,'Tablas Magia'!$D$6:$Z$680,9,FALSE))</f>
        <v>#N/A</v>
      </c>
      <c r="BK23" s="1162" t="e">
        <f>IF(BH19=0,"",VLOOKUP(BH19,'Tablas Magia'!$D$6:$Z$680,13,FALSE))</f>
        <v>#N/A</v>
      </c>
      <c r="BL23" s="1163" t="e">
        <f>IF(BH19=0,"",VLOOKUP(BH19,'Tablas Magia'!$D$6:$Z$680,17,FALSE))</f>
        <v>#N/A</v>
      </c>
      <c r="BM23" s="5428" t="e">
        <f>IF(BH19=0,"",VLOOKUP(BH19,'Tablas Magia'!$D$6:$Z$680,21,FALSE))</f>
        <v>#N/A</v>
      </c>
      <c r="BN23" s="5429"/>
      <c r="BO23" s="5429"/>
      <c r="BP23" s="5429"/>
      <c r="BQ23" s="5429"/>
      <c r="BR23" s="5429"/>
      <c r="BS23" s="5429"/>
      <c r="BT23" s="5429"/>
      <c r="BU23" s="5429"/>
      <c r="BV23" s="5430"/>
      <c r="BW23" s="1143"/>
      <c r="BX23" s="1137"/>
      <c r="BY23" s="1137"/>
      <c r="BZ23" s="2122"/>
      <c r="CA23" s="5426" t="s">
        <v>4573</v>
      </c>
      <c r="CB23" s="5427"/>
      <c r="CC23" s="1162" t="e">
        <f>IF(CA19=0,"",VLOOKUP(CA19,'Tablas Magia'!$D$6:$Z$680,9,FALSE))</f>
        <v>#N/A</v>
      </c>
      <c r="CD23" s="1162" t="e">
        <f>IF(CA19=0,"",VLOOKUP(CA19,'Tablas Magia'!$D$6:$Z$680,13,FALSE))</f>
        <v>#N/A</v>
      </c>
      <c r="CE23" s="1163" t="e">
        <f>IF(CA19=0,"",VLOOKUP(CA19,'Tablas Magia'!$D$6:$Z$680,17,FALSE))</f>
        <v>#N/A</v>
      </c>
      <c r="CF23" s="5428" t="e">
        <f>IF(CA19=0,"",VLOOKUP(CA19,'Tablas Magia'!$D$6:$Z$680,21,FALSE))</f>
        <v>#N/A</v>
      </c>
      <c r="CG23" s="5429"/>
      <c r="CH23" s="5429"/>
      <c r="CI23" s="5429"/>
      <c r="CJ23" s="5429"/>
      <c r="CK23" s="5429"/>
      <c r="CL23" s="5429"/>
      <c r="CM23" s="5429"/>
      <c r="CN23" s="5429"/>
      <c r="CO23" s="5430"/>
      <c r="CP23" s="1143"/>
      <c r="CQ23" s="1137"/>
    </row>
    <row r="24" spans="1:95" ht="12" customHeight="1" thickBot="1" x14ac:dyDescent="0.25">
      <c r="A24" s="1137"/>
      <c r="B24" s="2108"/>
      <c r="C24" s="5436" t="s">
        <v>4574</v>
      </c>
      <c r="D24" s="5437"/>
      <c r="E24" s="1166" t="e">
        <f>IF(C19=0,"",VLOOKUP(C19,'Tablas Magia'!$D$6:$Z$680,10,FALSE))</f>
        <v>#N/A</v>
      </c>
      <c r="F24" s="1166" t="e">
        <f>IF(C19=0,"",VLOOKUP(C19,'Tablas Magia'!$D$6:$Z$680,14,FALSE))</f>
        <v>#N/A</v>
      </c>
      <c r="G24" s="1167" t="e">
        <f>IF(C19=0,"",VLOOKUP(C19,'Tablas Magia'!$D$6:$Z$680,18,FALSE))</f>
        <v>#N/A</v>
      </c>
      <c r="H24" s="5438" t="e">
        <f>IF(C19=0,"",VLOOKUP(C19,'Tablas Magia'!$D$6:$Z$680,22,FALSE))</f>
        <v>#N/A</v>
      </c>
      <c r="I24" s="5439"/>
      <c r="J24" s="5439"/>
      <c r="K24" s="5439"/>
      <c r="L24" s="5439"/>
      <c r="M24" s="5439"/>
      <c r="N24" s="5439"/>
      <c r="O24" s="5439"/>
      <c r="P24" s="5439"/>
      <c r="Q24" s="5440"/>
      <c r="R24" s="1143"/>
      <c r="S24" s="1137"/>
      <c r="T24" s="1137"/>
      <c r="U24" s="2108"/>
      <c r="V24" s="5436" t="s">
        <v>4574</v>
      </c>
      <c r="W24" s="5437"/>
      <c r="X24" s="1166" t="e">
        <f>IF(V19=0,"",VLOOKUP(V19,'Tablas Magia'!$D$6:$Z$680,10,FALSE))</f>
        <v>#N/A</v>
      </c>
      <c r="Y24" s="1166" t="e">
        <f>IF(V19=0,"",VLOOKUP(V19,'Tablas Magia'!$D$6:$Z$680,14,FALSE))</f>
        <v>#N/A</v>
      </c>
      <c r="Z24" s="1167" t="e">
        <f>IF(V19=0,"",VLOOKUP(V19,'Tablas Magia'!$D$6:$Z$680,18,FALSE))</f>
        <v>#N/A</v>
      </c>
      <c r="AA24" s="5438" t="e">
        <f>IF(V19=0,"",VLOOKUP(V19,'Tablas Magia'!$D$6:$Z$680,22,FALSE))</f>
        <v>#N/A</v>
      </c>
      <c r="AB24" s="5439"/>
      <c r="AC24" s="5439"/>
      <c r="AD24" s="5439"/>
      <c r="AE24" s="5439"/>
      <c r="AF24" s="5439"/>
      <c r="AG24" s="5439"/>
      <c r="AH24" s="5439"/>
      <c r="AI24" s="5439"/>
      <c r="AJ24" s="5440"/>
      <c r="AK24" s="1143"/>
      <c r="AL24" s="1137"/>
      <c r="AM24" s="1137"/>
      <c r="AN24" s="2122"/>
      <c r="AO24" s="5436" t="s">
        <v>4574</v>
      </c>
      <c r="AP24" s="5437"/>
      <c r="AQ24" s="1166" t="e">
        <f>IF(AO19=0,"",VLOOKUP(AO19,'Tablas Magia'!$D$6:$Z$680,10,FALSE))</f>
        <v>#N/A</v>
      </c>
      <c r="AR24" s="1166" t="e">
        <f>IF(AO19=0,"",VLOOKUP(AO19,'Tablas Magia'!$D$6:$Z$680,14,FALSE))</f>
        <v>#N/A</v>
      </c>
      <c r="AS24" s="1167" t="e">
        <f>IF(AO19=0,"",VLOOKUP(AO19,'Tablas Magia'!$D$6:$Z$680,18,FALSE))</f>
        <v>#N/A</v>
      </c>
      <c r="AT24" s="5438" t="e">
        <f>IF(AO19=0,"",VLOOKUP(AO19,'Tablas Magia'!$D$6:$Z$680,22,FALSE))</f>
        <v>#N/A</v>
      </c>
      <c r="AU24" s="5439"/>
      <c r="AV24" s="5439"/>
      <c r="AW24" s="5439"/>
      <c r="AX24" s="5439"/>
      <c r="AY24" s="5439"/>
      <c r="AZ24" s="5439"/>
      <c r="BA24" s="5439"/>
      <c r="BB24" s="5439"/>
      <c r="BC24" s="5440"/>
      <c r="BD24" s="1143"/>
      <c r="BE24" s="1137"/>
      <c r="BF24" s="1137"/>
      <c r="BG24" s="2122"/>
      <c r="BH24" s="5436" t="s">
        <v>4574</v>
      </c>
      <c r="BI24" s="5437"/>
      <c r="BJ24" s="1166" t="e">
        <f>IF(BH19=0,"",VLOOKUP(BH19,'Tablas Magia'!$D$6:$Z$680,10,FALSE))</f>
        <v>#N/A</v>
      </c>
      <c r="BK24" s="1166" t="e">
        <f>IF(BH19=0,"",VLOOKUP(BH19,'Tablas Magia'!$D$6:$Z$680,14,FALSE))</f>
        <v>#N/A</v>
      </c>
      <c r="BL24" s="1167" t="e">
        <f>IF(BH19=0,"",VLOOKUP(BH19,'Tablas Magia'!$D$6:$Z$680,18,FALSE))</f>
        <v>#N/A</v>
      </c>
      <c r="BM24" s="5438" t="e">
        <f>IF(BH19=0,"",VLOOKUP(BH19,'Tablas Magia'!$D$6:$Z$680,22,FALSE))</f>
        <v>#N/A</v>
      </c>
      <c r="BN24" s="5439"/>
      <c r="BO24" s="5439"/>
      <c r="BP24" s="5439"/>
      <c r="BQ24" s="5439"/>
      <c r="BR24" s="5439"/>
      <c r="BS24" s="5439"/>
      <c r="BT24" s="5439"/>
      <c r="BU24" s="5439"/>
      <c r="BV24" s="5440"/>
      <c r="BW24" s="1143"/>
      <c r="BX24" s="1137"/>
      <c r="BY24" s="1137"/>
      <c r="BZ24" s="2122"/>
      <c r="CA24" s="5436" t="s">
        <v>4574</v>
      </c>
      <c r="CB24" s="5437"/>
      <c r="CC24" s="1166" t="e">
        <f>IF(CA19=0,"",VLOOKUP(CA19,'Tablas Magia'!$D$6:$Z$680,10,FALSE))</f>
        <v>#N/A</v>
      </c>
      <c r="CD24" s="1166" t="e">
        <f>IF(CA19=0,"",VLOOKUP(CA19,'Tablas Magia'!$D$6:$Z$680,14,FALSE))</f>
        <v>#N/A</v>
      </c>
      <c r="CE24" s="1167" t="e">
        <f>IF(CA19=0,"",VLOOKUP(CA19,'Tablas Magia'!$D$6:$Z$680,18,FALSE))</f>
        <v>#N/A</v>
      </c>
      <c r="CF24" s="5438" t="e">
        <f>IF(CA19=0,"",VLOOKUP(CA19,'Tablas Magia'!$D$6:$Z$680,22,FALSE))</f>
        <v>#N/A</v>
      </c>
      <c r="CG24" s="5439"/>
      <c r="CH24" s="5439"/>
      <c r="CI24" s="5439"/>
      <c r="CJ24" s="5439"/>
      <c r="CK24" s="5439"/>
      <c r="CL24" s="5439"/>
      <c r="CM24" s="5439"/>
      <c r="CN24" s="5439"/>
      <c r="CO24" s="5440"/>
      <c r="CP24" s="1143"/>
      <c r="CQ24" s="1137"/>
    </row>
    <row r="25" spans="1:95" ht="12" customHeight="1" x14ac:dyDescent="0.2">
      <c r="A25" s="1137"/>
      <c r="B25" s="2108"/>
      <c r="C25" s="5441" t="e">
        <f>IF(C19=0,"",VLOOKUP(C19,'Tablas Magia'!$D$6:$Z$680,23,FALSE))</f>
        <v>#N/A</v>
      </c>
      <c r="D25" s="5442"/>
      <c r="E25" s="5442"/>
      <c r="F25" s="5442"/>
      <c r="G25" s="5442"/>
      <c r="H25" s="5442"/>
      <c r="I25" s="5442"/>
      <c r="J25" s="5442"/>
      <c r="K25" s="5442"/>
      <c r="L25" s="5442"/>
      <c r="M25" s="5442"/>
      <c r="N25" s="5442"/>
      <c r="O25" s="5442"/>
      <c r="P25" s="5442"/>
      <c r="Q25" s="5443"/>
      <c r="R25" s="1143"/>
      <c r="S25" s="1137"/>
      <c r="T25" s="1137"/>
      <c r="U25" s="2108"/>
      <c r="V25" s="5441" t="e">
        <f>IF(V19=0,"",VLOOKUP(V19,'Tablas Magia'!$D$6:$Z$680,23,FALSE))</f>
        <v>#N/A</v>
      </c>
      <c r="W25" s="5442"/>
      <c r="X25" s="5442"/>
      <c r="Y25" s="5442"/>
      <c r="Z25" s="5442"/>
      <c r="AA25" s="5442"/>
      <c r="AB25" s="5442"/>
      <c r="AC25" s="5442"/>
      <c r="AD25" s="5442"/>
      <c r="AE25" s="5442"/>
      <c r="AF25" s="5442"/>
      <c r="AG25" s="5442"/>
      <c r="AH25" s="5442"/>
      <c r="AI25" s="5442"/>
      <c r="AJ25" s="5443"/>
      <c r="AK25" s="1143"/>
      <c r="AL25" s="1137"/>
      <c r="AM25" s="1137"/>
      <c r="AN25" s="2122"/>
      <c r="AO25" s="5441" t="e">
        <f>IF(AO19=0,"",VLOOKUP(AO19,'Tablas Magia'!$D$6:$Z$680,23,FALSE))</f>
        <v>#N/A</v>
      </c>
      <c r="AP25" s="5442"/>
      <c r="AQ25" s="5442"/>
      <c r="AR25" s="5442"/>
      <c r="AS25" s="5442"/>
      <c r="AT25" s="5442"/>
      <c r="AU25" s="5442"/>
      <c r="AV25" s="5442"/>
      <c r="AW25" s="5442"/>
      <c r="AX25" s="5442"/>
      <c r="AY25" s="5442"/>
      <c r="AZ25" s="5442"/>
      <c r="BA25" s="5442"/>
      <c r="BB25" s="5442"/>
      <c r="BC25" s="5443"/>
      <c r="BD25" s="1143"/>
      <c r="BE25" s="1137"/>
      <c r="BF25" s="1137"/>
      <c r="BG25" s="2122"/>
      <c r="BH25" s="5441" t="e">
        <f>IF(BH19=0,"",VLOOKUP(BH19,'Tablas Magia'!$D$6:$Z$680,23,FALSE))</f>
        <v>#N/A</v>
      </c>
      <c r="BI25" s="5442"/>
      <c r="BJ25" s="5442"/>
      <c r="BK25" s="5442"/>
      <c r="BL25" s="5442"/>
      <c r="BM25" s="5442"/>
      <c r="BN25" s="5442"/>
      <c r="BO25" s="5442"/>
      <c r="BP25" s="5442"/>
      <c r="BQ25" s="5442"/>
      <c r="BR25" s="5442"/>
      <c r="BS25" s="5442"/>
      <c r="BT25" s="5442"/>
      <c r="BU25" s="5442"/>
      <c r="BV25" s="5443"/>
      <c r="BW25" s="1143"/>
      <c r="BX25" s="1137"/>
      <c r="BY25" s="1137"/>
      <c r="BZ25" s="2122"/>
      <c r="CA25" s="5441" t="e">
        <f>IF(CA19=0,"",VLOOKUP(CA19,'Tablas Magia'!$D$6:$Z$680,23,FALSE))</f>
        <v>#N/A</v>
      </c>
      <c r="CB25" s="5442"/>
      <c r="CC25" s="5442"/>
      <c r="CD25" s="5442"/>
      <c r="CE25" s="5442"/>
      <c r="CF25" s="5442"/>
      <c r="CG25" s="5442"/>
      <c r="CH25" s="5442"/>
      <c r="CI25" s="5442"/>
      <c r="CJ25" s="5442"/>
      <c r="CK25" s="5442"/>
      <c r="CL25" s="5442"/>
      <c r="CM25" s="5442"/>
      <c r="CN25" s="5442"/>
      <c r="CO25" s="5443"/>
      <c r="CP25" s="1143"/>
      <c r="CQ25" s="1137"/>
    </row>
    <row r="26" spans="1:95" ht="12" customHeight="1" x14ac:dyDescent="0.2">
      <c r="A26" s="1137"/>
      <c r="B26" s="2108"/>
      <c r="C26" s="5444"/>
      <c r="D26" s="5445"/>
      <c r="E26" s="5445"/>
      <c r="F26" s="5445"/>
      <c r="G26" s="5445"/>
      <c r="H26" s="5445"/>
      <c r="I26" s="5445"/>
      <c r="J26" s="5445"/>
      <c r="K26" s="5445"/>
      <c r="L26" s="5445"/>
      <c r="M26" s="5445"/>
      <c r="N26" s="5445"/>
      <c r="O26" s="5445"/>
      <c r="P26" s="5445"/>
      <c r="Q26" s="5446"/>
      <c r="R26" s="1143"/>
      <c r="S26" s="1137"/>
      <c r="T26" s="1137"/>
      <c r="U26" s="2108"/>
      <c r="V26" s="5444"/>
      <c r="W26" s="5445"/>
      <c r="X26" s="5445"/>
      <c r="Y26" s="5445"/>
      <c r="Z26" s="5445"/>
      <c r="AA26" s="5445"/>
      <c r="AB26" s="5445"/>
      <c r="AC26" s="5445"/>
      <c r="AD26" s="5445"/>
      <c r="AE26" s="5445"/>
      <c r="AF26" s="5445"/>
      <c r="AG26" s="5445"/>
      <c r="AH26" s="5445"/>
      <c r="AI26" s="5445"/>
      <c r="AJ26" s="5446"/>
      <c r="AK26" s="1143"/>
      <c r="AL26" s="1137"/>
      <c r="AM26" s="1137"/>
      <c r="AN26" s="2122"/>
      <c r="AO26" s="5444"/>
      <c r="AP26" s="5445"/>
      <c r="AQ26" s="5445"/>
      <c r="AR26" s="5445"/>
      <c r="AS26" s="5445"/>
      <c r="AT26" s="5445"/>
      <c r="AU26" s="5445"/>
      <c r="AV26" s="5445"/>
      <c r="AW26" s="5445"/>
      <c r="AX26" s="5445"/>
      <c r="AY26" s="5445"/>
      <c r="AZ26" s="5445"/>
      <c r="BA26" s="5445"/>
      <c r="BB26" s="5445"/>
      <c r="BC26" s="5446"/>
      <c r="BD26" s="1143"/>
      <c r="BE26" s="1137"/>
      <c r="BF26" s="1137"/>
      <c r="BG26" s="2122"/>
      <c r="BH26" s="5444"/>
      <c r="BI26" s="5445"/>
      <c r="BJ26" s="5445"/>
      <c r="BK26" s="5445"/>
      <c r="BL26" s="5445"/>
      <c r="BM26" s="5445"/>
      <c r="BN26" s="5445"/>
      <c r="BO26" s="5445"/>
      <c r="BP26" s="5445"/>
      <c r="BQ26" s="5445"/>
      <c r="BR26" s="5445"/>
      <c r="BS26" s="5445"/>
      <c r="BT26" s="5445"/>
      <c r="BU26" s="5445"/>
      <c r="BV26" s="5446"/>
      <c r="BW26" s="1143"/>
      <c r="BX26" s="1137"/>
      <c r="BY26" s="1137"/>
      <c r="BZ26" s="2122"/>
      <c r="CA26" s="5444"/>
      <c r="CB26" s="5445"/>
      <c r="CC26" s="5445"/>
      <c r="CD26" s="5445"/>
      <c r="CE26" s="5445"/>
      <c r="CF26" s="5445"/>
      <c r="CG26" s="5445"/>
      <c r="CH26" s="5445"/>
      <c r="CI26" s="5445"/>
      <c r="CJ26" s="5445"/>
      <c r="CK26" s="5445"/>
      <c r="CL26" s="5445"/>
      <c r="CM26" s="5445"/>
      <c r="CN26" s="5445"/>
      <c r="CO26" s="5446"/>
      <c r="CP26" s="1143"/>
      <c r="CQ26" s="1137"/>
    </row>
    <row r="27" spans="1:95" ht="12" customHeight="1" x14ac:dyDescent="0.2">
      <c r="A27" s="1137"/>
      <c r="B27" s="2108"/>
      <c r="C27" s="5444"/>
      <c r="D27" s="5445"/>
      <c r="E27" s="5445"/>
      <c r="F27" s="5445"/>
      <c r="G27" s="5445"/>
      <c r="H27" s="5445"/>
      <c r="I27" s="5445"/>
      <c r="J27" s="5445"/>
      <c r="K27" s="5445"/>
      <c r="L27" s="5445"/>
      <c r="M27" s="5445"/>
      <c r="N27" s="5445"/>
      <c r="O27" s="5445"/>
      <c r="P27" s="5445"/>
      <c r="Q27" s="5446"/>
      <c r="R27" s="1143"/>
      <c r="S27" s="1137"/>
      <c r="T27" s="1137"/>
      <c r="U27" s="2108"/>
      <c r="V27" s="5444"/>
      <c r="W27" s="5445"/>
      <c r="X27" s="5445"/>
      <c r="Y27" s="5445"/>
      <c r="Z27" s="5445"/>
      <c r="AA27" s="5445"/>
      <c r="AB27" s="5445"/>
      <c r="AC27" s="5445"/>
      <c r="AD27" s="5445"/>
      <c r="AE27" s="5445"/>
      <c r="AF27" s="5445"/>
      <c r="AG27" s="5445"/>
      <c r="AH27" s="5445"/>
      <c r="AI27" s="5445"/>
      <c r="AJ27" s="5446"/>
      <c r="AK27" s="1143"/>
      <c r="AL27" s="1137"/>
      <c r="AM27" s="1137"/>
      <c r="AN27" s="2122"/>
      <c r="AO27" s="5444"/>
      <c r="AP27" s="5445"/>
      <c r="AQ27" s="5445"/>
      <c r="AR27" s="5445"/>
      <c r="AS27" s="5445"/>
      <c r="AT27" s="5445"/>
      <c r="AU27" s="5445"/>
      <c r="AV27" s="5445"/>
      <c r="AW27" s="5445"/>
      <c r="AX27" s="5445"/>
      <c r="AY27" s="5445"/>
      <c r="AZ27" s="5445"/>
      <c r="BA27" s="5445"/>
      <c r="BB27" s="5445"/>
      <c r="BC27" s="5446"/>
      <c r="BD27" s="1143"/>
      <c r="BE27" s="1137"/>
      <c r="BF27" s="1137"/>
      <c r="BG27" s="2122"/>
      <c r="BH27" s="5444"/>
      <c r="BI27" s="5445"/>
      <c r="BJ27" s="5445"/>
      <c r="BK27" s="5445"/>
      <c r="BL27" s="5445"/>
      <c r="BM27" s="5445"/>
      <c r="BN27" s="5445"/>
      <c r="BO27" s="5445"/>
      <c r="BP27" s="5445"/>
      <c r="BQ27" s="5445"/>
      <c r="BR27" s="5445"/>
      <c r="BS27" s="5445"/>
      <c r="BT27" s="5445"/>
      <c r="BU27" s="5445"/>
      <c r="BV27" s="5446"/>
      <c r="BW27" s="1143"/>
      <c r="BX27" s="1137"/>
      <c r="BY27" s="1137"/>
      <c r="BZ27" s="2122"/>
      <c r="CA27" s="5444"/>
      <c r="CB27" s="5445"/>
      <c r="CC27" s="5445"/>
      <c r="CD27" s="5445"/>
      <c r="CE27" s="5445"/>
      <c r="CF27" s="5445"/>
      <c r="CG27" s="5445"/>
      <c r="CH27" s="5445"/>
      <c r="CI27" s="5445"/>
      <c r="CJ27" s="5445"/>
      <c r="CK27" s="5445"/>
      <c r="CL27" s="5445"/>
      <c r="CM27" s="5445"/>
      <c r="CN27" s="5445"/>
      <c r="CO27" s="5446"/>
      <c r="CP27" s="1143"/>
      <c r="CQ27" s="1137"/>
    </row>
    <row r="28" spans="1:95" ht="12" customHeight="1" thickBot="1" x14ac:dyDescent="0.25">
      <c r="A28" s="1137"/>
      <c r="B28" s="2108"/>
      <c r="C28" s="5447"/>
      <c r="D28" s="5448"/>
      <c r="E28" s="5448"/>
      <c r="F28" s="5448"/>
      <c r="G28" s="5448"/>
      <c r="H28" s="5448"/>
      <c r="I28" s="5448"/>
      <c r="J28" s="5448"/>
      <c r="K28" s="5448"/>
      <c r="L28" s="5448"/>
      <c r="M28" s="5448"/>
      <c r="N28" s="5448"/>
      <c r="O28" s="5448"/>
      <c r="P28" s="5448"/>
      <c r="Q28" s="5449"/>
      <c r="R28" s="1143"/>
      <c r="S28" s="1137"/>
      <c r="T28" s="1137"/>
      <c r="U28" s="2108"/>
      <c r="V28" s="5447"/>
      <c r="W28" s="5448"/>
      <c r="X28" s="5448"/>
      <c r="Y28" s="5448"/>
      <c r="Z28" s="5448"/>
      <c r="AA28" s="5448"/>
      <c r="AB28" s="5448"/>
      <c r="AC28" s="5448"/>
      <c r="AD28" s="5448"/>
      <c r="AE28" s="5448"/>
      <c r="AF28" s="5448"/>
      <c r="AG28" s="5448"/>
      <c r="AH28" s="5448"/>
      <c r="AI28" s="5448"/>
      <c r="AJ28" s="5449"/>
      <c r="AK28" s="1143"/>
      <c r="AL28" s="1137"/>
      <c r="AM28" s="1137"/>
      <c r="AN28" s="2122"/>
      <c r="AO28" s="5447"/>
      <c r="AP28" s="5448"/>
      <c r="AQ28" s="5448"/>
      <c r="AR28" s="5448"/>
      <c r="AS28" s="5448"/>
      <c r="AT28" s="5448"/>
      <c r="AU28" s="5448"/>
      <c r="AV28" s="5448"/>
      <c r="AW28" s="5448"/>
      <c r="AX28" s="5448"/>
      <c r="AY28" s="5448"/>
      <c r="AZ28" s="5448"/>
      <c r="BA28" s="5448"/>
      <c r="BB28" s="5448"/>
      <c r="BC28" s="5449"/>
      <c r="BD28" s="1143"/>
      <c r="BE28" s="1137"/>
      <c r="BF28" s="1137"/>
      <c r="BG28" s="2122"/>
      <c r="BH28" s="5447"/>
      <c r="BI28" s="5448"/>
      <c r="BJ28" s="5448"/>
      <c r="BK28" s="5448"/>
      <c r="BL28" s="5448"/>
      <c r="BM28" s="5448"/>
      <c r="BN28" s="5448"/>
      <c r="BO28" s="5448"/>
      <c r="BP28" s="5448"/>
      <c r="BQ28" s="5448"/>
      <c r="BR28" s="5448"/>
      <c r="BS28" s="5448"/>
      <c r="BT28" s="5448"/>
      <c r="BU28" s="5448"/>
      <c r="BV28" s="5449"/>
      <c r="BW28" s="1143"/>
      <c r="BX28" s="1137"/>
      <c r="BY28" s="1137"/>
      <c r="BZ28" s="2122"/>
      <c r="CA28" s="5447"/>
      <c r="CB28" s="5448"/>
      <c r="CC28" s="5448"/>
      <c r="CD28" s="5448"/>
      <c r="CE28" s="5448"/>
      <c r="CF28" s="5448"/>
      <c r="CG28" s="5448"/>
      <c r="CH28" s="5448"/>
      <c r="CI28" s="5448"/>
      <c r="CJ28" s="5448"/>
      <c r="CK28" s="5448"/>
      <c r="CL28" s="5448"/>
      <c r="CM28" s="5448"/>
      <c r="CN28" s="5448"/>
      <c r="CO28" s="5449"/>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66"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67"/>
      <c r="E30" s="5467"/>
      <c r="F30" s="5467"/>
      <c r="G30" s="5467"/>
      <c r="H30" s="1157" t="s">
        <v>1627</v>
      </c>
      <c r="I30" s="1158">
        <f>B30</f>
        <v>6</v>
      </c>
      <c r="J30" s="5454" t="s">
        <v>7687</v>
      </c>
      <c r="K30" s="5454"/>
      <c r="L30" s="5454"/>
      <c r="M30" s="5455" t="str">
        <f>IF(C30=0,"",VLOOKUP(C30,'Tablas Magia'!$D$6:$Z$680,2,FALSE))</f>
        <v>Luz</v>
      </c>
      <c r="N30" s="5455"/>
      <c r="O30" s="5455"/>
      <c r="P30" s="5455"/>
      <c r="Q30" s="5456"/>
      <c r="R30" s="1143"/>
      <c r="S30" s="1137"/>
      <c r="T30" s="1137"/>
      <c r="U30" s="2108">
        <f>U19+2</f>
        <v>26</v>
      </c>
      <c r="V30" s="5466"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67"/>
      <c r="X30" s="5467"/>
      <c r="Y30" s="5467"/>
      <c r="Z30" s="5467"/>
      <c r="AA30" s="1157" t="s">
        <v>1627</v>
      </c>
      <c r="AB30" s="1158">
        <f>U30</f>
        <v>26</v>
      </c>
      <c r="AC30" s="5454" t="s">
        <v>7687</v>
      </c>
      <c r="AD30" s="5454"/>
      <c r="AE30" s="5454"/>
      <c r="AF30" s="5455" t="str">
        <f>IF(V30=0,"",VLOOKUP(V30,'Tablas Magia'!$D$6:$Z$680,2,FALSE))</f>
        <v>Luz</v>
      </c>
      <c r="AG30" s="5455"/>
      <c r="AH30" s="5455"/>
      <c r="AI30" s="5455"/>
      <c r="AJ30" s="5456"/>
      <c r="AK30" s="1143"/>
      <c r="AL30" s="1137"/>
      <c r="AM30" s="1137"/>
      <c r="AN30" s="2122">
        <f>AN19+2</f>
        <v>46</v>
      </c>
      <c r="AO30" s="5466"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67"/>
      <c r="AQ30" s="5467"/>
      <c r="AR30" s="5467"/>
      <c r="AS30" s="5467"/>
      <c r="AT30" s="1157" t="s">
        <v>1627</v>
      </c>
      <c r="AU30" s="1158">
        <f>AN30</f>
        <v>46</v>
      </c>
      <c r="AV30" s="5454" t="s">
        <v>7687</v>
      </c>
      <c r="AW30" s="5454"/>
      <c r="AX30" s="5454"/>
      <c r="AY30" s="5455" t="str">
        <f>IF(AO30=0,"",VLOOKUP(AO30,'Tablas Magia'!$D$6:$Z$680,2,FALSE))</f>
        <v>Luz</v>
      </c>
      <c r="AZ30" s="5455"/>
      <c r="BA30" s="5455"/>
      <c r="BB30" s="5455"/>
      <c r="BC30" s="5456"/>
      <c r="BD30" s="1143"/>
      <c r="BE30" s="1137"/>
      <c r="BF30" s="1137"/>
      <c r="BG30" s="2122">
        <f>BG19+2</f>
        <v>66</v>
      </c>
      <c r="BH30" s="5466"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67"/>
      <c r="BJ30" s="5467"/>
      <c r="BK30" s="5467"/>
      <c r="BL30" s="5467"/>
      <c r="BM30" s="1157" t="s">
        <v>1627</v>
      </c>
      <c r="BN30" s="1158">
        <f>BG30</f>
        <v>66</v>
      </c>
      <c r="BO30" s="5454" t="s">
        <v>7687</v>
      </c>
      <c r="BP30" s="5454"/>
      <c r="BQ30" s="5454"/>
      <c r="BR30" s="5455" t="str">
        <f>IF(BH30=0,"",VLOOKUP(BH30,'Tablas Magia'!$D$6:$Z$680,2,FALSE))</f>
        <v>Luz</v>
      </c>
      <c r="BS30" s="5455"/>
      <c r="BT30" s="5455"/>
      <c r="BU30" s="5455"/>
      <c r="BV30" s="5456"/>
      <c r="BW30" s="1143"/>
      <c r="BX30" s="1137"/>
      <c r="BY30" s="1137"/>
      <c r="BZ30" s="2122">
        <f>BZ19+2</f>
        <v>86</v>
      </c>
      <c r="CA30" s="5466"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67"/>
      <c r="CC30" s="5467"/>
      <c r="CD30" s="5467"/>
      <c r="CE30" s="5467"/>
      <c r="CF30" s="1157" t="s">
        <v>1627</v>
      </c>
      <c r="CG30" s="1158">
        <f>BZ30</f>
        <v>86</v>
      </c>
      <c r="CH30" s="5454" t="s">
        <v>7687</v>
      </c>
      <c r="CI30" s="5454"/>
      <c r="CJ30" s="5454"/>
      <c r="CK30" s="5455" t="str">
        <f>IF(CA30=0,"",VLOOKUP(CA30,'Tablas Magia'!$D$6:$Z$680,2,FALSE))</f>
        <v>Luz</v>
      </c>
      <c r="CL30" s="5455"/>
      <c r="CM30" s="5455"/>
      <c r="CN30" s="5455"/>
      <c r="CO30" s="5456"/>
      <c r="CP30" s="1143"/>
      <c r="CQ30" s="1137"/>
    </row>
    <row r="31" spans="1:95" ht="12" customHeight="1" x14ac:dyDescent="0.2">
      <c r="A31" s="1137"/>
      <c r="B31" s="2108"/>
      <c r="C31" s="5450" t="s">
        <v>7688</v>
      </c>
      <c r="D31" s="5451"/>
      <c r="E31" s="1159" t="s">
        <v>7689</v>
      </c>
      <c r="F31" s="1159" t="s">
        <v>1820</v>
      </c>
      <c r="G31" s="1159" t="s">
        <v>3334</v>
      </c>
      <c r="H31" s="1160" t="s">
        <v>2165</v>
      </c>
      <c r="I31" s="5424" t="str">
        <f>IF(C30=0,"",VLOOKUP(C30,'Tablas Magia'!$D$6:$Z$680,5,FALSE))</f>
        <v>Anímico</v>
      </c>
      <c r="J31" s="5424"/>
      <c r="K31" s="5423" t="s">
        <v>7690</v>
      </c>
      <c r="L31" s="5423"/>
      <c r="M31" s="5424" t="str">
        <f>IF(C30=0,"",VLOOKUP(C30,'Tablas Magia'!$D$6:$Z$680,6,FALSE))</f>
        <v>Activa</v>
      </c>
      <c r="N31" s="5424"/>
      <c r="O31" s="5425" t="s">
        <v>7691</v>
      </c>
      <c r="P31" s="5425"/>
      <c r="Q31" s="1161" t="str">
        <f>IF(C30=0,"",VLOOKUP(C30,'Tablas Magia'!$D$6:$Z$680,4,FALSE))</f>
        <v>No</v>
      </c>
      <c r="R31" s="1143"/>
      <c r="S31" s="1137"/>
      <c r="T31" s="1137"/>
      <c r="U31" s="2108"/>
      <c r="V31" s="5450" t="s">
        <v>7688</v>
      </c>
      <c r="W31" s="5451"/>
      <c r="X31" s="1159" t="s">
        <v>7689</v>
      </c>
      <c r="Y31" s="1159" t="s">
        <v>1820</v>
      </c>
      <c r="Z31" s="1159" t="s">
        <v>3334</v>
      </c>
      <c r="AA31" s="1160" t="s">
        <v>2165</v>
      </c>
      <c r="AB31" s="5424" t="str">
        <f>IF(V30=0,"",VLOOKUP(V30,'Tablas Magia'!$D$6:$Z$680,5,FALSE))</f>
        <v>Efecto</v>
      </c>
      <c r="AC31" s="5424"/>
      <c r="AD31" s="5423" t="s">
        <v>7690</v>
      </c>
      <c r="AE31" s="5423"/>
      <c r="AF31" s="5424" t="str">
        <f>IF(V30=0,"",VLOOKUP(V30,'Tablas Magia'!$D$6:$Z$680,6,FALSE))</f>
        <v>Activa</v>
      </c>
      <c r="AG31" s="5424"/>
      <c r="AH31" s="5425" t="s">
        <v>7691</v>
      </c>
      <c r="AI31" s="5425"/>
      <c r="AJ31" s="1161" t="str">
        <f>IF(V30=0,"",VLOOKUP(V30,'Tablas Magia'!$D$6:$Z$680,4,FALSE))</f>
        <v>No</v>
      </c>
      <c r="AK31" s="1143"/>
      <c r="AL31" s="1137"/>
      <c r="AM31" s="1137"/>
      <c r="AN31" s="2122"/>
      <c r="AO31" s="5450" t="s">
        <v>7688</v>
      </c>
      <c r="AP31" s="5451"/>
      <c r="AQ31" s="1159" t="s">
        <v>7689</v>
      </c>
      <c r="AR31" s="1159" t="s">
        <v>1820</v>
      </c>
      <c r="AS31" s="1159" t="s">
        <v>3334</v>
      </c>
      <c r="AT31" s="1160" t="s">
        <v>2165</v>
      </c>
      <c r="AU31" s="5424" t="str">
        <f>IF(AO30=0,"",VLOOKUP(AO30,'Tablas Magia'!$D$6:$Z$680,5,FALSE))</f>
        <v>Ataque</v>
      </c>
      <c r="AV31" s="5424"/>
      <c r="AW31" s="5423" t="s">
        <v>7690</v>
      </c>
      <c r="AX31" s="5423"/>
      <c r="AY31" s="5424" t="str">
        <f>IF(AO30=0,"",VLOOKUP(AO30,'Tablas Magia'!$D$6:$Z$680,6,FALSE))</f>
        <v>Activa</v>
      </c>
      <c r="AZ31" s="5424"/>
      <c r="BA31" s="5425" t="s">
        <v>7691</v>
      </c>
      <c r="BB31" s="5425"/>
      <c r="BC31" s="1161" t="str">
        <f>IF(AO30=0,"",VLOOKUP(AO30,'Tablas Magia'!$D$6:$Z$680,4,FALSE))</f>
        <v>No</v>
      </c>
      <c r="BD31" s="1143"/>
      <c r="BE31" s="1137"/>
      <c r="BF31" s="1137"/>
      <c r="BG31" s="2122"/>
      <c r="BH31" s="5450" t="s">
        <v>7688</v>
      </c>
      <c r="BI31" s="5451"/>
      <c r="BJ31" s="1159" t="s">
        <v>7689</v>
      </c>
      <c r="BK31" s="1159" t="s">
        <v>1820</v>
      </c>
      <c r="BL31" s="1159" t="s">
        <v>3334</v>
      </c>
      <c r="BM31" s="1160" t="s">
        <v>2165</v>
      </c>
      <c r="BN31" s="5424" t="str">
        <f>IF(BH30=0,"",VLOOKUP(BH30,'Tablas Magia'!$D$6:$Z$680,5,FALSE))</f>
        <v>Detección</v>
      </c>
      <c r="BO31" s="5424"/>
      <c r="BP31" s="5423" t="s">
        <v>7690</v>
      </c>
      <c r="BQ31" s="5423"/>
      <c r="BR31" s="5424" t="str">
        <f>IF(BH30=0,"",VLOOKUP(BH30,'Tablas Magia'!$D$6:$Z$680,6,FALSE))</f>
        <v>Activa</v>
      </c>
      <c r="BS31" s="5424"/>
      <c r="BT31" s="5425" t="s">
        <v>7691</v>
      </c>
      <c r="BU31" s="5425"/>
      <c r="BV31" s="1161" t="str">
        <f>IF(BH30=0,"",VLOOKUP(BH30,'Tablas Magia'!$D$6:$Z$680,4,FALSE))</f>
        <v>No</v>
      </c>
      <c r="BW31" s="1143"/>
      <c r="BX31" s="1137"/>
      <c r="BY31" s="1137"/>
      <c r="BZ31" s="2122"/>
      <c r="CA31" s="5450" t="s">
        <v>7688</v>
      </c>
      <c r="CB31" s="5451"/>
      <c r="CC31" s="1159" t="s">
        <v>7689</v>
      </c>
      <c r="CD31" s="1159" t="s">
        <v>1820</v>
      </c>
      <c r="CE31" s="1159" t="s">
        <v>3334</v>
      </c>
      <c r="CF31" s="1160" t="s">
        <v>2165</v>
      </c>
      <c r="CG31" s="5424" t="str">
        <f>IF(CA30=0,"",VLOOKUP(CA30,'Tablas Magia'!$D$6:$Z$680,5,FALSE))</f>
        <v>Defensa</v>
      </c>
      <c r="CH31" s="5424"/>
      <c r="CI31" s="5423" t="s">
        <v>7690</v>
      </c>
      <c r="CJ31" s="5423"/>
      <c r="CK31" s="5424" t="str">
        <f>IF(CA30=0,"",VLOOKUP(CA30,'Tablas Magia'!$D$6:$Z$680,6,FALSE))</f>
        <v>Pasiva</v>
      </c>
      <c r="CL31" s="5424"/>
      <c r="CM31" s="5425" t="s">
        <v>7691</v>
      </c>
      <c r="CN31" s="5425"/>
      <c r="CO31" s="1161" t="str">
        <f>IF(CA30=0,"",VLOOKUP(CA30,'Tablas Magia'!$D$6:$Z$680,4,FALSE))</f>
        <v>Si</v>
      </c>
      <c r="CP31" s="1143"/>
      <c r="CQ31" s="1137"/>
    </row>
    <row r="32" spans="1:95" ht="12" customHeight="1" x14ac:dyDescent="0.2">
      <c r="A32" s="1137"/>
      <c r="B32" s="2108"/>
      <c r="C32" s="5426" t="s">
        <v>1674</v>
      </c>
      <c r="D32" s="5427"/>
      <c r="E32" s="1162">
        <f>IF(C30=0,"",VLOOKUP(C30,'Tablas Magia'!$D$6:$Z$680,7,FALSE))</f>
        <v>5</v>
      </c>
      <c r="F32" s="1162">
        <f>IF(C30=0,"",VLOOKUP(C30,'Tablas Magia'!$D$6:$Z$680,11,FALSE))</f>
        <v>40</v>
      </c>
      <c r="G32" s="1163" t="str">
        <f>IF(C30=0,"",VLOOKUP(C30,'Tablas Magia'!$D$6:$Z$680,15,FALSE))</f>
        <v>No</v>
      </c>
      <c r="H32" s="5428" t="str">
        <f>IF(C30=0,"",VLOOKUP(C30,'Tablas Magia'!$D$6:$Z$680,19,FALSE))</f>
        <v>RM o RP 80 / 10 metros de radio</v>
      </c>
      <c r="I32" s="5429"/>
      <c r="J32" s="5429"/>
      <c r="K32" s="5429"/>
      <c r="L32" s="5429"/>
      <c r="M32" s="5429"/>
      <c r="N32" s="5429"/>
      <c r="O32" s="5429"/>
      <c r="P32" s="5429"/>
      <c r="Q32" s="5430"/>
      <c r="R32" s="1143"/>
      <c r="S32" s="1137"/>
      <c r="T32" s="1137"/>
      <c r="U32" s="2108"/>
      <c r="V32" s="5426" t="s">
        <v>1674</v>
      </c>
      <c r="W32" s="5427"/>
      <c r="X32" s="1162">
        <f>IF(V30=0,"",VLOOKUP(V30,'Tablas Magia'!$D$6:$Z$680,7,FALSE))</f>
        <v>6</v>
      </c>
      <c r="Y32" s="1162">
        <f>IF(V30=0,"",VLOOKUP(V30,'Tablas Magia'!$D$6:$Z$680,11,FALSE))</f>
        <v>40</v>
      </c>
      <c r="Z32" s="1163">
        <f>IF(V30=0,"",VLOOKUP(V30,'Tablas Magia'!$D$6:$Z$680,15,FALSE))</f>
        <v>5</v>
      </c>
      <c r="AA32" s="5428" t="str">
        <f>IF(V30=0,"",VLOOKUP(V30,'Tablas Magia'!$D$6:$Z$680,19,FALSE))</f>
        <v>La imagen tiene un tamaño máximo de un metro cuadrados</v>
      </c>
      <c r="AB32" s="5429"/>
      <c r="AC32" s="5429"/>
      <c r="AD32" s="5429"/>
      <c r="AE32" s="5429"/>
      <c r="AF32" s="5429"/>
      <c r="AG32" s="5429"/>
      <c r="AH32" s="5429"/>
      <c r="AI32" s="5429"/>
      <c r="AJ32" s="5430"/>
      <c r="AK32" s="1143"/>
      <c r="AL32" s="1137"/>
      <c r="AM32" s="1137"/>
      <c r="AN32" s="2122"/>
      <c r="AO32" s="5426" t="s">
        <v>1674</v>
      </c>
      <c r="AP32" s="5427"/>
      <c r="AQ32" s="1162">
        <f>IF(AO30=0,"",VLOOKUP(AO30,'Tablas Magia'!$D$6:$Z$680,7,FALSE))</f>
        <v>6</v>
      </c>
      <c r="AR32" s="1162">
        <f>IF(AO30=0,"",VLOOKUP(AO30,'Tablas Magia'!$D$6:$Z$680,11,FALSE))</f>
        <v>120</v>
      </c>
      <c r="AS32" s="1163">
        <f>IF(AO30=0,"",VLOOKUP(AO30,'Tablas Magia'!$D$6:$Z$680,15,FALSE))</f>
        <v>15</v>
      </c>
      <c r="AT32" s="5428" t="str">
        <f>IF(AO30=0,"",VLOOKUP(AO30,'Tablas Magia'!$D$6:$Z$680,19,FALSE))</f>
        <v>Daño Base 100 / Proyección Mágica 150</v>
      </c>
      <c r="AU32" s="5429"/>
      <c r="AV32" s="5429"/>
      <c r="AW32" s="5429"/>
      <c r="AX32" s="5429"/>
      <c r="AY32" s="5429"/>
      <c r="AZ32" s="5429"/>
      <c r="BA32" s="5429"/>
      <c r="BB32" s="5429"/>
      <c r="BC32" s="5430"/>
      <c r="BD32" s="1143"/>
      <c r="BE32" s="1137"/>
      <c r="BF32" s="1137"/>
      <c r="BG32" s="2122"/>
      <c r="BH32" s="5426" t="s">
        <v>1674</v>
      </c>
      <c r="BI32" s="5427"/>
      <c r="BJ32" s="1162">
        <f>IF(BH30=0,"",VLOOKUP(BH30,'Tablas Magia'!$D$6:$Z$680,7,FALSE))</f>
        <v>8</v>
      </c>
      <c r="BK32" s="1162">
        <f>IF(BH30=0,"",VLOOKUP(BH30,'Tablas Magia'!$D$6:$Z$680,11,FALSE))</f>
        <v>160</v>
      </c>
      <c r="BL32" s="1163" t="str">
        <f>IF(BH30=0,"",VLOOKUP(BH30,'Tablas Magia'!$D$6:$Z$680,15,FALSE))</f>
        <v>No</v>
      </c>
      <c r="BM32" s="5428" t="str">
        <f>IF(BH30=0,"",VLOOKUP(BH30,'Tablas Magia'!$D$6:$Z$680,19,FALSE))</f>
        <v>RM 140.</v>
      </c>
      <c r="BN32" s="5429"/>
      <c r="BO32" s="5429"/>
      <c r="BP32" s="5429"/>
      <c r="BQ32" s="5429"/>
      <c r="BR32" s="5429"/>
      <c r="BS32" s="5429"/>
      <c r="BT32" s="5429"/>
      <c r="BU32" s="5429"/>
      <c r="BV32" s="5430"/>
      <c r="BW32" s="1143"/>
      <c r="BX32" s="1137"/>
      <c r="BY32" s="1137"/>
      <c r="BZ32" s="2122"/>
      <c r="CA32" s="5426" t="s">
        <v>1674</v>
      </c>
      <c r="CB32" s="5427"/>
      <c r="CC32" s="1162">
        <f>IF(CA30=0,"",VLOOKUP(CA30,'Tablas Magia'!$D$6:$Z$680,7,FALSE))</f>
        <v>10</v>
      </c>
      <c r="CD32" s="1162">
        <f>IF(CA30=0,"",VLOOKUP(CA30,'Tablas Magia'!$D$6:$Z$680,11,FALSE))</f>
        <v>160</v>
      </c>
      <c r="CE32" s="1163">
        <f>IF(CA30=0,"",VLOOKUP(CA30,'Tablas Magia'!$D$6:$Z$680,15,FALSE))</f>
        <v>20</v>
      </c>
      <c r="CF32" s="5428" t="str">
        <f>IF(CA30=0,"",VLOOKUP(CA30,'Tablas Magia'!$D$6:$Z$680,19,FALSE))</f>
        <v>100 contra choques / Tiene 800 puntos de Resistencia</v>
      </c>
      <c r="CG32" s="5429"/>
      <c r="CH32" s="5429"/>
      <c r="CI32" s="5429"/>
      <c r="CJ32" s="5429"/>
      <c r="CK32" s="5429"/>
      <c r="CL32" s="5429"/>
      <c r="CM32" s="5429"/>
      <c r="CN32" s="5429"/>
      <c r="CO32" s="5430"/>
      <c r="CP32" s="1143"/>
      <c r="CQ32" s="1137"/>
    </row>
    <row r="33" spans="1:95" ht="12" customHeight="1" x14ac:dyDescent="0.2">
      <c r="A33" s="1137"/>
      <c r="B33" s="2108"/>
      <c r="C33" s="5431" t="s">
        <v>4572</v>
      </c>
      <c r="D33" s="5432"/>
      <c r="E33" s="1164">
        <f>IF(C30=0,"",VLOOKUP(C30,'Tablas Magia'!$D$6:$Z$680,8,FALSE))</f>
        <v>8</v>
      </c>
      <c r="F33" s="1164">
        <f>IF(C30=0,"",VLOOKUP(C30,'Tablas Magia'!$D$6:$Z$680,12,FALSE))</f>
        <v>80</v>
      </c>
      <c r="G33" s="1165" t="str">
        <f>IF(C30=0,"",VLOOKUP(C30,'Tablas Magia'!$D$6:$Z$680,16,FALSE))</f>
        <v>No</v>
      </c>
      <c r="H33" s="5433" t="str">
        <f>IF(C30=0,"",VLOOKUP(C30,'Tablas Magia'!$D$6:$Z$680,20,FALSE))</f>
        <v>RM o RP 100 / 25 metros de radio.</v>
      </c>
      <c r="I33" s="5434"/>
      <c r="J33" s="5434"/>
      <c r="K33" s="5434"/>
      <c r="L33" s="5434"/>
      <c r="M33" s="5434"/>
      <c r="N33" s="5434"/>
      <c r="O33" s="5434"/>
      <c r="P33" s="5434"/>
      <c r="Q33" s="5435"/>
      <c r="R33" s="1143"/>
      <c r="S33" s="1137"/>
      <c r="T33" s="1137"/>
      <c r="U33" s="2108"/>
      <c r="V33" s="5431" t="s">
        <v>4572</v>
      </c>
      <c r="W33" s="5432"/>
      <c r="X33" s="1164">
        <f>IF(V30=0,"",VLOOKUP(V30,'Tablas Magia'!$D$6:$Z$680,8,FALSE))</f>
        <v>9</v>
      </c>
      <c r="Y33" s="1164">
        <f>IF(V30=0,"",VLOOKUP(V30,'Tablas Magia'!$D$6:$Z$680,12,FALSE))</f>
        <v>150</v>
      </c>
      <c r="Z33" s="1165">
        <f>IF(V30=0,"",VLOOKUP(V30,'Tablas Magia'!$D$6:$Z$680,16,FALSE))</f>
        <v>20</v>
      </c>
      <c r="AA33" s="5433" t="str">
        <f>IF(V30=0,"",VLOOKUP(V30,'Tablas Magia'!$D$6:$Z$680,20,FALSE))</f>
        <v>La imagen tiene un tamaño máximo de 15 metros cuadrados</v>
      </c>
      <c r="AB33" s="5434"/>
      <c r="AC33" s="5434"/>
      <c r="AD33" s="5434"/>
      <c r="AE33" s="5434"/>
      <c r="AF33" s="5434"/>
      <c r="AG33" s="5434"/>
      <c r="AH33" s="5434"/>
      <c r="AI33" s="5434"/>
      <c r="AJ33" s="5435"/>
      <c r="AK33" s="1143"/>
      <c r="AL33" s="1137"/>
      <c r="AM33" s="1137"/>
      <c r="AN33" s="2122"/>
      <c r="AO33" s="5431" t="s">
        <v>4572</v>
      </c>
      <c r="AP33" s="5432"/>
      <c r="AQ33" s="1164">
        <f>IF(AO30=0,"",VLOOKUP(AO30,'Tablas Magia'!$D$6:$Z$680,8,FALSE))</f>
        <v>9</v>
      </c>
      <c r="AR33" s="1164">
        <f>IF(AO30=0,"",VLOOKUP(AO30,'Tablas Magia'!$D$6:$Z$680,12,FALSE))</f>
        <v>180</v>
      </c>
      <c r="AS33" s="1165">
        <f>IF(AO30=0,"",VLOOKUP(AO30,'Tablas Magia'!$D$6:$Z$680,16,FALSE))</f>
        <v>20</v>
      </c>
      <c r="AT33" s="5433" t="str">
        <f>IF(AO30=0,"",VLOOKUP(AO30,'Tablas Magia'!$D$6:$Z$680,20,FALSE))</f>
        <v>Daño Base de 120 / Proyección Mágica 180</v>
      </c>
      <c r="AU33" s="5434"/>
      <c r="AV33" s="5434"/>
      <c r="AW33" s="5434"/>
      <c r="AX33" s="5434"/>
      <c r="AY33" s="5434"/>
      <c r="AZ33" s="5434"/>
      <c r="BA33" s="5434"/>
      <c r="BB33" s="5434"/>
      <c r="BC33" s="5435"/>
      <c r="BD33" s="1143"/>
      <c r="BE33" s="1137"/>
      <c r="BF33" s="1137"/>
      <c r="BG33" s="2122"/>
      <c r="BH33" s="5431" t="s">
        <v>4572</v>
      </c>
      <c r="BI33" s="5432"/>
      <c r="BJ33" s="1164">
        <f>IF(BH30=0,"",VLOOKUP(BH30,'Tablas Magia'!$D$6:$Z$680,8,FALSE))</f>
        <v>10</v>
      </c>
      <c r="BK33" s="1164">
        <f>IF(BH30=0,"",VLOOKUP(BH30,'Tablas Magia'!$D$6:$Z$680,12,FALSE))</f>
        <v>200</v>
      </c>
      <c r="BL33" s="1165" t="str">
        <f>IF(BH30=0,"",VLOOKUP(BH30,'Tablas Magia'!$D$6:$Z$680,16,FALSE))</f>
        <v>No</v>
      </c>
      <c r="BM33" s="5433" t="str">
        <f>IF(BH30=0,"",VLOOKUP(BH30,'Tablas Magia'!$D$6:$Z$680,20,FALSE))</f>
        <v>RM 180</v>
      </c>
      <c r="BN33" s="5434"/>
      <c r="BO33" s="5434"/>
      <c r="BP33" s="5434"/>
      <c r="BQ33" s="5434"/>
      <c r="BR33" s="5434"/>
      <c r="BS33" s="5434"/>
      <c r="BT33" s="5434"/>
      <c r="BU33" s="5434"/>
      <c r="BV33" s="5435"/>
      <c r="BW33" s="1143"/>
      <c r="BX33" s="1137"/>
      <c r="BY33" s="1137"/>
      <c r="BZ33" s="2122"/>
      <c r="CA33" s="5431" t="s">
        <v>4572</v>
      </c>
      <c r="CB33" s="5432"/>
      <c r="CC33" s="1164">
        <f>IF(CA30=0,"",VLOOKUP(CA30,'Tablas Magia'!$D$6:$Z$680,8,FALSE))</f>
        <v>13</v>
      </c>
      <c r="CD33" s="1164">
        <f>IF(CA30=0,"",VLOOKUP(CA30,'Tablas Magia'!$D$6:$Z$680,12,FALSE))</f>
        <v>250</v>
      </c>
      <c r="CE33" s="1165">
        <f>IF(CA30=0,"",VLOOKUP(CA30,'Tablas Magia'!$D$6:$Z$680,16,FALSE))</f>
        <v>25</v>
      </c>
      <c r="CF33" s="5433" t="str">
        <f>IF(CA30=0,"",VLOOKUP(CA30,'Tablas Magia'!$D$6:$Z$680,20,FALSE))</f>
        <v>120 contra choques / Tiene 1.500 puntos de Resistencia</v>
      </c>
      <c r="CG33" s="5434"/>
      <c r="CH33" s="5434"/>
      <c r="CI33" s="5434"/>
      <c r="CJ33" s="5434"/>
      <c r="CK33" s="5434"/>
      <c r="CL33" s="5434"/>
      <c r="CM33" s="5434"/>
      <c r="CN33" s="5434"/>
      <c r="CO33" s="5435"/>
      <c r="CP33" s="1143"/>
      <c r="CQ33" s="1137"/>
    </row>
    <row r="34" spans="1:95" ht="12" customHeight="1" x14ac:dyDescent="0.2">
      <c r="A34" s="1137"/>
      <c r="B34" s="2108"/>
      <c r="C34" s="5426" t="s">
        <v>4573</v>
      </c>
      <c r="D34" s="5427"/>
      <c r="E34" s="1162">
        <f>IF(C30=0,"",VLOOKUP(C30,'Tablas Magia'!$D$6:$Z$680,9,FALSE))</f>
        <v>11</v>
      </c>
      <c r="F34" s="1162">
        <f>IF(C30=0,"",VLOOKUP(C30,'Tablas Magia'!$D$6:$Z$680,13,FALSE))</f>
        <v>120</v>
      </c>
      <c r="G34" s="1163" t="str">
        <f>IF(C30=0,"",VLOOKUP(C30,'Tablas Magia'!$D$6:$Z$680,17,FALSE))</f>
        <v>No</v>
      </c>
      <c r="H34" s="5428" t="str">
        <f>IF(C30=0,"",VLOOKUP(C30,'Tablas Magia'!$D$6:$Z$680,21,FALSE))</f>
        <v>RM o RP 120 / 50 metros de radio</v>
      </c>
      <c r="I34" s="5429"/>
      <c r="J34" s="5429"/>
      <c r="K34" s="5429"/>
      <c r="L34" s="5429"/>
      <c r="M34" s="5429"/>
      <c r="N34" s="5429"/>
      <c r="O34" s="5429"/>
      <c r="P34" s="5429"/>
      <c r="Q34" s="5430"/>
      <c r="R34" s="1143"/>
      <c r="S34" s="1137"/>
      <c r="T34" s="1137"/>
      <c r="U34" s="2108"/>
      <c r="V34" s="5426" t="s">
        <v>4573</v>
      </c>
      <c r="W34" s="5427"/>
      <c r="X34" s="1162">
        <f>IF(V30=0,"",VLOOKUP(V30,'Tablas Magia'!$D$6:$Z$680,9,FALSE))</f>
        <v>12</v>
      </c>
      <c r="Y34" s="1162">
        <f>IF(V30=0,"",VLOOKUP(V30,'Tablas Magia'!$D$6:$Z$680,13,FALSE))</f>
        <v>250</v>
      </c>
      <c r="Z34" s="1163">
        <f>IF(V30=0,"",VLOOKUP(V30,'Tablas Magia'!$D$6:$Z$680,17,FALSE))</f>
        <v>25</v>
      </c>
      <c r="AA34" s="5428" t="str">
        <f>IF(V30=0,"",VLOOKUP(V30,'Tablas Magia'!$D$6:$Z$680,21,FALSE))</f>
        <v>La imagen tiene un tamaño máximo de 50 metros cuadrados</v>
      </c>
      <c r="AB34" s="5429"/>
      <c r="AC34" s="5429"/>
      <c r="AD34" s="5429"/>
      <c r="AE34" s="5429"/>
      <c r="AF34" s="5429"/>
      <c r="AG34" s="5429"/>
      <c r="AH34" s="5429"/>
      <c r="AI34" s="5429"/>
      <c r="AJ34" s="5430"/>
      <c r="AK34" s="1143"/>
      <c r="AL34" s="1137"/>
      <c r="AM34" s="1137"/>
      <c r="AN34" s="2122"/>
      <c r="AO34" s="5426" t="s">
        <v>4573</v>
      </c>
      <c r="AP34" s="5427"/>
      <c r="AQ34" s="1162">
        <f>IF(AO30=0,"",VLOOKUP(AO30,'Tablas Magia'!$D$6:$Z$680,9,FALSE))</f>
        <v>12</v>
      </c>
      <c r="AR34" s="1162">
        <f>IF(AO30=0,"",VLOOKUP(AO30,'Tablas Magia'!$D$6:$Z$680,13,FALSE))</f>
        <v>240</v>
      </c>
      <c r="AS34" s="1163">
        <f>IF(AO30=0,"",VLOOKUP(AO30,'Tablas Magia'!$D$6:$Z$680,17,FALSE))</f>
        <v>25</v>
      </c>
      <c r="AT34" s="5428" t="str">
        <f>IF(AO30=0,"",VLOOKUP(AO30,'Tablas Magia'!$D$6:$Z$680,21,FALSE))</f>
        <v>Daño Base de 160 / Proyección Mágica 210</v>
      </c>
      <c r="AU34" s="5429"/>
      <c r="AV34" s="5429"/>
      <c r="AW34" s="5429"/>
      <c r="AX34" s="5429"/>
      <c r="AY34" s="5429"/>
      <c r="AZ34" s="5429"/>
      <c r="BA34" s="5429"/>
      <c r="BB34" s="5429"/>
      <c r="BC34" s="5430"/>
      <c r="BD34" s="1143"/>
      <c r="BE34" s="1137"/>
      <c r="BF34" s="1137"/>
      <c r="BG34" s="2122"/>
      <c r="BH34" s="5426" t="s">
        <v>4573</v>
      </c>
      <c r="BI34" s="5427"/>
      <c r="BJ34" s="1162">
        <f>IF(BH30=0,"",VLOOKUP(BH30,'Tablas Magia'!$D$6:$Z$680,9,FALSE))</f>
        <v>13</v>
      </c>
      <c r="BK34" s="1162">
        <f>IF(BH30=0,"",VLOOKUP(BH30,'Tablas Magia'!$D$6:$Z$680,13,FALSE))</f>
        <v>260</v>
      </c>
      <c r="BL34" s="1163" t="str">
        <f>IF(BH30=0,"",VLOOKUP(BH30,'Tablas Magia'!$D$6:$Z$680,17,FALSE))</f>
        <v>No</v>
      </c>
      <c r="BM34" s="5428" t="str">
        <f>IF(BH30=0,"",VLOOKUP(BH30,'Tablas Magia'!$D$6:$Z$680,21,FALSE))</f>
        <v>RM 220.</v>
      </c>
      <c r="BN34" s="5429"/>
      <c r="BO34" s="5429"/>
      <c r="BP34" s="5429"/>
      <c r="BQ34" s="5429"/>
      <c r="BR34" s="5429"/>
      <c r="BS34" s="5429"/>
      <c r="BT34" s="5429"/>
      <c r="BU34" s="5429"/>
      <c r="BV34" s="5430"/>
      <c r="BW34" s="1143"/>
      <c r="BX34" s="1137"/>
      <c r="BY34" s="1137"/>
      <c r="BZ34" s="2122"/>
      <c r="CA34" s="5426" t="s">
        <v>4573</v>
      </c>
      <c r="CB34" s="5427"/>
      <c r="CC34" s="1162">
        <f>IF(CA30=0,"",VLOOKUP(CA30,'Tablas Magia'!$D$6:$Z$680,9,FALSE))</f>
        <v>15</v>
      </c>
      <c r="CD34" s="1162">
        <f>IF(CA30=0,"",VLOOKUP(CA30,'Tablas Magia'!$D$6:$Z$680,13,FALSE))</f>
        <v>300</v>
      </c>
      <c r="CE34" s="1163">
        <f>IF(CA30=0,"",VLOOKUP(CA30,'Tablas Magia'!$D$6:$Z$680,17,FALSE))</f>
        <v>30</v>
      </c>
      <c r="CF34" s="5428" t="str">
        <f>IF(CA30=0,"",VLOOKUP(CA30,'Tablas Magia'!$D$6:$Z$680,21,FALSE))</f>
        <v>140 contra choques / Tiene 3.000 puntos de Resistencia</v>
      </c>
      <c r="CG34" s="5429"/>
      <c r="CH34" s="5429"/>
      <c r="CI34" s="5429"/>
      <c r="CJ34" s="5429"/>
      <c r="CK34" s="5429"/>
      <c r="CL34" s="5429"/>
      <c r="CM34" s="5429"/>
      <c r="CN34" s="5429"/>
      <c r="CO34" s="5430"/>
      <c r="CP34" s="1143"/>
      <c r="CQ34" s="1137"/>
    </row>
    <row r="35" spans="1:95" ht="12" customHeight="1" thickBot="1" x14ac:dyDescent="0.25">
      <c r="A35" s="1137"/>
      <c r="B35" s="2108"/>
      <c r="C35" s="5436" t="s">
        <v>4574</v>
      </c>
      <c r="D35" s="5437"/>
      <c r="E35" s="1166">
        <f>IF(C30=0,"",VLOOKUP(C30,'Tablas Magia'!$D$6:$Z$680,10,FALSE))</f>
        <v>14</v>
      </c>
      <c r="F35" s="1166">
        <f>IF(C30=0,"",VLOOKUP(C30,'Tablas Magia'!$D$6:$Z$680,14,FALSE))</f>
        <v>160</v>
      </c>
      <c r="G35" s="1167" t="str">
        <f>IF(C30=0,"",VLOOKUP(C30,'Tablas Magia'!$D$6:$Z$680,18,FALSE))</f>
        <v>No</v>
      </c>
      <c r="H35" s="5438" t="str">
        <f>IF(C30=0,"",VLOOKUP(C30,'Tablas Magia'!$D$6:$Z$680,22,FALSE))</f>
        <v>RM o RP 150 / 100 metros de radio</v>
      </c>
      <c r="I35" s="5439"/>
      <c r="J35" s="5439"/>
      <c r="K35" s="5439"/>
      <c r="L35" s="5439"/>
      <c r="M35" s="5439"/>
      <c r="N35" s="5439"/>
      <c r="O35" s="5439"/>
      <c r="P35" s="5439"/>
      <c r="Q35" s="5440"/>
      <c r="R35" s="1143"/>
      <c r="S35" s="1137"/>
      <c r="T35" s="1137"/>
      <c r="U35" s="2108"/>
      <c r="V35" s="5436" t="s">
        <v>4574</v>
      </c>
      <c r="W35" s="5437"/>
      <c r="X35" s="1166">
        <f>IF(V30=0,"",VLOOKUP(V30,'Tablas Magia'!$D$6:$Z$680,10,FALSE))</f>
        <v>15</v>
      </c>
      <c r="Y35" s="1166">
        <f>IF(V30=0,"",VLOOKUP(V30,'Tablas Magia'!$D$6:$Z$680,14,FALSE))</f>
        <v>350</v>
      </c>
      <c r="Z35" s="1167">
        <f>IF(V30=0,"",VLOOKUP(V30,'Tablas Magia'!$D$6:$Z$680,18,FALSE))</f>
        <v>30</v>
      </c>
      <c r="AA35" s="5438" t="str">
        <f>IF(V30=0,"",VLOOKUP(V30,'Tablas Magia'!$D$6:$Z$680,22,FALSE))</f>
        <v>máximo 100 metros² y dificultad de Advertir (IMP) y Buscar (ABS).</v>
      </c>
      <c r="AB35" s="5439"/>
      <c r="AC35" s="5439"/>
      <c r="AD35" s="5439"/>
      <c r="AE35" s="5439"/>
      <c r="AF35" s="5439"/>
      <c r="AG35" s="5439"/>
      <c r="AH35" s="5439"/>
      <c r="AI35" s="5439"/>
      <c r="AJ35" s="5440"/>
      <c r="AK35" s="1143"/>
      <c r="AL35" s="1137"/>
      <c r="AM35" s="1137"/>
      <c r="AN35" s="2122"/>
      <c r="AO35" s="5436" t="s">
        <v>4574</v>
      </c>
      <c r="AP35" s="5437"/>
      <c r="AQ35" s="1166">
        <f>IF(AO30=0,"",VLOOKUP(AO30,'Tablas Magia'!$D$6:$Z$680,10,FALSE))</f>
        <v>15</v>
      </c>
      <c r="AR35" s="1166">
        <f>IF(AO30=0,"",VLOOKUP(AO30,'Tablas Magia'!$D$6:$Z$680,14,FALSE))</f>
        <v>300</v>
      </c>
      <c r="AS35" s="1167">
        <f>IF(AO30=0,"",VLOOKUP(AO30,'Tablas Magia'!$D$6:$Z$680,18,FALSE))</f>
        <v>30</v>
      </c>
      <c r="AT35" s="5438" t="str">
        <f>IF(AO30=0,"",VLOOKUP(AO30,'Tablas Magia'!$D$6:$Z$680,22,FALSE))</f>
        <v>Daño Base de 200 / Proyección Mágica 240</v>
      </c>
      <c r="AU35" s="5439"/>
      <c r="AV35" s="5439"/>
      <c r="AW35" s="5439"/>
      <c r="AX35" s="5439"/>
      <c r="AY35" s="5439"/>
      <c r="AZ35" s="5439"/>
      <c r="BA35" s="5439"/>
      <c r="BB35" s="5439"/>
      <c r="BC35" s="5440"/>
      <c r="BD35" s="1143"/>
      <c r="BE35" s="1137"/>
      <c r="BF35" s="1137"/>
      <c r="BG35" s="2122"/>
      <c r="BH35" s="5436" t="s">
        <v>4574</v>
      </c>
      <c r="BI35" s="5437"/>
      <c r="BJ35" s="1166">
        <f>IF(BH30=0,"",VLOOKUP(BH30,'Tablas Magia'!$D$6:$Z$680,10,FALSE))</f>
        <v>16</v>
      </c>
      <c r="BK35" s="1166">
        <f>IF(BH30=0,"",VLOOKUP(BH30,'Tablas Magia'!$D$6:$Z$680,14,FALSE))</f>
        <v>320</v>
      </c>
      <c r="BL35" s="1167" t="str">
        <f>IF(BH30=0,"",VLOOKUP(BH30,'Tablas Magia'!$D$6:$Z$680,18,FALSE))</f>
        <v>No</v>
      </c>
      <c r="BM35" s="5438" t="str">
        <f>IF(BH30=0,"",VLOOKUP(BH30,'Tablas Magia'!$D$6:$Z$680,22,FALSE))</f>
        <v>RM 260.</v>
      </c>
      <c r="BN35" s="5439"/>
      <c r="BO35" s="5439"/>
      <c r="BP35" s="5439"/>
      <c r="BQ35" s="5439"/>
      <c r="BR35" s="5439"/>
      <c r="BS35" s="5439"/>
      <c r="BT35" s="5439"/>
      <c r="BU35" s="5439"/>
      <c r="BV35" s="5440"/>
      <c r="BW35" s="1143"/>
      <c r="BX35" s="1137"/>
      <c r="BY35" s="1137"/>
      <c r="BZ35" s="2122"/>
      <c r="CA35" s="5436" t="s">
        <v>4574</v>
      </c>
      <c r="CB35" s="5437"/>
      <c r="CC35" s="1166">
        <f>IF(CA30=0,"",VLOOKUP(CA30,'Tablas Magia'!$D$6:$Z$680,10,FALSE))</f>
        <v>17</v>
      </c>
      <c r="CD35" s="1166">
        <f>IF(CA30=0,"",VLOOKUP(CA30,'Tablas Magia'!$D$6:$Z$680,14,FALSE))</f>
        <v>400</v>
      </c>
      <c r="CE35" s="1167">
        <f>IF(CA30=0,"",VLOOKUP(CA30,'Tablas Magia'!$D$6:$Z$680,18,FALSE))</f>
        <v>40</v>
      </c>
      <c r="CF35" s="5438" t="str">
        <f>IF(CA30=0,"",VLOOKUP(CA30,'Tablas Magia'!$D$6:$Z$680,22,FALSE))</f>
        <v>180 contra choques / Tiene 6.000 puntos de Resistencia</v>
      </c>
      <c r="CG35" s="5439"/>
      <c r="CH35" s="5439"/>
      <c r="CI35" s="5439"/>
      <c r="CJ35" s="5439"/>
      <c r="CK35" s="5439"/>
      <c r="CL35" s="5439"/>
      <c r="CM35" s="5439"/>
      <c r="CN35" s="5439"/>
      <c r="CO35" s="5440"/>
      <c r="CP35" s="1143"/>
      <c r="CQ35" s="1137"/>
    </row>
    <row r="36" spans="1:95" ht="12" customHeight="1" x14ac:dyDescent="0.2">
      <c r="A36" s="1137"/>
      <c r="B36" s="2108"/>
      <c r="C36" s="5441"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42"/>
      <c r="E36" s="5442"/>
      <c r="F36" s="5442"/>
      <c r="G36" s="5442"/>
      <c r="H36" s="5442"/>
      <c r="I36" s="5442"/>
      <c r="J36" s="5442"/>
      <c r="K36" s="5442"/>
      <c r="L36" s="5442"/>
      <c r="M36" s="5442"/>
      <c r="N36" s="5442"/>
      <c r="O36" s="5442"/>
      <c r="P36" s="5442"/>
      <c r="Q36" s="5443"/>
      <c r="R36" s="1143"/>
      <c r="S36" s="1137"/>
      <c r="T36" s="1137"/>
      <c r="U36" s="2108"/>
      <c r="V36" s="5441"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42"/>
      <c r="X36" s="5442"/>
      <c r="Y36" s="5442"/>
      <c r="Z36" s="5442"/>
      <c r="AA36" s="5442"/>
      <c r="AB36" s="5442"/>
      <c r="AC36" s="5442"/>
      <c r="AD36" s="5442"/>
      <c r="AE36" s="5442"/>
      <c r="AF36" s="5442"/>
      <c r="AG36" s="5442"/>
      <c r="AH36" s="5442"/>
      <c r="AI36" s="5442"/>
      <c r="AJ36" s="5443"/>
      <c r="AK36" s="1143"/>
      <c r="AL36" s="1137"/>
      <c r="AM36" s="1137"/>
      <c r="AN36" s="2122"/>
      <c r="AO36" s="5441"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42"/>
      <c r="AQ36" s="5442"/>
      <c r="AR36" s="5442"/>
      <c r="AS36" s="5442"/>
      <c r="AT36" s="5442"/>
      <c r="AU36" s="5442"/>
      <c r="AV36" s="5442"/>
      <c r="AW36" s="5442"/>
      <c r="AX36" s="5442"/>
      <c r="AY36" s="5442"/>
      <c r="AZ36" s="5442"/>
      <c r="BA36" s="5442"/>
      <c r="BB36" s="5442"/>
      <c r="BC36" s="5443"/>
      <c r="BD36" s="1143"/>
      <c r="BE36" s="1137"/>
      <c r="BF36" s="1137"/>
      <c r="BG36" s="2122"/>
      <c r="BH36" s="5441"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42"/>
      <c r="BJ36" s="5442"/>
      <c r="BK36" s="5442"/>
      <c r="BL36" s="5442"/>
      <c r="BM36" s="5442"/>
      <c r="BN36" s="5442"/>
      <c r="BO36" s="5442"/>
      <c r="BP36" s="5442"/>
      <c r="BQ36" s="5442"/>
      <c r="BR36" s="5442"/>
      <c r="BS36" s="5442"/>
      <c r="BT36" s="5442"/>
      <c r="BU36" s="5442"/>
      <c r="BV36" s="5443"/>
      <c r="BW36" s="1143"/>
      <c r="BX36" s="1137"/>
      <c r="BY36" s="1137"/>
      <c r="BZ36" s="2122"/>
      <c r="CA36" s="5441"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42"/>
      <c r="CC36" s="5442"/>
      <c r="CD36" s="5442"/>
      <c r="CE36" s="5442"/>
      <c r="CF36" s="5442"/>
      <c r="CG36" s="5442"/>
      <c r="CH36" s="5442"/>
      <c r="CI36" s="5442"/>
      <c r="CJ36" s="5442"/>
      <c r="CK36" s="5442"/>
      <c r="CL36" s="5442"/>
      <c r="CM36" s="5442"/>
      <c r="CN36" s="5442"/>
      <c r="CO36" s="5443"/>
      <c r="CP36" s="1143"/>
      <c r="CQ36" s="1137"/>
    </row>
    <row r="37" spans="1:95" ht="12" customHeight="1" x14ac:dyDescent="0.2">
      <c r="A37" s="1137"/>
      <c r="B37" s="2108"/>
      <c r="C37" s="5444"/>
      <c r="D37" s="5445"/>
      <c r="E37" s="5445"/>
      <c r="F37" s="5445"/>
      <c r="G37" s="5445"/>
      <c r="H37" s="5445"/>
      <c r="I37" s="5445"/>
      <c r="J37" s="5445"/>
      <c r="K37" s="5445"/>
      <c r="L37" s="5445"/>
      <c r="M37" s="5445"/>
      <c r="N37" s="5445"/>
      <c r="O37" s="5445"/>
      <c r="P37" s="5445"/>
      <c r="Q37" s="5446"/>
      <c r="R37" s="1143"/>
      <c r="S37" s="1137"/>
      <c r="T37" s="1137"/>
      <c r="U37" s="2108"/>
      <c r="V37" s="5444"/>
      <c r="W37" s="5445"/>
      <c r="X37" s="5445"/>
      <c r="Y37" s="5445"/>
      <c r="Z37" s="5445"/>
      <c r="AA37" s="5445"/>
      <c r="AB37" s="5445"/>
      <c r="AC37" s="5445"/>
      <c r="AD37" s="5445"/>
      <c r="AE37" s="5445"/>
      <c r="AF37" s="5445"/>
      <c r="AG37" s="5445"/>
      <c r="AH37" s="5445"/>
      <c r="AI37" s="5445"/>
      <c r="AJ37" s="5446"/>
      <c r="AK37" s="1143"/>
      <c r="AL37" s="1137"/>
      <c r="AM37" s="1137"/>
      <c r="AN37" s="2122"/>
      <c r="AO37" s="5444"/>
      <c r="AP37" s="5445"/>
      <c r="AQ37" s="5445"/>
      <c r="AR37" s="5445"/>
      <c r="AS37" s="5445"/>
      <c r="AT37" s="5445"/>
      <c r="AU37" s="5445"/>
      <c r="AV37" s="5445"/>
      <c r="AW37" s="5445"/>
      <c r="AX37" s="5445"/>
      <c r="AY37" s="5445"/>
      <c r="AZ37" s="5445"/>
      <c r="BA37" s="5445"/>
      <c r="BB37" s="5445"/>
      <c r="BC37" s="5446"/>
      <c r="BD37" s="1143"/>
      <c r="BE37" s="1137"/>
      <c r="BF37" s="1137"/>
      <c r="BG37" s="2122"/>
      <c r="BH37" s="5444"/>
      <c r="BI37" s="5445"/>
      <c r="BJ37" s="5445"/>
      <c r="BK37" s="5445"/>
      <c r="BL37" s="5445"/>
      <c r="BM37" s="5445"/>
      <c r="BN37" s="5445"/>
      <c r="BO37" s="5445"/>
      <c r="BP37" s="5445"/>
      <c r="BQ37" s="5445"/>
      <c r="BR37" s="5445"/>
      <c r="BS37" s="5445"/>
      <c r="BT37" s="5445"/>
      <c r="BU37" s="5445"/>
      <c r="BV37" s="5446"/>
      <c r="BW37" s="1143"/>
      <c r="BX37" s="1137"/>
      <c r="BY37" s="1137"/>
      <c r="BZ37" s="2122"/>
      <c r="CA37" s="5444"/>
      <c r="CB37" s="5445"/>
      <c r="CC37" s="5445"/>
      <c r="CD37" s="5445"/>
      <c r="CE37" s="5445"/>
      <c r="CF37" s="5445"/>
      <c r="CG37" s="5445"/>
      <c r="CH37" s="5445"/>
      <c r="CI37" s="5445"/>
      <c r="CJ37" s="5445"/>
      <c r="CK37" s="5445"/>
      <c r="CL37" s="5445"/>
      <c r="CM37" s="5445"/>
      <c r="CN37" s="5445"/>
      <c r="CO37" s="5446"/>
      <c r="CP37" s="1143"/>
      <c r="CQ37" s="1137"/>
    </row>
    <row r="38" spans="1:95" ht="12" customHeight="1" x14ac:dyDescent="0.2">
      <c r="A38" s="1137"/>
      <c r="B38" s="2108"/>
      <c r="C38" s="5444"/>
      <c r="D38" s="5445"/>
      <c r="E38" s="5445"/>
      <c r="F38" s="5445"/>
      <c r="G38" s="5445"/>
      <c r="H38" s="5445"/>
      <c r="I38" s="5445"/>
      <c r="J38" s="5445"/>
      <c r="K38" s="5445"/>
      <c r="L38" s="5445"/>
      <c r="M38" s="5445"/>
      <c r="N38" s="5445"/>
      <c r="O38" s="5445"/>
      <c r="P38" s="5445"/>
      <c r="Q38" s="5446"/>
      <c r="R38" s="1143"/>
      <c r="S38" s="1137"/>
      <c r="T38" s="1137"/>
      <c r="U38" s="2108"/>
      <c r="V38" s="5444"/>
      <c r="W38" s="5445"/>
      <c r="X38" s="5445"/>
      <c r="Y38" s="5445"/>
      <c r="Z38" s="5445"/>
      <c r="AA38" s="5445"/>
      <c r="AB38" s="5445"/>
      <c r="AC38" s="5445"/>
      <c r="AD38" s="5445"/>
      <c r="AE38" s="5445"/>
      <c r="AF38" s="5445"/>
      <c r="AG38" s="5445"/>
      <c r="AH38" s="5445"/>
      <c r="AI38" s="5445"/>
      <c r="AJ38" s="5446"/>
      <c r="AK38" s="1143"/>
      <c r="AL38" s="1137"/>
      <c r="AM38" s="1137"/>
      <c r="AN38" s="2122"/>
      <c r="AO38" s="5444"/>
      <c r="AP38" s="5445"/>
      <c r="AQ38" s="5445"/>
      <c r="AR38" s="5445"/>
      <c r="AS38" s="5445"/>
      <c r="AT38" s="5445"/>
      <c r="AU38" s="5445"/>
      <c r="AV38" s="5445"/>
      <c r="AW38" s="5445"/>
      <c r="AX38" s="5445"/>
      <c r="AY38" s="5445"/>
      <c r="AZ38" s="5445"/>
      <c r="BA38" s="5445"/>
      <c r="BB38" s="5445"/>
      <c r="BC38" s="5446"/>
      <c r="BD38" s="1143"/>
      <c r="BE38" s="1137"/>
      <c r="BF38" s="1137"/>
      <c r="BG38" s="2122"/>
      <c r="BH38" s="5444"/>
      <c r="BI38" s="5445"/>
      <c r="BJ38" s="5445"/>
      <c r="BK38" s="5445"/>
      <c r="BL38" s="5445"/>
      <c r="BM38" s="5445"/>
      <c r="BN38" s="5445"/>
      <c r="BO38" s="5445"/>
      <c r="BP38" s="5445"/>
      <c r="BQ38" s="5445"/>
      <c r="BR38" s="5445"/>
      <c r="BS38" s="5445"/>
      <c r="BT38" s="5445"/>
      <c r="BU38" s="5445"/>
      <c r="BV38" s="5446"/>
      <c r="BW38" s="1143"/>
      <c r="BX38" s="1137"/>
      <c r="BY38" s="1137"/>
      <c r="BZ38" s="2122"/>
      <c r="CA38" s="5444"/>
      <c r="CB38" s="5445"/>
      <c r="CC38" s="5445"/>
      <c r="CD38" s="5445"/>
      <c r="CE38" s="5445"/>
      <c r="CF38" s="5445"/>
      <c r="CG38" s="5445"/>
      <c r="CH38" s="5445"/>
      <c r="CI38" s="5445"/>
      <c r="CJ38" s="5445"/>
      <c r="CK38" s="5445"/>
      <c r="CL38" s="5445"/>
      <c r="CM38" s="5445"/>
      <c r="CN38" s="5445"/>
      <c r="CO38" s="5446"/>
      <c r="CP38" s="1143"/>
      <c r="CQ38" s="1137"/>
    </row>
    <row r="39" spans="1:95" ht="12" customHeight="1" thickBot="1" x14ac:dyDescent="0.25">
      <c r="A39" s="1137"/>
      <c r="B39" s="2108"/>
      <c r="C39" s="5447"/>
      <c r="D39" s="5448"/>
      <c r="E39" s="5448"/>
      <c r="F39" s="5448"/>
      <c r="G39" s="5448"/>
      <c r="H39" s="5448"/>
      <c r="I39" s="5448"/>
      <c r="J39" s="5448"/>
      <c r="K39" s="5448"/>
      <c r="L39" s="5448"/>
      <c r="M39" s="5448"/>
      <c r="N39" s="5448"/>
      <c r="O39" s="5448"/>
      <c r="P39" s="5448"/>
      <c r="Q39" s="5449"/>
      <c r="R39" s="1143"/>
      <c r="S39" s="1137"/>
      <c r="T39" s="1137"/>
      <c r="U39" s="2108"/>
      <c r="V39" s="5447"/>
      <c r="W39" s="5448"/>
      <c r="X39" s="5448"/>
      <c r="Y39" s="5448"/>
      <c r="Z39" s="5448"/>
      <c r="AA39" s="5448"/>
      <c r="AB39" s="5448"/>
      <c r="AC39" s="5448"/>
      <c r="AD39" s="5448"/>
      <c r="AE39" s="5448"/>
      <c r="AF39" s="5448"/>
      <c r="AG39" s="5448"/>
      <c r="AH39" s="5448"/>
      <c r="AI39" s="5448"/>
      <c r="AJ39" s="5449"/>
      <c r="AK39" s="1143"/>
      <c r="AL39" s="1137"/>
      <c r="AM39" s="1137"/>
      <c r="AN39" s="2122"/>
      <c r="AO39" s="5447"/>
      <c r="AP39" s="5448"/>
      <c r="AQ39" s="5448"/>
      <c r="AR39" s="5448"/>
      <c r="AS39" s="5448"/>
      <c r="AT39" s="5448"/>
      <c r="AU39" s="5448"/>
      <c r="AV39" s="5448"/>
      <c r="AW39" s="5448"/>
      <c r="AX39" s="5448"/>
      <c r="AY39" s="5448"/>
      <c r="AZ39" s="5448"/>
      <c r="BA39" s="5448"/>
      <c r="BB39" s="5448"/>
      <c r="BC39" s="5449"/>
      <c r="BD39" s="1143"/>
      <c r="BE39" s="1137"/>
      <c r="BF39" s="1137"/>
      <c r="BG39" s="2122"/>
      <c r="BH39" s="5447"/>
      <c r="BI39" s="5448"/>
      <c r="BJ39" s="5448"/>
      <c r="BK39" s="5448"/>
      <c r="BL39" s="5448"/>
      <c r="BM39" s="5448"/>
      <c r="BN39" s="5448"/>
      <c r="BO39" s="5448"/>
      <c r="BP39" s="5448"/>
      <c r="BQ39" s="5448"/>
      <c r="BR39" s="5448"/>
      <c r="BS39" s="5448"/>
      <c r="BT39" s="5448"/>
      <c r="BU39" s="5448"/>
      <c r="BV39" s="5449"/>
      <c r="BW39" s="1143"/>
      <c r="BX39" s="1137"/>
      <c r="BY39" s="1137"/>
      <c r="BZ39" s="2122"/>
      <c r="CA39" s="5447"/>
      <c r="CB39" s="5448"/>
      <c r="CC39" s="5448"/>
      <c r="CD39" s="5448"/>
      <c r="CE39" s="5448"/>
      <c r="CF39" s="5448"/>
      <c r="CG39" s="5448"/>
      <c r="CH39" s="5448"/>
      <c r="CI39" s="5448"/>
      <c r="CJ39" s="5448"/>
      <c r="CK39" s="5448"/>
      <c r="CL39" s="5448"/>
      <c r="CM39" s="5448"/>
      <c r="CN39" s="5448"/>
      <c r="CO39" s="5449"/>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66"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67"/>
      <c r="E41" s="5467"/>
      <c r="F41" s="5467"/>
      <c r="G41" s="5467"/>
      <c r="H41" s="1157" t="s">
        <v>1627</v>
      </c>
      <c r="I41" s="1158">
        <f>B41</f>
        <v>8</v>
      </c>
      <c r="J41" s="5454" t="s">
        <v>7687</v>
      </c>
      <c r="K41" s="5454"/>
      <c r="L41" s="5454"/>
      <c r="M41" s="5455" t="str">
        <f>IF(C41=0,"",VLOOKUP(C41,'Tablas Magia'!$D$6:$Z$680,2,FALSE))</f>
        <v>Luz</v>
      </c>
      <c r="N41" s="5455"/>
      <c r="O41" s="5455"/>
      <c r="P41" s="5455"/>
      <c r="Q41" s="5456"/>
      <c r="R41" s="1143"/>
      <c r="S41" s="1137"/>
      <c r="T41" s="1137"/>
      <c r="U41" s="2108">
        <f>U30+2</f>
        <v>28</v>
      </c>
      <c r="V41" s="5466"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67"/>
      <c r="X41" s="5467"/>
      <c r="Y41" s="5467"/>
      <c r="Z41" s="5467"/>
      <c r="AA41" s="1157" t="s">
        <v>1627</v>
      </c>
      <c r="AB41" s="1158">
        <f>U41</f>
        <v>28</v>
      </c>
      <c r="AC41" s="5454" t="s">
        <v>7687</v>
      </c>
      <c r="AD41" s="5454"/>
      <c r="AE41" s="5454"/>
      <c r="AF41" s="5455" t="str">
        <f>IF(V41=0,"",VLOOKUP(V41,'Tablas Magia'!$D$6:$Z$680,2,FALSE))</f>
        <v>Luz</v>
      </c>
      <c r="AG41" s="5455"/>
      <c r="AH41" s="5455"/>
      <c r="AI41" s="5455"/>
      <c r="AJ41" s="5456"/>
      <c r="AK41" s="1143"/>
      <c r="AL41" s="1137"/>
      <c r="AM41" s="1137"/>
      <c r="AN41" s="2122">
        <f>AN30+2</f>
        <v>48</v>
      </c>
      <c r="AO41" s="5466"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67"/>
      <c r="AQ41" s="5467"/>
      <c r="AR41" s="5467"/>
      <c r="AS41" s="5467"/>
      <c r="AT41" s="1157" t="s">
        <v>1627</v>
      </c>
      <c r="AU41" s="1158">
        <f>AN41</f>
        <v>48</v>
      </c>
      <c r="AV41" s="5454" t="s">
        <v>7687</v>
      </c>
      <c r="AW41" s="5454"/>
      <c r="AX41" s="5454"/>
      <c r="AY41" s="5455" t="str">
        <f>IF(AO41=0,"",VLOOKUP(AO41,'Tablas Magia'!$D$6:$Z$680,2,FALSE))</f>
        <v>Luz</v>
      </c>
      <c r="AZ41" s="5455"/>
      <c r="BA41" s="5455"/>
      <c r="BB41" s="5455"/>
      <c r="BC41" s="5456"/>
      <c r="BD41" s="1143"/>
      <c r="BE41" s="1137"/>
      <c r="BF41" s="1137"/>
      <c r="BG41" s="2122">
        <f>BG30+2</f>
        <v>68</v>
      </c>
      <c r="BH41" s="5466"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67"/>
      <c r="BJ41" s="5467"/>
      <c r="BK41" s="5467"/>
      <c r="BL41" s="5467"/>
      <c r="BM41" s="1157" t="s">
        <v>1627</v>
      </c>
      <c r="BN41" s="1158">
        <f>BG41</f>
        <v>68</v>
      </c>
      <c r="BO41" s="5454" t="s">
        <v>7687</v>
      </c>
      <c r="BP41" s="5454"/>
      <c r="BQ41" s="5454"/>
      <c r="BR41" s="5455" t="str">
        <f>IF(BH41=0,"",VLOOKUP(BH41,'Tablas Magia'!$D$6:$Z$680,2,FALSE))</f>
        <v>Luz</v>
      </c>
      <c r="BS41" s="5455"/>
      <c r="BT41" s="5455"/>
      <c r="BU41" s="5455"/>
      <c r="BV41" s="5456"/>
      <c r="BW41" s="1143"/>
      <c r="BX41" s="1137"/>
      <c r="BY41" s="1137"/>
      <c r="BZ41" s="2122">
        <f>BZ30+2</f>
        <v>88</v>
      </c>
      <c r="CA41" s="5466"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67"/>
      <c r="CC41" s="5467"/>
      <c r="CD41" s="5467"/>
      <c r="CE41" s="5467"/>
      <c r="CF41" s="1157" t="s">
        <v>1627</v>
      </c>
      <c r="CG41" s="1158">
        <f>BZ41</f>
        <v>88</v>
      </c>
      <c r="CH41" s="5454" t="s">
        <v>7687</v>
      </c>
      <c r="CI41" s="5454"/>
      <c r="CJ41" s="5454"/>
      <c r="CK41" s="5455" t="str">
        <f>IF(CA41=0,"",VLOOKUP(CA41,'Tablas Magia'!$D$6:$Z$680,2,FALSE))</f>
        <v>Luz</v>
      </c>
      <c r="CL41" s="5455"/>
      <c r="CM41" s="5455"/>
      <c r="CN41" s="5455"/>
      <c r="CO41" s="5456"/>
      <c r="CP41" s="1143"/>
      <c r="CQ41" s="1137"/>
    </row>
    <row r="42" spans="1:95" ht="12" customHeight="1" x14ac:dyDescent="0.2">
      <c r="A42" s="1137"/>
      <c r="B42" s="2108"/>
      <c r="C42" s="5450" t="s">
        <v>7688</v>
      </c>
      <c r="D42" s="5451"/>
      <c r="E42" s="1159" t="s">
        <v>7689</v>
      </c>
      <c r="F42" s="1159" t="s">
        <v>1820</v>
      </c>
      <c r="G42" s="1159" t="s">
        <v>3334</v>
      </c>
      <c r="H42" s="1160" t="s">
        <v>2165</v>
      </c>
      <c r="I42" s="5424" t="str">
        <f>IF(C41=0,"",VLOOKUP(C41,'Tablas Magia'!$D$6:$Z$680,5,FALSE))</f>
        <v>Auto</v>
      </c>
      <c r="J42" s="5424"/>
      <c r="K42" s="5423" t="s">
        <v>7690</v>
      </c>
      <c r="L42" s="5423"/>
      <c r="M42" s="5424" t="str">
        <f>IF(C41=0,"",VLOOKUP(C41,'Tablas Magia'!$D$6:$Z$680,6,FALSE))</f>
        <v>Activa</v>
      </c>
      <c r="N42" s="5424"/>
      <c r="O42" s="5425" t="s">
        <v>7691</v>
      </c>
      <c r="P42" s="5425"/>
      <c r="Q42" s="1161" t="str">
        <f>IF(C41=0,"",VLOOKUP(C41,'Tablas Magia'!$D$6:$Z$680,4,FALSE))</f>
        <v>No</v>
      </c>
      <c r="R42" s="1143"/>
      <c r="S42" s="1137"/>
      <c r="T42" s="1137"/>
      <c r="U42" s="2108"/>
      <c r="V42" s="5450" t="s">
        <v>7688</v>
      </c>
      <c r="W42" s="5451"/>
      <c r="X42" s="1159" t="s">
        <v>7689</v>
      </c>
      <c r="Y42" s="1159" t="s">
        <v>1820</v>
      </c>
      <c r="Z42" s="1159" t="s">
        <v>3334</v>
      </c>
      <c r="AA42" s="1160" t="s">
        <v>2165</v>
      </c>
      <c r="AB42" s="5424" t="str">
        <f>IF(V41=0,"",VLOOKUP(V41,'Tablas Magia'!$D$6:$Z$680,5,FALSE))</f>
        <v>Ataque</v>
      </c>
      <c r="AC42" s="5424"/>
      <c r="AD42" s="5423" t="s">
        <v>7690</v>
      </c>
      <c r="AE42" s="5423"/>
      <c r="AF42" s="5424" t="str">
        <f>IF(V41=0,"",VLOOKUP(V41,'Tablas Magia'!$D$6:$Z$680,6,FALSE))</f>
        <v>Activa</v>
      </c>
      <c r="AG42" s="5424"/>
      <c r="AH42" s="5425" t="s">
        <v>7691</v>
      </c>
      <c r="AI42" s="5425"/>
      <c r="AJ42" s="1161" t="str">
        <f>IF(V41=0,"",VLOOKUP(V41,'Tablas Magia'!$D$6:$Z$680,4,FALSE))</f>
        <v>No</v>
      </c>
      <c r="AK42" s="1143"/>
      <c r="AL42" s="1137"/>
      <c r="AM42" s="1137"/>
      <c r="AN42" s="2122"/>
      <c r="AO42" s="5450" t="s">
        <v>7688</v>
      </c>
      <c r="AP42" s="5451"/>
      <c r="AQ42" s="1159" t="s">
        <v>7689</v>
      </c>
      <c r="AR42" s="1159" t="s">
        <v>1820</v>
      </c>
      <c r="AS42" s="1159" t="s">
        <v>3334</v>
      </c>
      <c r="AT42" s="1160" t="s">
        <v>2165</v>
      </c>
      <c r="AU42" s="5424" t="str">
        <f>IF(AO41=0,"",VLOOKUP(AO41,'Tablas Magia'!$D$6:$Z$680,5,FALSE))</f>
        <v>Detección</v>
      </c>
      <c r="AV42" s="5424"/>
      <c r="AW42" s="5423" t="s">
        <v>7690</v>
      </c>
      <c r="AX42" s="5423"/>
      <c r="AY42" s="5424" t="str">
        <f>IF(AO41=0,"",VLOOKUP(AO41,'Tablas Magia'!$D$6:$Z$680,6,FALSE))</f>
        <v>Activa</v>
      </c>
      <c r="AZ42" s="5424"/>
      <c r="BA42" s="5425" t="s">
        <v>7691</v>
      </c>
      <c r="BB42" s="5425"/>
      <c r="BC42" s="1161" t="str">
        <f>IF(AO41=0,"",VLOOKUP(AO41,'Tablas Magia'!$D$6:$Z$680,4,FALSE))</f>
        <v>Si</v>
      </c>
      <c r="BD42" s="1143"/>
      <c r="BE42" s="1137"/>
      <c r="BF42" s="1137"/>
      <c r="BG42" s="2122"/>
      <c r="BH42" s="5450" t="s">
        <v>7688</v>
      </c>
      <c r="BI42" s="5451"/>
      <c r="BJ42" s="1159" t="s">
        <v>7689</v>
      </c>
      <c r="BK42" s="1159" t="s">
        <v>1820</v>
      </c>
      <c r="BL42" s="1159" t="s">
        <v>3334</v>
      </c>
      <c r="BM42" s="1160" t="s">
        <v>2165</v>
      </c>
      <c r="BN42" s="5424" t="str">
        <f>IF(BH41=0,"",VLOOKUP(BH41,'Tablas Magia'!$D$6:$Z$680,5,FALSE))</f>
        <v>Efecto</v>
      </c>
      <c r="BO42" s="5424"/>
      <c r="BP42" s="5423" t="s">
        <v>7690</v>
      </c>
      <c r="BQ42" s="5423"/>
      <c r="BR42" s="5424" t="str">
        <f>IF(BH41=0,"",VLOOKUP(BH41,'Tablas Magia'!$D$6:$Z$680,6,FALSE))</f>
        <v>Activa</v>
      </c>
      <c r="BS42" s="5424"/>
      <c r="BT42" s="5425" t="s">
        <v>7691</v>
      </c>
      <c r="BU42" s="5425"/>
      <c r="BV42" s="1161" t="str">
        <f>IF(BH41=0,"",VLOOKUP(BH41,'Tablas Magia'!$D$6:$Z$680,4,FALSE))</f>
        <v>No</v>
      </c>
      <c r="BW42" s="1143"/>
      <c r="BX42" s="1137"/>
      <c r="BY42" s="1137"/>
      <c r="BZ42" s="2122"/>
      <c r="CA42" s="5450" t="s">
        <v>7688</v>
      </c>
      <c r="CB42" s="5451"/>
      <c r="CC42" s="1159" t="s">
        <v>7689</v>
      </c>
      <c r="CD42" s="1159" t="s">
        <v>1820</v>
      </c>
      <c r="CE42" s="1159" t="s">
        <v>3334</v>
      </c>
      <c r="CF42" s="1160" t="s">
        <v>2165</v>
      </c>
      <c r="CG42" s="5424" t="str">
        <f>IF(CA41=0,"",VLOOKUP(CA41,'Tablas Magia'!$D$6:$Z$680,5,FALSE))</f>
        <v>Efecto</v>
      </c>
      <c r="CH42" s="5424"/>
      <c r="CI42" s="5423" t="s">
        <v>7690</v>
      </c>
      <c r="CJ42" s="5423"/>
      <c r="CK42" s="5424" t="str">
        <f>IF(CA41=0,"",VLOOKUP(CA41,'Tablas Magia'!$D$6:$Z$680,6,FALSE))</f>
        <v>Activa</v>
      </c>
      <c r="CL42" s="5424"/>
      <c r="CM42" s="5425" t="s">
        <v>7691</v>
      </c>
      <c r="CN42" s="5425"/>
      <c r="CO42" s="1161" t="str">
        <f>IF(CA41=0,"",VLOOKUP(CA41,'Tablas Magia'!$D$6:$Z$680,4,FALSE))</f>
        <v>No</v>
      </c>
      <c r="CP42" s="1143"/>
      <c r="CQ42" s="1137"/>
    </row>
    <row r="43" spans="1:95" ht="12" customHeight="1" x14ac:dyDescent="0.2">
      <c r="A43" s="1137"/>
      <c r="B43" s="2108"/>
      <c r="C43" s="5426" t="s">
        <v>1674</v>
      </c>
      <c r="D43" s="5427"/>
      <c r="E43" s="1162">
        <f>IF(C41=0,"",VLOOKUP(C41,'Tablas Magia'!$D$6:$Z$680,7,FALSE))</f>
        <v>6</v>
      </c>
      <c r="F43" s="1162">
        <f>IF(C41=0,"",VLOOKUP(C41,'Tablas Magia'!$D$6:$Z$680,11,FALSE))</f>
        <v>50</v>
      </c>
      <c r="G43" s="1163" t="str">
        <f>IF(C41=0,"",VLOOKUP(C41,'Tablas Magia'!$D$6:$Z$680,15,FALSE))</f>
        <v>No</v>
      </c>
      <c r="H43" s="5428" t="str">
        <f>IF(C41=0,"",VLOOKUP(C41,'Tablas Magia'!$D$6:$Z$680,19,FALSE))</f>
        <v>10 metros de radio / 140 RF</v>
      </c>
      <c r="I43" s="5429"/>
      <c r="J43" s="5429"/>
      <c r="K43" s="5429"/>
      <c r="L43" s="5429"/>
      <c r="M43" s="5429"/>
      <c r="N43" s="5429"/>
      <c r="O43" s="5429"/>
      <c r="P43" s="5429"/>
      <c r="Q43" s="5430"/>
      <c r="R43" s="1143"/>
      <c r="S43" s="1137"/>
      <c r="T43" s="1137"/>
      <c r="U43" s="2108"/>
      <c r="V43" s="5426" t="s">
        <v>1674</v>
      </c>
      <c r="W43" s="5427"/>
      <c r="X43" s="1162">
        <f>IF(V41=0,"",VLOOKUP(V41,'Tablas Magia'!$D$6:$Z$680,7,FALSE))</f>
        <v>6</v>
      </c>
      <c r="Y43" s="1162">
        <f>IF(V41=0,"",VLOOKUP(V41,'Tablas Magia'!$D$6:$Z$680,11,FALSE))</f>
        <v>60</v>
      </c>
      <c r="Z43" s="1163">
        <f>IF(V41=0,"",VLOOKUP(V41,'Tablas Magia'!$D$6:$Z$680,15,FALSE))</f>
        <v>10</v>
      </c>
      <c r="AA43" s="5428" t="str">
        <f>IF(V41=0,"",VLOOKUP(V41,'Tablas Magia'!$D$6:$Z$680,19,FALSE))</f>
        <v>Disponen de una Fuerza base 8 para los controles</v>
      </c>
      <c r="AB43" s="5429"/>
      <c r="AC43" s="5429"/>
      <c r="AD43" s="5429"/>
      <c r="AE43" s="5429"/>
      <c r="AF43" s="5429"/>
      <c r="AG43" s="5429"/>
      <c r="AH43" s="5429"/>
      <c r="AI43" s="5429"/>
      <c r="AJ43" s="5430"/>
      <c r="AK43" s="1143"/>
      <c r="AL43" s="1137"/>
      <c r="AM43" s="1137"/>
      <c r="AN43" s="2122"/>
      <c r="AO43" s="5426" t="s">
        <v>1674</v>
      </c>
      <c r="AP43" s="5427"/>
      <c r="AQ43" s="1162">
        <f>IF(AO41=0,"",VLOOKUP(AO41,'Tablas Magia'!$D$6:$Z$680,7,FALSE))</f>
        <v>7</v>
      </c>
      <c r="AR43" s="1162">
        <f>IF(AO41=0,"",VLOOKUP(AO41,'Tablas Magia'!$D$6:$Z$680,11,FALSE))</f>
        <v>140</v>
      </c>
      <c r="AS43" s="1163">
        <f>IF(AO41=0,"",VLOOKUP(AO41,'Tablas Magia'!$D$6:$Z$680,15,FALSE))</f>
        <v>10</v>
      </c>
      <c r="AT43" s="5428" t="str">
        <f>IF(AO41=0,"",VLOOKUP(AO41,'Tablas Magia'!$D$6:$Z$680,19,FALSE))</f>
        <v>RM 180 / 20 metros de radio</v>
      </c>
      <c r="AU43" s="5429"/>
      <c r="AV43" s="5429"/>
      <c r="AW43" s="5429"/>
      <c r="AX43" s="5429"/>
      <c r="AY43" s="5429"/>
      <c r="AZ43" s="5429"/>
      <c r="BA43" s="5429"/>
      <c r="BB43" s="5429"/>
      <c r="BC43" s="5430"/>
      <c r="BD43" s="1143"/>
      <c r="BE43" s="1137"/>
      <c r="BF43" s="1137"/>
      <c r="BG43" s="2122"/>
      <c r="BH43" s="5426" t="s">
        <v>1674</v>
      </c>
      <c r="BI43" s="5427"/>
      <c r="BJ43" s="1162">
        <f>IF(BH41=0,"",VLOOKUP(BH41,'Tablas Magia'!$D$6:$Z$680,7,FALSE))</f>
        <v>8</v>
      </c>
      <c r="BK43" s="1162">
        <f>IF(BH41=0,"",VLOOKUP(BH41,'Tablas Magia'!$D$6:$Z$680,11,FALSE))</f>
        <v>150</v>
      </c>
      <c r="BL43" s="1163" t="str">
        <f>IF(BH41=0,"",VLOOKUP(BH41,'Tablas Magia'!$D$6:$Z$680,15,FALSE))</f>
        <v>No</v>
      </c>
      <c r="BM43" s="5428" t="str">
        <f>IF(BH41=0,"",VLOOKUP(BH41,'Tablas Magia'!$D$6:$Z$680,19,FALSE))</f>
        <v>Elimina un -40 a toda acción y restituye 2 puntos de Cansancio</v>
      </c>
      <c r="BN43" s="5429"/>
      <c r="BO43" s="5429"/>
      <c r="BP43" s="5429"/>
      <c r="BQ43" s="5429"/>
      <c r="BR43" s="5429"/>
      <c r="BS43" s="5429"/>
      <c r="BT43" s="5429"/>
      <c r="BU43" s="5429"/>
      <c r="BV43" s="5430"/>
      <c r="BW43" s="1143"/>
      <c r="BX43" s="1137"/>
      <c r="BY43" s="1137"/>
      <c r="BZ43" s="2122"/>
      <c r="CA43" s="5426" t="s">
        <v>1674</v>
      </c>
      <c r="CB43" s="5427"/>
      <c r="CC43" s="1162">
        <f>IF(CA41=0,"",VLOOKUP(CA41,'Tablas Magia'!$D$6:$Z$680,7,FALSE))</f>
        <v>10</v>
      </c>
      <c r="CD43" s="1162">
        <f>IF(CA41=0,"",VLOOKUP(CA41,'Tablas Magia'!$D$6:$Z$680,11,FALSE))</f>
        <v>200</v>
      </c>
      <c r="CE43" s="1163">
        <f>IF(CA41=0,"",VLOOKUP(CA41,'Tablas Magia'!$D$6:$Z$680,15,FALSE))</f>
        <v>40</v>
      </c>
      <c r="CF43" s="5428" t="str">
        <f>IF(CA41=0,"",VLOOKUP(CA41,'Tablas Magia'!$D$6:$Z$680,19,FALSE))</f>
        <v>500 metros de radio / presencia máxima 60.</v>
      </c>
      <c r="CG43" s="5429"/>
      <c r="CH43" s="5429"/>
      <c r="CI43" s="5429"/>
      <c r="CJ43" s="5429"/>
      <c r="CK43" s="5429"/>
      <c r="CL43" s="5429"/>
      <c r="CM43" s="5429"/>
      <c r="CN43" s="5429"/>
      <c r="CO43" s="5430"/>
      <c r="CP43" s="1143"/>
      <c r="CQ43" s="1137"/>
    </row>
    <row r="44" spans="1:95" ht="12" customHeight="1" x14ac:dyDescent="0.2">
      <c r="A44" s="1137"/>
      <c r="B44" s="2108"/>
      <c r="C44" s="5431" t="s">
        <v>4572</v>
      </c>
      <c r="D44" s="5432"/>
      <c r="E44" s="1164">
        <f>IF(C41=0,"",VLOOKUP(C41,'Tablas Magia'!$D$6:$Z$680,8,FALSE))</f>
        <v>9</v>
      </c>
      <c r="F44" s="1164">
        <f>IF(C41=0,"",VLOOKUP(C41,'Tablas Magia'!$D$6:$Z$680,12,FALSE))</f>
        <v>100</v>
      </c>
      <c r="G44" s="1165" t="str">
        <f>IF(C41=0,"",VLOOKUP(C41,'Tablas Magia'!$D$6:$Z$680,16,FALSE))</f>
        <v>No</v>
      </c>
      <c r="H44" s="5433" t="str">
        <f>IF(C41=0,"",VLOOKUP(C41,'Tablas Magia'!$D$6:$Z$680,20,FALSE))</f>
        <v>25 metros de radio / 140 RF.</v>
      </c>
      <c r="I44" s="5434"/>
      <c r="J44" s="5434"/>
      <c r="K44" s="5434"/>
      <c r="L44" s="5434"/>
      <c r="M44" s="5434"/>
      <c r="N44" s="5434"/>
      <c r="O44" s="5434"/>
      <c r="P44" s="5434"/>
      <c r="Q44" s="5435"/>
      <c r="R44" s="1143"/>
      <c r="S44" s="1137"/>
      <c r="T44" s="1137"/>
      <c r="U44" s="2108"/>
      <c r="V44" s="5431" t="s">
        <v>4572</v>
      </c>
      <c r="W44" s="5432"/>
      <c r="X44" s="1164">
        <f>IF(V41=0,"",VLOOKUP(V41,'Tablas Magia'!$D$6:$Z$680,8,FALSE))</f>
        <v>9</v>
      </c>
      <c r="Y44" s="1164">
        <f>IF(V41=0,"",VLOOKUP(V41,'Tablas Magia'!$D$6:$Z$680,12,FALSE))</f>
        <v>100</v>
      </c>
      <c r="Z44" s="1165">
        <f>IF(V41=0,"",VLOOKUP(V41,'Tablas Magia'!$D$6:$Z$680,16,FALSE))</f>
        <v>10</v>
      </c>
      <c r="AA44" s="5433" t="str">
        <f>IF(V41=0,"",VLOOKUP(V41,'Tablas Magia'!$D$6:$Z$680,20,FALSE))</f>
        <v>Disponen de una Fuerza base 12 para los controles</v>
      </c>
      <c r="AB44" s="5434"/>
      <c r="AC44" s="5434"/>
      <c r="AD44" s="5434"/>
      <c r="AE44" s="5434"/>
      <c r="AF44" s="5434"/>
      <c r="AG44" s="5434"/>
      <c r="AH44" s="5434"/>
      <c r="AI44" s="5434"/>
      <c r="AJ44" s="5435"/>
      <c r="AK44" s="1143"/>
      <c r="AL44" s="1137"/>
      <c r="AM44" s="1137"/>
      <c r="AN44" s="2122"/>
      <c r="AO44" s="5431" t="s">
        <v>4572</v>
      </c>
      <c r="AP44" s="5432"/>
      <c r="AQ44" s="1164">
        <f>IF(AO41=0,"",VLOOKUP(AO41,'Tablas Magia'!$D$6:$Z$680,8,FALSE))</f>
        <v>10</v>
      </c>
      <c r="AR44" s="1164">
        <f>IF(AO41=0,"",VLOOKUP(AO41,'Tablas Magia'!$D$6:$Z$680,12,FALSE))</f>
        <v>200</v>
      </c>
      <c r="AS44" s="1165">
        <f>IF(AO41=0,"",VLOOKUP(AO41,'Tablas Magia'!$D$6:$Z$680,16,FALSE))</f>
        <v>10</v>
      </c>
      <c r="AT44" s="5433" t="str">
        <f>IF(AO41=0,"",VLOOKUP(AO41,'Tablas Magia'!$D$6:$Z$680,20,FALSE))</f>
        <v>RM 240 / 80 metros de radio</v>
      </c>
      <c r="AU44" s="5434"/>
      <c r="AV44" s="5434"/>
      <c r="AW44" s="5434"/>
      <c r="AX44" s="5434"/>
      <c r="AY44" s="5434"/>
      <c r="AZ44" s="5434"/>
      <c r="BA44" s="5434"/>
      <c r="BB44" s="5434"/>
      <c r="BC44" s="5435"/>
      <c r="BD44" s="1143"/>
      <c r="BE44" s="1137"/>
      <c r="BF44" s="1137"/>
      <c r="BG44" s="2122"/>
      <c r="BH44" s="5431" t="s">
        <v>4572</v>
      </c>
      <c r="BI44" s="5432"/>
      <c r="BJ44" s="1164">
        <f>IF(BH41=0,"",VLOOKUP(BH41,'Tablas Magia'!$D$6:$Z$680,8,FALSE))</f>
        <v>10</v>
      </c>
      <c r="BK44" s="1164">
        <f>IF(BH41=0,"",VLOOKUP(BH41,'Tablas Magia'!$D$6:$Z$680,12,FALSE))</f>
        <v>200</v>
      </c>
      <c r="BL44" s="1165" t="str">
        <f>IF(BH41=0,"",VLOOKUP(BH41,'Tablas Magia'!$D$6:$Z$680,16,FALSE))</f>
        <v>No</v>
      </c>
      <c r="BM44" s="5433" t="str">
        <f>IF(BH41=0,"",VLOOKUP(BH41,'Tablas Magia'!$D$6:$Z$680,20,FALSE))</f>
        <v>Elimina un -80 a toda acción y restituye 5 puntos de Cansancio</v>
      </c>
      <c r="BN44" s="5434"/>
      <c r="BO44" s="5434"/>
      <c r="BP44" s="5434"/>
      <c r="BQ44" s="5434"/>
      <c r="BR44" s="5434"/>
      <c r="BS44" s="5434"/>
      <c r="BT44" s="5434"/>
      <c r="BU44" s="5434"/>
      <c r="BV44" s="5435"/>
      <c r="BW44" s="1143"/>
      <c r="BX44" s="1137"/>
      <c r="BY44" s="1137"/>
      <c r="BZ44" s="2122"/>
      <c r="CA44" s="5431" t="s">
        <v>4572</v>
      </c>
      <c r="CB44" s="5432"/>
      <c r="CC44" s="1164">
        <f>IF(CA41=0,"",VLOOKUP(CA41,'Tablas Magia'!$D$6:$Z$680,8,FALSE))</f>
        <v>12</v>
      </c>
      <c r="CD44" s="1164">
        <f>IF(CA41=0,"",VLOOKUP(CA41,'Tablas Magia'!$D$6:$Z$680,12,FALSE))</f>
        <v>250</v>
      </c>
      <c r="CE44" s="1165">
        <f>IF(CA41=0,"",VLOOKUP(CA41,'Tablas Magia'!$D$6:$Z$680,16,FALSE))</f>
        <v>50</v>
      </c>
      <c r="CF44" s="5433" t="str">
        <f>IF(CA41=0,"",VLOOKUP(CA41,'Tablas Magia'!$D$6:$Z$680,20,FALSE))</f>
        <v>2 kilómetros de radio / presencia máxima 80</v>
      </c>
      <c r="CG44" s="5434"/>
      <c r="CH44" s="5434"/>
      <c r="CI44" s="5434"/>
      <c r="CJ44" s="5434"/>
      <c r="CK44" s="5434"/>
      <c r="CL44" s="5434"/>
      <c r="CM44" s="5434"/>
      <c r="CN44" s="5434"/>
      <c r="CO44" s="5435"/>
      <c r="CP44" s="1143"/>
      <c r="CQ44" s="1137"/>
    </row>
    <row r="45" spans="1:95" ht="12" customHeight="1" x14ac:dyDescent="0.2">
      <c r="A45" s="1137"/>
      <c r="B45" s="2108"/>
      <c r="C45" s="5426" t="s">
        <v>4573</v>
      </c>
      <c r="D45" s="5427"/>
      <c r="E45" s="1162">
        <f>IF(C41=0,"",VLOOKUP(C41,'Tablas Magia'!$D$6:$Z$680,9,FALSE))</f>
        <v>11</v>
      </c>
      <c r="F45" s="1162">
        <f>IF(C41=0,"",VLOOKUP(C41,'Tablas Magia'!$D$6:$Z$680,13,FALSE))</f>
        <v>150</v>
      </c>
      <c r="G45" s="1163" t="str">
        <f>IF(C41=0,"",VLOOKUP(C41,'Tablas Magia'!$D$6:$Z$680,17,FALSE))</f>
        <v>No</v>
      </c>
      <c r="H45" s="5428" t="str">
        <f>IF(C41=0,"",VLOOKUP(C41,'Tablas Magia'!$D$6:$Z$680,21,FALSE))</f>
        <v>50 metros de radio / 140 RF.</v>
      </c>
      <c r="I45" s="5429"/>
      <c r="J45" s="5429"/>
      <c r="K45" s="5429"/>
      <c r="L45" s="5429"/>
      <c r="M45" s="5429"/>
      <c r="N45" s="5429"/>
      <c r="O45" s="5429"/>
      <c r="P45" s="5429"/>
      <c r="Q45" s="5430"/>
      <c r="R45" s="1143"/>
      <c r="S45" s="1137"/>
      <c r="T45" s="1137"/>
      <c r="U45" s="2108"/>
      <c r="V45" s="5426" t="s">
        <v>4573</v>
      </c>
      <c r="W45" s="5427"/>
      <c r="X45" s="1162">
        <f>IF(V41=0,"",VLOOKUP(V41,'Tablas Magia'!$D$6:$Z$680,9,FALSE))</f>
        <v>12</v>
      </c>
      <c r="Y45" s="1162">
        <f>IF(V41=0,"",VLOOKUP(V41,'Tablas Magia'!$D$6:$Z$680,13,FALSE))</f>
        <v>140</v>
      </c>
      <c r="Z45" s="1163">
        <f>IF(V41=0,"",VLOOKUP(V41,'Tablas Magia'!$D$6:$Z$680,17,FALSE))</f>
        <v>15</v>
      </c>
      <c r="AA45" s="5428" t="str">
        <f>IF(V41=0,"",VLOOKUP(V41,'Tablas Magia'!$D$6:$Z$680,21,FALSE))</f>
        <v>Disponen de una Fuerza base 15 para los controles y tienen Entereza 30</v>
      </c>
      <c r="AB45" s="5429"/>
      <c r="AC45" s="5429"/>
      <c r="AD45" s="5429"/>
      <c r="AE45" s="5429"/>
      <c r="AF45" s="5429"/>
      <c r="AG45" s="5429"/>
      <c r="AH45" s="5429"/>
      <c r="AI45" s="5429"/>
      <c r="AJ45" s="5430"/>
      <c r="AK45" s="1143"/>
      <c r="AL45" s="1137"/>
      <c r="AM45" s="1137"/>
      <c r="AN45" s="2122"/>
      <c r="AO45" s="5426" t="s">
        <v>4573</v>
      </c>
      <c r="AP45" s="5427"/>
      <c r="AQ45" s="1162">
        <f>IF(AO41=0,"",VLOOKUP(AO41,'Tablas Magia'!$D$6:$Z$680,9,FALSE))</f>
        <v>12</v>
      </c>
      <c r="AR45" s="1162">
        <f>IF(AO41=0,"",VLOOKUP(AO41,'Tablas Magia'!$D$6:$Z$680,13,FALSE))</f>
        <v>280</v>
      </c>
      <c r="AS45" s="1163">
        <f>IF(AO41=0,"",VLOOKUP(AO41,'Tablas Magia'!$D$6:$Z$680,17,FALSE))</f>
        <v>15</v>
      </c>
      <c r="AT45" s="5428" t="str">
        <f>IF(AO41=0,"",VLOOKUP(AO41,'Tablas Magia'!$D$6:$Z$680,21,FALSE))</f>
        <v>RM 280 / 150 metros de radio</v>
      </c>
      <c r="AU45" s="5429"/>
      <c r="AV45" s="5429"/>
      <c r="AW45" s="5429"/>
      <c r="AX45" s="5429"/>
      <c r="AY45" s="5429"/>
      <c r="AZ45" s="5429"/>
      <c r="BA45" s="5429"/>
      <c r="BB45" s="5429"/>
      <c r="BC45" s="5430"/>
      <c r="BD45" s="1143"/>
      <c r="BE45" s="1137"/>
      <c r="BF45" s="1137"/>
      <c r="BG45" s="2122"/>
      <c r="BH45" s="5426" t="s">
        <v>4573</v>
      </c>
      <c r="BI45" s="5427"/>
      <c r="BJ45" s="1162">
        <f>IF(BH41=0,"",VLOOKUP(BH41,'Tablas Magia'!$D$6:$Z$680,9,FALSE))</f>
        <v>12</v>
      </c>
      <c r="BK45" s="1162">
        <f>IF(BH41=0,"",VLOOKUP(BH41,'Tablas Magia'!$D$6:$Z$680,13,FALSE))</f>
        <v>250</v>
      </c>
      <c r="BL45" s="1163" t="str">
        <f>IF(BH41=0,"",VLOOKUP(BH41,'Tablas Magia'!$D$6:$Z$680,17,FALSE))</f>
        <v>No</v>
      </c>
      <c r="BM45" s="5428" t="str">
        <f>IF(BH41=0,"",VLOOKUP(BH41,'Tablas Magia'!$D$6:$Z$680,21,FALSE))</f>
        <v>Elimina un -120 a toda acción y restituye 10 puntos de Cansancio</v>
      </c>
      <c r="BN45" s="5429"/>
      <c r="BO45" s="5429"/>
      <c r="BP45" s="5429"/>
      <c r="BQ45" s="5429"/>
      <c r="BR45" s="5429"/>
      <c r="BS45" s="5429"/>
      <c r="BT45" s="5429"/>
      <c r="BU45" s="5429"/>
      <c r="BV45" s="5430"/>
      <c r="BW45" s="1143"/>
      <c r="BX45" s="1137"/>
      <c r="BY45" s="1137"/>
      <c r="BZ45" s="2122"/>
      <c r="CA45" s="5426" t="s">
        <v>4573</v>
      </c>
      <c r="CB45" s="5427"/>
      <c r="CC45" s="1162">
        <f>IF(CA41=0,"",VLOOKUP(CA41,'Tablas Magia'!$D$6:$Z$680,9,FALSE))</f>
        <v>15</v>
      </c>
      <c r="CD45" s="1162">
        <f>IF(CA41=0,"",VLOOKUP(CA41,'Tablas Magia'!$D$6:$Z$680,13,FALSE))</f>
        <v>400</v>
      </c>
      <c r="CE45" s="1163">
        <f>IF(CA41=0,"",VLOOKUP(CA41,'Tablas Magia'!$D$6:$Z$680,17,FALSE))</f>
        <v>60</v>
      </c>
      <c r="CF45" s="5428" t="str">
        <f>IF(CA41=0,"",VLOOKUP(CA41,'Tablas Magia'!$D$6:$Z$680,21,FALSE))</f>
        <v>10 kilómetros de radio / presencia máxima 100</v>
      </c>
      <c r="CG45" s="5429"/>
      <c r="CH45" s="5429"/>
      <c r="CI45" s="5429"/>
      <c r="CJ45" s="5429"/>
      <c r="CK45" s="5429"/>
      <c r="CL45" s="5429"/>
      <c r="CM45" s="5429"/>
      <c r="CN45" s="5429"/>
      <c r="CO45" s="5430"/>
      <c r="CP45" s="1143"/>
      <c r="CQ45" s="1137"/>
    </row>
    <row r="46" spans="1:95" ht="12" customHeight="1" thickBot="1" x14ac:dyDescent="0.25">
      <c r="A46" s="1137"/>
      <c r="B46" s="2108"/>
      <c r="C46" s="5436" t="s">
        <v>4574</v>
      </c>
      <c r="D46" s="5437"/>
      <c r="E46" s="1166">
        <f>IF(C41=0,"",VLOOKUP(C41,'Tablas Magia'!$D$6:$Z$680,10,FALSE))</f>
        <v>14</v>
      </c>
      <c r="F46" s="1166">
        <f>IF(C41=0,"",VLOOKUP(C41,'Tablas Magia'!$D$6:$Z$680,14,FALSE))</f>
        <v>200</v>
      </c>
      <c r="G46" s="1167" t="str">
        <f>IF(C41=0,"",VLOOKUP(C41,'Tablas Magia'!$D$6:$Z$680,18,FALSE))</f>
        <v>No</v>
      </c>
      <c r="H46" s="5438" t="str">
        <f>IF(C41=0,"",VLOOKUP(C41,'Tablas Magia'!$D$6:$Z$680,22,FALSE))</f>
        <v>100 metros de radio / 160 RF</v>
      </c>
      <c r="I46" s="5439"/>
      <c r="J46" s="5439"/>
      <c r="K46" s="5439"/>
      <c r="L46" s="5439"/>
      <c r="M46" s="5439"/>
      <c r="N46" s="5439"/>
      <c r="O46" s="5439"/>
      <c r="P46" s="5439"/>
      <c r="Q46" s="5440"/>
      <c r="R46" s="1143"/>
      <c r="S46" s="1137"/>
      <c r="T46" s="1137"/>
      <c r="U46" s="2108"/>
      <c r="V46" s="5436" t="s">
        <v>4574</v>
      </c>
      <c r="W46" s="5437"/>
      <c r="X46" s="1166">
        <f>IF(V41=0,"",VLOOKUP(V41,'Tablas Magia'!$D$6:$Z$680,10,FALSE))</f>
        <v>15</v>
      </c>
      <c r="Y46" s="1166">
        <f>IF(V41=0,"",VLOOKUP(V41,'Tablas Magia'!$D$6:$Z$680,14,FALSE))</f>
        <v>180</v>
      </c>
      <c r="Z46" s="1167">
        <f>IF(V41=0,"",VLOOKUP(V41,'Tablas Magia'!$D$6:$Z$680,18,FALSE))</f>
        <v>15</v>
      </c>
      <c r="AA46" s="5438" t="str">
        <f>IF(V41=0,"",VLOOKUP(V41,'Tablas Magia'!$D$6:$Z$680,22,FALSE))</f>
        <v>Disponen de una Fuerza base 18 para los controles y tienen Entereza 35</v>
      </c>
      <c r="AB46" s="5439"/>
      <c r="AC46" s="5439"/>
      <c r="AD46" s="5439"/>
      <c r="AE46" s="5439"/>
      <c r="AF46" s="5439"/>
      <c r="AG46" s="5439"/>
      <c r="AH46" s="5439"/>
      <c r="AI46" s="5439"/>
      <c r="AJ46" s="5440"/>
      <c r="AK46" s="1143"/>
      <c r="AL46" s="1137"/>
      <c r="AM46" s="1137"/>
      <c r="AN46" s="2122"/>
      <c r="AO46" s="5436" t="s">
        <v>4574</v>
      </c>
      <c r="AP46" s="5437"/>
      <c r="AQ46" s="1166">
        <f>IF(AO41=0,"",VLOOKUP(AO41,'Tablas Magia'!$D$6:$Z$680,10,FALSE))</f>
        <v>15</v>
      </c>
      <c r="AR46" s="1166">
        <f>IF(AO41=0,"",VLOOKUP(AO41,'Tablas Magia'!$D$6:$Z$680,14,FALSE))</f>
        <v>360</v>
      </c>
      <c r="AS46" s="1167">
        <f>IF(AO41=0,"",VLOOKUP(AO41,'Tablas Magia'!$D$6:$Z$680,18,FALSE))</f>
        <v>15</v>
      </c>
      <c r="AT46" s="5438" t="str">
        <f>IF(AO41=0,"",VLOOKUP(AO41,'Tablas Magia'!$D$6:$Z$680,22,FALSE))</f>
        <v>RM 340 / 250 metros de rad</v>
      </c>
      <c r="AU46" s="5439"/>
      <c r="AV46" s="5439"/>
      <c r="AW46" s="5439"/>
      <c r="AX46" s="5439"/>
      <c r="AY46" s="5439"/>
      <c r="AZ46" s="5439"/>
      <c r="BA46" s="5439"/>
      <c r="BB46" s="5439"/>
      <c r="BC46" s="5440"/>
      <c r="BD46" s="1143"/>
      <c r="BE46" s="1137"/>
      <c r="BF46" s="1137"/>
      <c r="BG46" s="2122"/>
      <c r="BH46" s="5436" t="s">
        <v>4574</v>
      </c>
      <c r="BI46" s="5437"/>
      <c r="BJ46" s="1166">
        <f>IF(BH41=0,"",VLOOKUP(BH41,'Tablas Magia'!$D$6:$Z$680,10,FALSE))</f>
        <v>15</v>
      </c>
      <c r="BK46" s="1166">
        <f>IF(BH41=0,"",VLOOKUP(BH41,'Tablas Magia'!$D$6:$Z$680,14,FALSE))</f>
        <v>300</v>
      </c>
      <c r="BL46" s="1167" t="str">
        <f>IF(BH41=0,"",VLOOKUP(BH41,'Tablas Magia'!$D$6:$Z$680,18,FALSE))</f>
        <v>No</v>
      </c>
      <c r="BM46" s="5438" t="str">
        <f>IF(BH41=0,"",VLOOKUP(BH41,'Tablas Magia'!$D$6:$Z$680,22,FALSE))</f>
        <v>Restituye cualquier penalizador y cantidad de Puntos de Cansancio</v>
      </c>
      <c r="BN46" s="5439"/>
      <c r="BO46" s="5439"/>
      <c r="BP46" s="5439"/>
      <c r="BQ46" s="5439"/>
      <c r="BR46" s="5439"/>
      <c r="BS46" s="5439"/>
      <c r="BT46" s="5439"/>
      <c r="BU46" s="5439"/>
      <c r="BV46" s="5440"/>
      <c r="BW46" s="1143"/>
      <c r="BX46" s="1137"/>
      <c r="BY46" s="1137"/>
      <c r="BZ46" s="2122"/>
      <c r="CA46" s="5436" t="s">
        <v>4574</v>
      </c>
      <c r="CB46" s="5437"/>
      <c r="CC46" s="1166">
        <f>IF(CA41=0,"",VLOOKUP(CA41,'Tablas Magia'!$D$6:$Z$680,10,FALSE))</f>
        <v>18</v>
      </c>
      <c r="CD46" s="1166">
        <f>IF(CA41=0,"",VLOOKUP(CA41,'Tablas Magia'!$D$6:$Z$680,14,FALSE))</f>
        <v>800</v>
      </c>
      <c r="CE46" s="1167">
        <f>IF(CA41=0,"",VLOOKUP(CA41,'Tablas Magia'!$D$6:$Z$680,18,FALSE))</f>
        <v>65</v>
      </c>
      <c r="CF46" s="5438" t="str">
        <f>IF(CA41=0,"",VLOOKUP(CA41,'Tablas Magia'!$D$6:$Z$680,22,FALSE))</f>
        <v>50 kilómetros de radio / presencia máxima 120</v>
      </c>
      <c r="CG46" s="5439"/>
      <c r="CH46" s="5439"/>
      <c r="CI46" s="5439"/>
      <c r="CJ46" s="5439"/>
      <c r="CK46" s="5439"/>
      <c r="CL46" s="5439"/>
      <c r="CM46" s="5439"/>
      <c r="CN46" s="5439"/>
      <c r="CO46" s="5440"/>
      <c r="CP46" s="1143"/>
      <c r="CQ46" s="1137"/>
    </row>
    <row r="47" spans="1:95" ht="12" customHeight="1" x14ac:dyDescent="0.2">
      <c r="A47" s="1137"/>
      <c r="B47" s="2108"/>
      <c r="C47" s="5441"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42"/>
      <c r="E47" s="5442"/>
      <c r="F47" s="5442"/>
      <c r="G47" s="5442"/>
      <c r="H47" s="5442"/>
      <c r="I47" s="5442"/>
      <c r="J47" s="5442"/>
      <c r="K47" s="5442"/>
      <c r="L47" s="5442"/>
      <c r="M47" s="5442"/>
      <c r="N47" s="5442"/>
      <c r="O47" s="5442"/>
      <c r="P47" s="5442"/>
      <c r="Q47" s="5443"/>
      <c r="R47" s="1143"/>
      <c r="S47" s="1137"/>
      <c r="T47" s="1137"/>
      <c r="U47" s="2108"/>
      <c r="V47" s="5441"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42"/>
      <c r="X47" s="5442"/>
      <c r="Y47" s="5442"/>
      <c r="Z47" s="5442"/>
      <c r="AA47" s="5442"/>
      <c r="AB47" s="5442"/>
      <c r="AC47" s="5442"/>
      <c r="AD47" s="5442"/>
      <c r="AE47" s="5442"/>
      <c r="AF47" s="5442"/>
      <c r="AG47" s="5442"/>
      <c r="AH47" s="5442"/>
      <c r="AI47" s="5442"/>
      <c r="AJ47" s="5443"/>
      <c r="AK47" s="1143"/>
      <c r="AL47" s="1137"/>
      <c r="AM47" s="1137"/>
      <c r="AN47" s="2122"/>
      <c r="AO47" s="5441"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42"/>
      <c r="AQ47" s="5442"/>
      <c r="AR47" s="5442"/>
      <c r="AS47" s="5442"/>
      <c r="AT47" s="5442"/>
      <c r="AU47" s="5442"/>
      <c r="AV47" s="5442"/>
      <c r="AW47" s="5442"/>
      <c r="AX47" s="5442"/>
      <c r="AY47" s="5442"/>
      <c r="AZ47" s="5442"/>
      <c r="BA47" s="5442"/>
      <c r="BB47" s="5442"/>
      <c r="BC47" s="5443"/>
      <c r="BD47" s="1143"/>
      <c r="BE47" s="1137"/>
      <c r="BF47" s="1137"/>
      <c r="BG47" s="2122"/>
      <c r="BH47" s="5441"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42"/>
      <c r="BJ47" s="5442"/>
      <c r="BK47" s="5442"/>
      <c r="BL47" s="5442"/>
      <c r="BM47" s="5442"/>
      <c r="BN47" s="5442"/>
      <c r="BO47" s="5442"/>
      <c r="BP47" s="5442"/>
      <c r="BQ47" s="5442"/>
      <c r="BR47" s="5442"/>
      <c r="BS47" s="5442"/>
      <c r="BT47" s="5442"/>
      <c r="BU47" s="5442"/>
      <c r="BV47" s="5443"/>
      <c r="BW47" s="1143"/>
      <c r="BX47" s="1137"/>
      <c r="BY47" s="1137"/>
      <c r="BZ47" s="2122"/>
      <c r="CA47" s="5441"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42"/>
      <c r="CC47" s="5442"/>
      <c r="CD47" s="5442"/>
      <c r="CE47" s="5442"/>
      <c r="CF47" s="5442"/>
      <c r="CG47" s="5442"/>
      <c r="CH47" s="5442"/>
      <c r="CI47" s="5442"/>
      <c r="CJ47" s="5442"/>
      <c r="CK47" s="5442"/>
      <c r="CL47" s="5442"/>
      <c r="CM47" s="5442"/>
      <c r="CN47" s="5442"/>
      <c r="CO47" s="5443"/>
      <c r="CP47" s="1143"/>
      <c r="CQ47" s="1137"/>
    </row>
    <row r="48" spans="1:95" ht="12" customHeight="1" x14ac:dyDescent="0.2">
      <c r="A48" s="1137"/>
      <c r="B48" s="2108"/>
      <c r="C48" s="5444"/>
      <c r="D48" s="5445"/>
      <c r="E48" s="5445"/>
      <c r="F48" s="5445"/>
      <c r="G48" s="5445"/>
      <c r="H48" s="5445"/>
      <c r="I48" s="5445"/>
      <c r="J48" s="5445"/>
      <c r="K48" s="5445"/>
      <c r="L48" s="5445"/>
      <c r="M48" s="5445"/>
      <c r="N48" s="5445"/>
      <c r="O48" s="5445"/>
      <c r="P48" s="5445"/>
      <c r="Q48" s="5446"/>
      <c r="R48" s="1143"/>
      <c r="S48" s="1137"/>
      <c r="T48" s="1137"/>
      <c r="U48" s="2108"/>
      <c r="V48" s="5444"/>
      <c r="W48" s="5445"/>
      <c r="X48" s="5445"/>
      <c r="Y48" s="5445"/>
      <c r="Z48" s="5445"/>
      <c r="AA48" s="5445"/>
      <c r="AB48" s="5445"/>
      <c r="AC48" s="5445"/>
      <c r="AD48" s="5445"/>
      <c r="AE48" s="5445"/>
      <c r="AF48" s="5445"/>
      <c r="AG48" s="5445"/>
      <c r="AH48" s="5445"/>
      <c r="AI48" s="5445"/>
      <c r="AJ48" s="5446"/>
      <c r="AK48" s="1143"/>
      <c r="AL48" s="1137"/>
      <c r="AM48" s="1137"/>
      <c r="AN48" s="2122"/>
      <c r="AO48" s="5444"/>
      <c r="AP48" s="5445"/>
      <c r="AQ48" s="5445"/>
      <c r="AR48" s="5445"/>
      <c r="AS48" s="5445"/>
      <c r="AT48" s="5445"/>
      <c r="AU48" s="5445"/>
      <c r="AV48" s="5445"/>
      <c r="AW48" s="5445"/>
      <c r="AX48" s="5445"/>
      <c r="AY48" s="5445"/>
      <c r="AZ48" s="5445"/>
      <c r="BA48" s="5445"/>
      <c r="BB48" s="5445"/>
      <c r="BC48" s="5446"/>
      <c r="BD48" s="1143"/>
      <c r="BE48" s="1137"/>
      <c r="BF48" s="1137"/>
      <c r="BG48" s="2122"/>
      <c r="BH48" s="5444"/>
      <c r="BI48" s="5445"/>
      <c r="BJ48" s="5445"/>
      <c r="BK48" s="5445"/>
      <c r="BL48" s="5445"/>
      <c r="BM48" s="5445"/>
      <c r="BN48" s="5445"/>
      <c r="BO48" s="5445"/>
      <c r="BP48" s="5445"/>
      <c r="BQ48" s="5445"/>
      <c r="BR48" s="5445"/>
      <c r="BS48" s="5445"/>
      <c r="BT48" s="5445"/>
      <c r="BU48" s="5445"/>
      <c r="BV48" s="5446"/>
      <c r="BW48" s="1143"/>
      <c r="BX48" s="1137"/>
      <c r="BY48" s="1137"/>
      <c r="BZ48" s="2122"/>
      <c r="CA48" s="5444"/>
      <c r="CB48" s="5445"/>
      <c r="CC48" s="5445"/>
      <c r="CD48" s="5445"/>
      <c r="CE48" s="5445"/>
      <c r="CF48" s="5445"/>
      <c r="CG48" s="5445"/>
      <c r="CH48" s="5445"/>
      <c r="CI48" s="5445"/>
      <c r="CJ48" s="5445"/>
      <c r="CK48" s="5445"/>
      <c r="CL48" s="5445"/>
      <c r="CM48" s="5445"/>
      <c r="CN48" s="5445"/>
      <c r="CO48" s="5446"/>
      <c r="CP48" s="1143"/>
      <c r="CQ48" s="1137"/>
    </row>
    <row r="49" spans="1:95" ht="12" customHeight="1" x14ac:dyDescent="0.2">
      <c r="A49" s="1137"/>
      <c r="B49" s="2108"/>
      <c r="C49" s="5444"/>
      <c r="D49" s="5445"/>
      <c r="E49" s="5445"/>
      <c r="F49" s="5445"/>
      <c r="G49" s="5445"/>
      <c r="H49" s="5445"/>
      <c r="I49" s="5445"/>
      <c r="J49" s="5445"/>
      <c r="K49" s="5445"/>
      <c r="L49" s="5445"/>
      <c r="M49" s="5445"/>
      <c r="N49" s="5445"/>
      <c r="O49" s="5445"/>
      <c r="P49" s="5445"/>
      <c r="Q49" s="5446"/>
      <c r="R49" s="1143"/>
      <c r="S49" s="1137"/>
      <c r="T49" s="1137"/>
      <c r="U49" s="2108"/>
      <c r="V49" s="5444"/>
      <c r="W49" s="5445"/>
      <c r="X49" s="5445"/>
      <c r="Y49" s="5445"/>
      <c r="Z49" s="5445"/>
      <c r="AA49" s="5445"/>
      <c r="AB49" s="5445"/>
      <c r="AC49" s="5445"/>
      <c r="AD49" s="5445"/>
      <c r="AE49" s="5445"/>
      <c r="AF49" s="5445"/>
      <c r="AG49" s="5445"/>
      <c r="AH49" s="5445"/>
      <c r="AI49" s="5445"/>
      <c r="AJ49" s="5446"/>
      <c r="AK49" s="1143"/>
      <c r="AL49" s="1137"/>
      <c r="AM49" s="1137"/>
      <c r="AN49" s="2122"/>
      <c r="AO49" s="5444"/>
      <c r="AP49" s="5445"/>
      <c r="AQ49" s="5445"/>
      <c r="AR49" s="5445"/>
      <c r="AS49" s="5445"/>
      <c r="AT49" s="5445"/>
      <c r="AU49" s="5445"/>
      <c r="AV49" s="5445"/>
      <c r="AW49" s="5445"/>
      <c r="AX49" s="5445"/>
      <c r="AY49" s="5445"/>
      <c r="AZ49" s="5445"/>
      <c r="BA49" s="5445"/>
      <c r="BB49" s="5445"/>
      <c r="BC49" s="5446"/>
      <c r="BD49" s="1143"/>
      <c r="BE49" s="1137"/>
      <c r="BF49" s="1137"/>
      <c r="BG49" s="2122"/>
      <c r="BH49" s="5444"/>
      <c r="BI49" s="5445"/>
      <c r="BJ49" s="5445"/>
      <c r="BK49" s="5445"/>
      <c r="BL49" s="5445"/>
      <c r="BM49" s="5445"/>
      <c r="BN49" s="5445"/>
      <c r="BO49" s="5445"/>
      <c r="BP49" s="5445"/>
      <c r="BQ49" s="5445"/>
      <c r="BR49" s="5445"/>
      <c r="BS49" s="5445"/>
      <c r="BT49" s="5445"/>
      <c r="BU49" s="5445"/>
      <c r="BV49" s="5446"/>
      <c r="BW49" s="1143"/>
      <c r="BX49" s="1137"/>
      <c r="BY49" s="1137"/>
      <c r="BZ49" s="2122"/>
      <c r="CA49" s="5444"/>
      <c r="CB49" s="5445"/>
      <c r="CC49" s="5445"/>
      <c r="CD49" s="5445"/>
      <c r="CE49" s="5445"/>
      <c r="CF49" s="5445"/>
      <c r="CG49" s="5445"/>
      <c r="CH49" s="5445"/>
      <c r="CI49" s="5445"/>
      <c r="CJ49" s="5445"/>
      <c r="CK49" s="5445"/>
      <c r="CL49" s="5445"/>
      <c r="CM49" s="5445"/>
      <c r="CN49" s="5445"/>
      <c r="CO49" s="5446"/>
      <c r="CP49" s="1143"/>
      <c r="CQ49" s="1137"/>
    </row>
    <row r="50" spans="1:95" ht="12" customHeight="1" thickBot="1" x14ac:dyDescent="0.25">
      <c r="A50" s="1137"/>
      <c r="B50" s="2108"/>
      <c r="C50" s="5447"/>
      <c r="D50" s="5448"/>
      <c r="E50" s="5448"/>
      <c r="F50" s="5448"/>
      <c r="G50" s="5448"/>
      <c r="H50" s="5448"/>
      <c r="I50" s="5448"/>
      <c r="J50" s="5448"/>
      <c r="K50" s="5448"/>
      <c r="L50" s="5448"/>
      <c r="M50" s="5448"/>
      <c r="N50" s="5448"/>
      <c r="O50" s="5448"/>
      <c r="P50" s="5448"/>
      <c r="Q50" s="5449"/>
      <c r="R50" s="1143"/>
      <c r="S50" s="1137"/>
      <c r="T50" s="1137"/>
      <c r="U50" s="2108"/>
      <c r="V50" s="5447"/>
      <c r="W50" s="5448"/>
      <c r="X50" s="5448"/>
      <c r="Y50" s="5448"/>
      <c r="Z50" s="5448"/>
      <c r="AA50" s="5448"/>
      <c r="AB50" s="5448"/>
      <c r="AC50" s="5448"/>
      <c r="AD50" s="5448"/>
      <c r="AE50" s="5448"/>
      <c r="AF50" s="5448"/>
      <c r="AG50" s="5448"/>
      <c r="AH50" s="5448"/>
      <c r="AI50" s="5448"/>
      <c r="AJ50" s="5449"/>
      <c r="AK50" s="1143"/>
      <c r="AL50" s="1137"/>
      <c r="AM50" s="1137"/>
      <c r="AN50" s="2122"/>
      <c r="AO50" s="5447"/>
      <c r="AP50" s="5448"/>
      <c r="AQ50" s="5448"/>
      <c r="AR50" s="5448"/>
      <c r="AS50" s="5448"/>
      <c r="AT50" s="5448"/>
      <c r="AU50" s="5448"/>
      <c r="AV50" s="5448"/>
      <c r="AW50" s="5448"/>
      <c r="AX50" s="5448"/>
      <c r="AY50" s="5448"/>
      <c r="AZ50" s="5448"/>
      <c r="BA50" s="5448"/>
      <c r="BB50" s="5448"/>
      <c r="BC50" s="5449"/>
      <c r="BD50" s="1143"/>
      <c r="BE50" s="1137"/>
      <c r="BF50" s="1137"/>
      <c r="BG50" s="2122"/>
      <c r="BH50" s="5447"/>
      <c r="BI50" s="5448"/>
      <c r="BJ50" s="5448"/>
      <c r="BK50" s="5448"/>
      <c r="BL50" s="5448"/>
      <c r="BM50" s="5448"/>
      <c r="BN50" s="5448"/>
      <c r="BO50" s="5448"/>
      <c r="BP50" s="5448"/>
      <c r="BQ50" s="5448"/>
      <c r="BR50" s="5448"/>
      <c r="BS50" s="5448"/>
      <c r="BT50" s="5448"/>
      <c r="BU50" s="5448"/>
      <c r="BV50" s="5449"/>
      <c r="BW50" s="1143"/>
      <c r="BX50" s="1137"/>
      <c r="BY50" s="1137"/>
      <c r="BZ50" s="2122"/>
      <c r="CA50" s="5447"/>
      <c r="CB50" s="5448"/>
      <c r="CC50" s="5448"/>
      <c r="CD50" s="5448"/>
      <c r="CE50" s="5448"/>
      <c r="CF50" s="5448"/>
      <c r="CG50" s="5448"/>
      <c r="CH50" s="5448"/>
      <c r="CI50" s="5448"/>
      <c r="CJ50" s="5448"/>
      <c r="CK50" s="5448"/>
      <c r="CL50" s="5448"/>
      <c r="CM50" s="5448"/>
      <c r="CN50" s="5448"/>
      <c r="CO50" s="5449"/>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66"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67"/>
      <c r="E52" s="5467"/>
      <c r="F52" s="5467"/>
      <c r="G52" s="5467"/>
      <c r="H52" s="1157" t="s">
        <v>1627</v>
      </c>
      <c r="I52" s="1158">
        <f>B52</f>
        <v>10</v>
      </c>
      <c r="J52" s="5454" t="s">
        <v>7687</v>
      </c>
      <c r="K52" s="5454"/>
      <c r="L52" s="5454"/>
      <c r="M52" s="5455" t="str">
        <f>IF(C52=0,"",VLOOKUP(C52,'Tablas Magia'!$D$6:$Z$680,2,FALSE))</f>
        <v>Luz</v>
      </c>
      <c r="N52" s="5455"/>
      <c r="O52" s="5455"/>
      <c r="P52" s="5455"/>
      <c r="Q52" s="5456"/>
      <c r="R52" s="1143"/>
      <c r="S52" s="1137"/>
      <c r="T52" s="1137"/>
      <c r="U52" s="2108">
        <f>U41+2</f>
        <v>30</v>
      </c>
      <c r="V52" s="5466"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67"/>
      <c r="X52" s="5467"/>
      <c r="Y52" s="5467"/>
      <c r="Z52" s="5467"/>
      <c r="AA52" s="1157" t="s">
        <v>1627</v>
      </c>
      <c r="AB52" s="1158">
        <f>U52</f>
        <v>30</v>
      </c>
      <c r="AC52" s="5454" t="s">
        <v>7687</v>
      </c>
      <c r="AD52" s="5454"/>
      <c r="AE52" s="5454"/>
      <c r="AF52" s="5455" t="str">
        <f>IF(V52=0,"",VLOOKUP(V52,'Tablas Magia'!$D$6:$Z$680,2,FALSE))</f>
        <v>Luz</v>
      </c>
      <c r="AG52" s="5455"/>
      <c r="AH52" s="5455"/>
      <c r="AI52" s="5455"/>
      <c r="AJ52" s="5456"/>
      <c r="AK52" s="1143"/>
      <c r="AL52" s="1137"/>
      <c r="AM52" s="1137"/>
      <c r="AN52" s="2122">
        <f>AN41+2</f>
        <v>50</v>
      </c>
      <c r="AO52" s="5466"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67"/>
      <c r="AQ52" s="5467"/>
      <c r="AR52" s="5467"/>
      <c r="AS52" s="5467"/>
      <c r="AT52" s="1157" t="s">
        <v>1627</v>
      </c>
      <c r="AU52" s="1158">
        <f>AN52</f>
        <v>50</v>
      </c>
      <c r="AV52" s="5454" t="s">
        <v>7687</v>
      </c>
      <c r="AW52" s="5454"/>
      <c r="AX52" s="5454"/>
      <c r="AY52" s="5455" t="str">
        <f>IF(AO52=0,"",VLOOKUP(AO52,'Tablas Magia'!$D$6:$Z$680,2,FALSE))</f>
        <v>Luz</v>
      </c>
      <c r="AZ52" s="5455"/>
      <c r="BA52" s="5455"/>
      <c r="BB52" s="5455"/>
      <c r="BC52" s="5456"/>
      <c r="BD52" s="1143"/>
      <c r="BE52" s="1137"/>
      <c r="BF52" s="1137"/>
      <c r="BG52" s="2122">
        <f>BG41+2</f>
        <v>70</v>
      </c>
      <c r="BH52" s="5466"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67"/>
      <c r="BJ52" s="5467"/>
      <c r="BK52" s="5467"/>
      <c r="BL52" s="5467"/>
      <c r="BM52" s="1157" t="s">
        <v>1627</v>
      </c>
      <c r="BN52" s="1158">
        <f>BG52</f>
        <v>70</v>
      </c>
      <c r="BO52" s="5454" t="s">
        <v>7687</v>
      </c>
      <c r="BP52" s="5454"/>
      <c r="BQ52" s="5454"/>
      <c r="BR52" s="5455" t="str">
        <f>IF(BH52=0,"",VLOOKUP(BH52,'Tablas Magia'!$D$6:$Z$680,2,FALSE))</f>
        <v>Luz</v>
      </c>
      <c r="BS52" s="5455"/>
      <c r="BT52" s="5455"/>
      <c r="BU52" s="5455"/>
      <c r="BV52" s="5456"/>
      <c r="BW52" s="1143"/>
      <c r="BX52" s="1137"/>
      <c r="BY52" s="1137"/>
      <c r="BZ52" s="2122">
        <f>BZ41+2</f>
        <v>90</v>
      </c>
      <c r="CA52" s="5466"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67"/>
      <c r="CC52" s="5467"/>
      <c r="CD52" s="5467"/>
      <c r="CE52" s="5467"/>
      <c r="CF52" s="1157" t="s">
        <v>1627</v>
      </c>
      <c r="CG52" s="1158">
        <f>BZ52</f>
        <v>90</v>
      </c>
      <c r="CH52" s="5454" t="s">
        <v>7687</v>
      </c>
      <c r="CI52" s="5454"/>
      <c r="CJ52" s="5454"/>
      <c r="CK52" s="5455" t="str">
        <f>IF(CA52=0,"",VLOOKUP(CA52,'Tablas Magia'!$D$6:$Z$680,2,FALSE))</f>
        <v>Luz</v>
      </c>
      <c r="CL52" s="5455"/>
      <c r="CM52" s="5455"/>
      <c r="CN52" s="5455"/>
      <c r="CO52" s="5456"/>
      <c r="CP52" s="1143"/>
      <c r="CQ52" s="1137"/>
    </row>
    <row r="53" spans="1:95" ht="12" customHeight="1" x14ac:dyDescent="0.2">
      <c r="A53" s="1137"/>
      <c r="B53" s="2108"/>
      <c r="C53" s="5450" t="s">
        <v>7688</v>
      </c>
      <c r="D53" s="5451"/>
      <c r="E53" s="1159" t="s">
        <v>7689</v>
      </c>
      <c r="F53" s="1159" t="s">
        <v>1820</v>
      </c>
      <c r="G53" s="1159" t="s">
        <v>3334</v>
      </c>
      <c r="H53" s="1160" t="s">
        <v>2165</v>
      </c>
      <c r="I53" s="5424" t="str">
        <f>IF(C52=0,"",VLOOKUP(C52,'Tablas Magia'!$D$6:$Z$680,5,FALSE))</f>
        <v>Defensa</v>
      </c>
      <c r="J53" s="5424"/>
      <c r="K53" s="5423" t="s">
        <v>7690</v>
      </c>
      <c r="L53" s="5423"/>
      <c r="M53" s="5424" t="str">
        <f>IF(C52=0,"",VLOOKUP(C52,'Tablas Magia'!$D$6:$Z$680,6,FALSE))</f>
        <v>Pasiva</v>
      </c>
      <c r="N53" s="5424"/>
      <c r="O53" s="5425" t="s">
        <v>7691</v>
      </c>
      <c r="P53" s="5425"/>
      <c r="Q53" s="1161" t="str">
        <f>IF(C52=0,"",VLOOKUP(C52,'Tablas Magia'!$D$6:$Z$680,4,FALSE))</f>
        <v>No</v>
      </c>
      <c r="R53" s="1143"/>
      <c r="S53" s="1137"/>
      <c r="T53" s="1137"/>
      <c r="U53" s="2108"/>
      <c r="V53" s="5450" t="s">
        <v>7688</v>
      </c>
      <c r="W53" s="5451"/>
      <c r="X53" s="1159" t="s">
        <v>7689</v>
      </c>
      <c r="Y53" s="1159" t="s">
        <v>1820</v>
      </c>
      <c r="Z53" s="1159" t="s">
        <v>3334</v>
      </c>
      <c r="AA53" s="1160" t="s">
        <v>2165</v>
      </c>
      <c r="AB53" s="5424" t="str">
        <f>IF(V52=0,"",VLOOKUP(V52,'Tablas Magia'!$D$6:$Z$680,5,FALSE))</f>
        <v>Efecto</v>
      </c>
      <c r="AC53" s="5424"/>
      <c r="AD53" s="5423" t="s">
        <v>7690</v>
      </c>
      <c r="AE53" s="5423"/>
      <c r="AF53" s="5424" t="str">
        <f>IF(V52=0,"",VLOOKUP(V52,'Tablas Magia'!$D$6:$Z$680,6,FALSE))</f>
        <v>Activa</v>
      </c>
      <c r="AG53" s="5424"/>
      <c r="AH53" s="5425" t="s">
        <v>7691</v>
      </c>
      <c r="AI53" s="5425"/>
      <c r="AJ53" s="1161" t="str">
        <f>IF(V52=0,"",VLOOKUP(V52,'Tablas Magia'!$D$6:$Z$680,4,FALSE))</f>
        <v>No</v>
      </c>
      <c r="AK53" s="1143"/>
      <c r="AL53" s="1137"/>
      <c r="AM53" s="1137"/>
      <c r="AN53" s="2122"/>
      <c r="AO53" s="5450" t="s">
        <v>7688</v>
      </c>
      <c r="AP53" s="5451"/>
      <c r="AQ53" s="1159" t="s">
        <v>7689</v>
      </c>
      <c r="AR53" s="1159" t="s">
        <v>1820</v>
      </c>
      <c r="AS53" s="1159" t="s">
        <v>3334</v>
      </c>
      <c r="AT53" s="1160" t="s">
        <v>2165</v>
      </c>
      <c r="AU53" s="5424" t="str">
        <f>IF(AO52=0,"",VLOOKUP(AO52,'Tablas Magia'!$D$6:$Z$680,5,FALSE))</f>
        <v>Anímico</v>
      </c>
      <c r="AV53" s="5424"/>
      <c r="AW53" s="5423" t="s">
        <v>7690</v>
      </c>
      <c r="AX53" s="5423"/>
      <c r="AY53" s="5424" t="str">
        <f>IF(AO52=0,"",VLOOKUP(AO52,'Tablas Magia'!$D$6:$Z$680,6,FALSE))</f>
        <v>Activa</v>
      </c>
      <c r="AZ53" s="5424"/>
      <c r="BA53" s="5425" t="s">
        <v>7691</v>
      </c>
      <c r="BB53" s="5425"/>
      <c r="BC53" s="1161" t="str">
        <f>IF(AO52=0,"",VLOOKUP(AO52,'Tablas Magia'!$D$6:$Z$680,4,FALSE))</f>
        <v>Si</v>
      </c>
      <c r="BD53" s="1143"/>
      <c r="BE53" s="1137"/>
      <c r="BF53" s="1137"/>
      <c r="BG53" s="2122"/>
      <c r="BH53" s="5450" t="s">
        <v>7688</v>
      </c>
      <c r="BI53" s="5451"/>
      <c r="BJ53" s="1159" t="s">
        <v>7689</v>
      </c>
      <c r="BK53" s="1159" t="s">
        <v>1820</v>
      </c>
      <c r="BL53" s="1159" t="s">
        <v>3334</v>
      </c>
      <c r="BM53" s="1160" t="s">
        <v>2165</v>
      </c>
      <c r="BN53" s="5424" t="str">
        <f>IF(BH52=0,"",VLOOKUP(BH52,'Tablas Magia'!$D$6:$Z$680,5,FALSE))</f>
        <v>Auto</v>
      </c>
      <c r="BO53" s="5424"/>
      <c r="BP53" s="5423" t="s">
        <v>7690</v>
      </c>
      <c r="BQ53" s="5423"/>
      <c r="BR53" s="5424" t="str">
        <f>IF(BH52=0,"",VLOOKUP(BH52,'Tablas Magia'!$D$6:$Z$680,6,FALSE))</f>
        <v>Activa</v>
      </c>
      <c r="BS53" s="5424"/>
      <c r="BT53" s="5425" t="s">
        <v>7691</v>
      </c>
      <c r="BU53" s="5425"/>
      <c r="BV53" s="1161" t="str">
        <f>IF(BH52=0,"",VLOOKUP(BH52,'Tablas Magia'!$D$6:$Z$680,4,FALSE))</f>
        <v>No</v>
      </c>
      <c r="BW53" s="1143"/>
      <c r="BX53" s="1137"/>
      <c r="BY53" s="1137"/>
      <c r="BZ53" s="2122"/>
      <c r="CA53" s="5450" t="s">
        <v>7688</v>
      </c>
      <c r="CB53" s="5451"/>
      <c r="CC53" s="1159" t="s">
        <v>7689</v>
      </c>
      <c r="CD53" s="1159" t="s">
        <v>1820</v>
      </c>
      <c r="CE53" s="1159" t="s">
        <v>3334</v>
      </c>
      <c r="CF53" s="1160" t="s">
        <v>2165</v>
      </c>
      <c r="CG53" s="5424" t="str">
        <f>IF(CA52=0,"",VLOOKUP(CA52,'Tablas Magia'!$D$6:$Z$680,5,FALSE))</f>
        <v>Anímico</v>
      </c>
      <c r="CH53" s="5424"/>
      <c r="CI53" s="5423" t="s">
        <v>7690</v>
      </c>
      <c r="CJ53" s="5423"/>
      <c r="CK53" s="5424" t="str">
        <f>IF(CA52=0,"",VLOOKUP(CA52,'Tablas Magia'!$D$6:$Z$680,6,FALSE))</f>
        <v>Activa</v>
      </c>
      <c r="CL53" s="5424"/>
      <c r="CM53" s="5425" t="s">
        <v>7691</v>
      </c>
      <c r="CN53" s="5425"/>
      <c r="CO53" s="1161" t="str">
        <f>IF(CA52=0,"",VLOOKUP(CA52,'Tablas Magia'!$D$6:$Z$680,4,FALSE))</f>
        <v>No</v>
      </c>
      <c r="CP53" s="1143"/>
      <c r="CQ53" s="1137"/>
    </row>
    <row r="54" spans="1:95" ht="12" customHeight="1" x14ac:dyDescent="0.2">
      <c r="A54" s="1137"/>
      <c r="B54" s="2108"/>
      <c r="C54" s="5426" t="s">
        <v>1674</v>
      </c>
      <c r="D54" s="5427"/>
      <c r="E54" s="1162">
        <f>IF(C52=0,"",VLOOKUP(C52,'Tablas Magia'!$D$6:$Z$680,7,FALSE))</f>
        <v>6</v>
      </c>
      <c r="F54" s="1162">
        <f>IF(C52=0,"",VLOOKUP(C52,'Tablas Magia'!$D$6:$Z$680,11,FALSE))</f>
        <v>50</v>
      </c>
      <c r="G54" s="1163">
        <f>IF(C52=0,"",VLOOKUP(C52,'Tablas Magia'!$D$6:$Z$680,15,FALSE))</f>
        <v>5</v>
      </c>
      <c r="H54" s="5428" t="str">
        <f>IF(C52=0,"",VLOOKUP(C52,'Tablas Magia'!$D$6:$Z$680,19,FALSE))</f>
        <v>El escudo tiene 300 puntos de Resistencia</v>
      </c>
      <c r="I54" s="5429"/>
      <c r="J54" s="5429"/>
      <c r="K54" s="5429"/>
      <c r="L54" s="5429"/>
      <c r="M54" s="5429"/>
      <c r="N54" s="5429"/>
      <c r="O54" s="5429"/>
      <c r="P54" s="5429"/>
      <c r="Q54" s="5430"/>
      <c r="R54" s="1143"/>
      <c r="S54" s="1137"/>
      <c r="T54" s="1137"/>
      <c r="U54" s="2108"/>
      <c r="V54" s="5426" t="s">
        <v>1674</v>
      </c>
      <c r="W54" s="5427"/>
      <c r="X54" s="1162">
        <f>IF(V52=0,"",VLOOKUP(V52,'Tablas Magia'!$D$6:$Z$680,7,FALSE))</f>
        <v>6</v>
      </c>
      <c r="Y54" s="1162">
        <f>IF(V52=0,"",VLOOKUP(V52,'Tablas Magia'!$D$6:$Z$680,11,FALSE))</f>
        <v>50</v>
      </c>
      <c r="Z54" s="1163">
        <f>IF(V52=0,"",VLOOKUP(V52,'Tablas Magia'!$D$6:$Z$680,15,FALSE))</f>
        <v>5</v>
      </c>
      <c r="AA54" s="5428" t="str">
        <f>IF(V52=0,"",VLOOKUP(V52,'Tablas Magia'!$D$6:$Z$680,19,FALSE))</f>
        <v>Radio de 20 metros / RM 80</v>
      </c>
      <c r="AB54" s="5429"/>
      <c r="AC54" s="5429"/>
      <c r="AD54" s="5429"/>
      <c r="AE54" s="5429"/>
      <c r="AF54" s="5429"/>
      <c r="AG54" s="5429"/>
      <c r="AH54" s="5429"/>
      <c r="AI54" s="5429"/>
      <c r="AJ54" s="5430"/>
      <c r="AK54" s="1143"/>
      <c r="AL54" s="1137"/>
      <c r="AM54" s="1137"/>
      <c r="AN54" s="2122"/>
      <c r="AO54" s="5426" t="s">
        <v>1674</v>
      </c>
      <c r="AP54" s="5427"/>
      <c r="AQ54" s="1162">
        <f>IF(AO52=0,"",VLOOKUP(AO52,'Tablas Magia'!$D$6:$Z$680,7,FALSE))</f>
        <v>6</v>
      </c>
      <c r="AR54" s="1162">
        <f>IF(AO52=0,"",VLOOKUP(AO52,'Tablas Magia'!$D$6:$Z$680,11,FALSE))</f>
        <v>120</v>
      </c>
      <c r="AS54" s="1163">
        <f>IF(AO52=0,"",VLOOKUP(AO52,'Tablas Magia'!$D$6:$Z$680,15,FALSE))</f>
        <v>10</v>
      </c>
      <c r="AT54" s="5428" t="str">
        <f>IF(AO52=0,"",VLOOKUP(AO52,'Tablas Magia'!$D$6:$Z$680,19,FALSE))</f>
        <v>RM o RP 140 / 10 metros de distancia</v>
      </c>
      <c r="AU54" s="5429"/>
      <c r="AV54" s="5429"/>
      <c r="AW54" s="5429"/>
      <c r="AX54" s="5429"/>
      <c r="AY54" s="5429"/>
      <c r="AZ54" s="5429"/>
      <c r="BA54" s="5429"/>
      <c r="BB54" s="5429"/>
      <c r="BC54" s="5430"/>
      <c r="BD54" s="1143"/>
      <c r="BE54" s="1137"/>
      <c r="BF54" s="1137"/>
      <c r="BG54" s="2122"/>
      <c r="BH54" s="5426" t="s">
        <v>1674</v>
      </c>
      <c r="BI54" s="5427"/>
      <c r="BJ54" s="1162">
        <f>IF(BH52=0,"",VLOOKUP(BH52,'Tablas Magia'!$D$6:$Z$680,7,FALSE))</f>
        <v>10</v>
      </c>
      <c r="BK54" s="1162">
        <f>IF(BH52=0,"",VLOOKUP(BH52,'Tablas Magia'!$D$6:$Z$680,11,FALSE))</f>
        <v>140</v>
      </c>
      <c r="BL54" s="1163">
        <f>IF(BH52=0,"",VLOOKUP(BH52,'Tablas Magia'!$D$6:$Z$680,15,FALSE))</f>
        <v>5</v>
      </c>
      <c r="BM54" s="5428" t="str">
        <f>IF(BH52=0,"",VLOOKUP(BH52,'Tablas Magia'!$D$6:$Z$680,19,FALSE))</f>
        <v>Visible en 1 kilómetro de radio / RM o RP 120</v>
      </c>
      <c r="BN54" s="5429"/>
      <c r="BO54" s="5429"/>
      <c r="BP54" s="5429"/>
      <c r="BQ54" s="5429"/>
      <c r="BR54" s="5429"/>
      <c r="BS54" s="5429"/>
      <c r="BT54" s="5429"/>
      <c r="BU54" s="5429"/>
      <c r="BV54" s="5430"/>
      <c r="BW54" s="1143"/>
      <c r="BX54" s="1137"/>
      <c r="BY54" s="1137"/>
      <c r="BZ54" s="2122"/>
      <c r="CA54" s="5426" t="s">
        <v>1674</v>
      </c>
      <c r="CB54" s="5427"/>
      <c r="CC54" s="1162">
        <f>IF(CA52=0,"",VLOOKUP(CA52,'Tablas Magia'!$D$6:$Z$680,7,FALSE))</f>
        <v>10</v>
      </c>
      <c r="CD54" s="1162">
        <f>IF(CA52=0,"",VLOOKUP(CA52,'Tablas Magia'!$D$6:$Z$680,11,FALSE))</f>
        <v>200</v>
      </c>
      <c r="CE54" s="1163" t="str">
        <f>IF(CA52=0,"",VLOOKUP(CA52,'Tablas Magia'!$D$6:$Z$680,15,FALSE))</f>
        <v>No</v>
      </c>
      <c r="CF54" s="5428" t="str">
        <f>IF(CA52=0,"",VLOOKUP(CA52,'Tablas Magia'!$D$6:$Z$680,19,FALSE))</f>
        <v>Un año</v>
      </c>
      <c r="CG54" s="5429"/>
      <c r="CH54" s="5429"/>
      <c r="CI54" s="5429"/>
      <c r="CJ54" s="5429"/>
      <c r="CK54" s="5429"/>
      <c r="CL54" s="5429"/>
      <c r="CM54" s="5429"/>
      <c r="CN54" s="5429"/>
      <c r="CO54" s="5430"/>
      <c r="CP54" s="1143"/>
      <c r="CQ54" s="1137"/>
    </row>
    <row r="55" spans="1:95" ht="12" customHeight="1" x14ac:dyDescent="0.2">
      <c r="A55" s="1137"/>
      <c r="B55" s="2108"/>
      <c r="C55" s="5431" t="s">
        <v>4572</v>
      </c>
      <c r="D55" s="5432"/>
      <c r="E55" s="1164">
        <f>IF(C52=0,"",VLOOKUP(C52,'Tablas Magia'!$D$6:$Z$680,8,FALSE))</f>
        <v>8</v>
      </c>
      <c r="F55" s="1164">
        <f>IF(C52=0,"",VLOOKUP(C52,'Tablas Magia'!$D$6:$Z$680,12,FALSE))</f>
        <v>120</v>
      </c>
      <c r="G55" s="1165">
        <f>IF(C52=0,"",VLOOKUP(C52,'Tablas Magia'!$D$6:$Z$680,16,FALSE))</f>
        <v>15</v>
      </c>
      <c r="H55" s="5433" t="str">
        <f>IF(C52=0,"",VLOOKUP(C52,'Tablas Magia'!$D$6:$Z$680,20,FALSE))</f>
        <v>El escudo tiene 1.000 puntos de Resistencia</v>
      </c>
      <c r="I55" s="5434"/>
      <c r="J55" s="5434"/>
      <c r="K55" s="5434"/>
      <c r="L55" s="5434"/>
      <c r="M55" s="5434"/>
      <c r="N55" s="5434"/>
      <c r="O55" s="5434"/>
      <c r="P55" s="5434"/>
      <c r="Q55" s="5435"/>
      <c r="R55" s="1143"/>
      <c r="S55" s="1137"/>
      <c r="T55" s="1137"/>
      <c r="U55" s="2108"/>
      <c r="V55" s="5431" t="s">
        <v>4572</v>
      </c>
      <c r="W55" s="5432"/>
      <c r="X55" s="1164">
        <f>IF(V52=0,"",VLOOKUP(V52,'Tablas Magia'!$D$6:$Z$680,8,FALSE))</f>
        <v>9</v>
      </c>
      <c r="Y55" s="1164">
        <f>IF(V52=0,"",VLOOKUP(V52,'Tablas Magia'!$D$6:$Z$680,12,FALSE))</f>
        <v>150</v>
      </c>
      <c r="Z55" s="1165">
        <f>IF(V52=0,"",VLOOKUP(V52,'Tablas Magia'!$D$6:$Z$680,16,FALSE))</f>
        <v>20</v>
      </c>
      <c r="AA55" s="5433" t="str">
        <f>IF(V52=0,"",VLOOKUP(V52,'Tablas Magia'!$D$6:$Z$680,20,FALSE))</f>
        <v>Radio de 150 metros / RM 140</v>
      </c>
      <c r="AB55" s="5434"/>
      <c r="AC55" s="5434"/>
      <c r="AD55" s="5434"/>
      <c r="AE55" s="5434"/>
      <c r="AF55" s="5434"/>
      <c r="AG55" s="5434"/>
      <c r="AH55" s="5434"/>
      <c r="AI55" s="5434"/>
      <c r="AJ55" s="5435"/>
      <c r="AK55" s="1143"/>
      <c r="AL55" s="1137"/>
      <c r="AM55" s="1137"/>
      <c r="AN55" s="2122"/>
      <c r="AO55" s="5431" t="s">
        <v>4572</v>
      </c>
      <c r="AP55" s="5432"/>
      <c r="AQ55" s="1164">
        <f>IF(AO52=0,"",VLOOKUP(AO52,'Tablas Magia'!$D$6:$Z$680,8,FALSE))</f>
        <v>9</v>
      </c>
      <c r="AR55" s="1164">
        <f>IF(AO52=0,"",VLOOKUP(AO52,'Tablas Magia'!$D$6:$Z$680,12,FALSE))</f>
        <v>180</v>
      </c>
      <c r="AS55" s="1165">
        <f>IF(AO52=0,"",VLOOKUP(AO52,'Tablas Magia'!$D$6:$Z$680,16,FALSE))</f>
        <v>10</v>
      </c>
      <c r="AT55" s="5433" t="str">
        <f>IF(AO52=0,"",VLOOKUP(AO52,'Tablas Magia'!$D$6:$Z$680,20,FALSE))</f>
        <v>RM o RP 160 / 80 metros de distancia</v>
      </c>
      <c r="AU55" s="5434"/>
      <c r="AV55" s="5434"/>
      <c r="AW55" s="5434"/>
      <c r="AX55" s="5434"/>
      <c r="AY55" s="5434"/>
      <c r="AZ55" s="5434"/>
      <c r="BA55" s="5434"/>
      <c r="BB55" s="5434"/>
      <c r="BC55" s="5435"/>
      <c r="BD55" s="1143"/>
      <c r="BE55" s="1137"/>
      <c r="BF55" s="1137"/>
      <c r="BG55" s="2122"/>
      <c r="BH55" s="5431" t="s">
        <v>4572</v>
      </c>
      <c r="BI55" s="5432"/>
      <c r="BJ55" s="1164">
        <f>IF(BH52=0,"",VLOOKUP(BH52,'Tablas Magia'!$D$6:$Z$680,8,FALSE))</f>
        <v>12</v>
      </c>
      <c r="BK55" s="1164">
        <f>IF(BH52=0,"",VLOOKUP(BH52,'Tablas Magia'!$D$6:$Z$680,12,FALSE))</f>
        <v>200</v>
      </c>
      <c r="BL55" s="1165">
        <f>IF(BH52=0,"",VLOOKUP(BH52,'Tablas Magia'!$D$6:$Z$680,16,FALSE))</f>
        <v>10</v>
      </c>
      <c r="BM55" s="5433" t="str">
        <f>IF(BH52=0,"",VLOOKUP(BH52,'Tablas Magia'!$D$6:$Z$680,20,FALSE))</f>
        <v>Visible en 5 kilómetros de radio / RM o RP 150</v>
      </c>
      <c r="BN55" s="5434"/>
      <c r="BO55" s="5434"/>
      <c r="BP55" s="5434"/>
      <c r="BQ55" s="5434"/>
      <c r="BR55" s="5434"/>
      <c r="BS55" s="5434"/>
      <c r="BT55" s="5434"/>
      <c r="BU55" s="5434"/>
      <c r="BV55" s="5435"/>
      <c r="BW55" s="1143"/>
      <c r="BX55" s="1137"/>
      <c r="BY55" s="1137"/>
      <c r="BZ55" s="2122"/>
      <c r="CA55" s="5431" t="s">
        <v>4572</v>
      </c>
      <c r="CB55" s="5432"/>
      <c r="CC55" s="1164">
        <f>IF(CA52=0,"",VLOOKUP(CA52,'Tablas Magia'!$D$6:$Z$680,8,FALSE))</f>
        <v>12</v>
      </c>
      <c r="CD55" s="1164">
        <f>IF(CA52=0,"",VLOOKUP(CA52,'Tablas Magia'!$D$6:$Z$680,12,FALSE))</f>
        <v>300</v>
      </c>
      <c r="CE55" s="1165" t="str">
        <f>IF(CA52=0,"",VLOOKUP(CA52,'Tablas Magia'!$D$6:$Z$680,16,FALSE))</f>
        <v>No</v>
      </c>
      <c r="CF55" s="5433" t="str">
        <f>IF(CA52=0,"",VLOOKUP(CA52,'Tablas Magia'!$D$6:$Z$680,20,FALSE))</f>
        <v>Cinco años</v>
      </c>
      <c r="CG55" s="5434"/>
      <c r="CH55" s="5434"/>
      <c r="CI55" s="5434"/>
      <c r="CJ55" s="5434"/>
      <c r="CK55" s="5434"/>
      <c r="CL55" s="5434"/>
      <c r="CM55" s="5434"/>
      <c r="CN55" s="5434"/>
      <c r="CO55" s="5435"/>
      <c r="CP55" s="1143"/>
      <c r="CQ55" s="1137"/>
    </row>
    <row r="56" spans="1:95" ht="12" customHeight="1" x14ac:dyDescent="0.2">
      <c r="A56" s="1137"/>
      <c r="B56" s="2108"/>
      <c r="C56" s="5426" t="s">
        <v>4573</v>
      </c>
      <c r="D56" s="5427"/>
      <c r="E56" s="1162">
        <f>IF(C52=0,"",VLOOKUP(C52,'Tablas Magia'!$D$6:$Z$680,9,FALSE))</f>
        <v>10</v>
      </c>
      <c r="F56" s="1162">
        <f>IF(C52=0,"",VLOOKUP(C52,'Tablas Magia'!$D$6:$Z$680,13,FALSE))</f>
        <v>180</v>
      </c>
      <c r="G56" s="1163">
        <f>IF(C52=0,"",VLOOKUP(C52,'Tablas Magia'!$D$6:$Z$680,17,FALSE))</f>
        <v>20</v>
      </c>
      <c r="H56" s="5428" t="str">
        <f>IF(C52=0,"",VLOOKUP(C52,'Tablas Magia'!$D$6:$Z$680,21,FALSE))</f>
        <v>El escudo tiene 1.800 puntos de Resistencia</v>
      </c>
      <c r="I56" s="5429"/>
      <c r="J56" s="5429"/>
      <c r="K56" s="5429"/>
      <c r="L56" s="5429"/>
      <c r="M56" s="5429"/>
      <c r="N56" s="5429"/>
      <c r="O56" s="5429"/>
      <c r="P56" s="5429"/>
      <c r="Q56" s="5430"/>
      <c r="R56" s="1143"/>
      <c r="S56" s="1137"/>
      <c r="T56" s="1137"/>
      <c r="U56" s="2108"/>
      <c r="V56" s="5426" t="s">
        <v>4573</v>
      </c>
      <c r="W56" s="5427"/>
      <c r="X56" s="1162">
        <f>IF(V52=0,"",VLOOKUP(V52,'Tablas Magia'!$D$6:$Z$680,9,FALSE))</f>
        <v>12</v>
      </c>
      <c r="Y56" s="1162">
        <f>IF(V52=0,"",VLOOKUP(V52,'Tablas Magia'!$D$6:$Z$680,13,FALSE))</f>
        <v>250</v>
      </c>
      <c r="Z56" s="1163">
        <f>IF(V52=0,"",VLOOKUP(V52,'Tablas Magia'!$D$6:$Z$680,17,FALSE))</f>
        <v>25</v>
      </c>
      <c r="AA56" s="5428" t="str">
        <f>IF(V52=0,"",VLOOKUP(V52,'Tablas Magia'!$D$6:$Z$680,21,FALSE))</f>
        <v>Radio de 300 metros y RM 180.</v>
      </c>
      <c r="AB56" s="5429"/>
      <c r="AC56" s="5429"/>
      <c r="AD56" s="5429"/>
      <c r="AE56" s="5429"/>
      <c r="AF56" s="5429"/>
      <c r="AG56" s="5429"/>
      <c r="AH56" s="5429"/>
      <c r="AI56" s="5429"/>
      <c r="AJ56" s="5430"/>
      <c r="AK56" s="1143"/>
      <c r="AL56" s="1137"/>
      <c r="AM56" s="1137"/>
      <c r="AN56" s="2122"/>
      <c r="AO56" s="5426" t="s">
        <v>4573</v>
      </c>
      <c r="AP56" s="5427"/>
      <c r="AQ56" s="1162">
        <f>IF(AO52=0,"",VLOOKUP(AO52,'Tablas Magia'!$D$6:$Z$680,9,FALSE))</f>
        <v>12</v>
      </c>
      <c r="AR56" s="1162">
        <f>IF(AO52=0,"",VLOOKUP(AO52,'Tablas Magia'!$D$6:$Z$680,13,FALSE))</f>
        <v>240</v>
      </c>
      <c r="AS56" s="1163">
        <f>IF(AO52=0,"",VLOOKUP(AO52,'Tablas Magia'!$D$6:$Z$680,17,FALSE))</f>
        <v>15</v>
      </c>
      <c r="AT56" s="5428" t="str">
        <f>IF(AO52=0,"",VLOOKUP(AO52,'Tablas Magia'!$D$6:$Z$680,21,FALSE))</f>
        <v>RM o RP 200 / 140 metros de distancia</v>
      </c>
      <c r="AU56" s="5429"/>
      <c r="AV56" s="5429"/>
      <c r="AW56" s="5429"/>
      <c r="AX56" s="5429"/>
      <c r="AY56" s="5429"/>
      <c r="AZ56" s="5429"/>
      <c r="BA56" s="5429"/>
      <c r="BB56" s="5429"/>
      <c r="BC56" s="5430"/>
      <c r="BD56" s="1143"/>
      <c r="BE56" s="1137"/>
      <c r="BF56" s="1137"/>
      <c r="BG56" s="2122"/>
      <c r="BH56" s="5426" t="s">
        <v>4573</v>
      </c>
      <c r="BI56" s="5427"/>
      <c r="BJ56" s="1162">
        <f>IF(BH52=0,"",VLOOKUP(BH52,'Tablas Magia'!$D$6:$Z$680,9,FALSE))</f>
        <v>14</v>
      </c>
      <c r="BK56" s="1162">
        <f>IF(BH52=0,"",VLOOKUP(BH52,'Tablas Magia'!$D$6:$Z$680,13,FALSE))</f>
        <v>2880</v>
      </c>
      <c r="BL56" s="1163">
        <f>IF(BH52=0,"",VLOOKUP(BH52,'Tablas Magia'!$D$6:$Z$680,17,FALSE))</f>
        <v>10</v>
      </c>
      <c r="BM56" s="5428" t="str">
        <f>IF(BH52=0,"",VLOOKUP(BH52,'Tablas Magia'!$D$6:$Z$680,21,FALSE))</f>
        <v>Visible en 15 kilómetros de radio / RM o RP 180.</v>
      </c>
      <c r="BN56" s="5429"/>
      <c r="BO56" s="5429"/>
      <c r="BP56" s="5429"/>
      <c r="BQ56" s="5429"/>
      <c r="BR56" s="5429"/>
      <c r="BS56" s="5429"/>
      <c r="BT56" s="5429"/>
      <c r="BU56" s="5429"/>
      <c r="BV56" s="5430"/>
      <c r="BW56" s="1143"/>
      <c r="BX56" s="1137"/>
      <c r="BY56" s="1137"/>
      <c r="BZ56" s="2122"/>
      <c r="CA56" s="5426" t="s">
        <v>4573</v>
      </c>
      <c r="CB56" s="5427"/>
      <c r="CC56" s="1162">
        <f>IF(CA52=0,"",VLOOKUP(CA52,'Tablas Magia'!$D$6:$Z$680,9,FALSE))</f>
        <v>14</v>
      </c>
      <c r="CD56" s="1162">
        <f>IF(CA52=0,"",VLOOKUP(CA52,'Tablas Magia'!$D$6:$Z$680,13,FALSE))</f>
        <v>450</v>
      </c>
      <c r="CE56" s="1163" t="str">
        <f>IF(CA52=0,"",VLOOKUP(CA52,'Tablas Magia'!$D$6:$Z$680,17,FALSE))</f>
        <v>No</v>
      </c>
      <c r="CF56" s="5428" t="str">
        <f>IF(CA52=0,"",VLOOKUP(CA52,'Tablas Magia'!$D$6:$Z$680,21,FALSE))</f>
        <v>Cincuenta años / Si ocurrirá en menos de un día, será muy exacta</v>
      </c>
      <c r="CG56" s="5429"/>
      <c r="CH56" s="5429"/>
      <c r="CI56" s="5429"/>
      <c r="CJ56" s="5429"/>
      <c r="CK56" s="5429"/>
      <c r="CL56" s="5429"/>
      <c r="CM56" s="5429"/>
      <c r="CN56" s="5429"/>
      <c r="CO56" s="5430"/>
      <c r="CP56" s="1143"/>
      <c r="CQ56" s="1137"/>
    </row>
    <row r="57" spans="1:95" ht="12" customHeight="1" thickBot="1" x14ac:dyDescent="0.25">
      <c r="A57" s="1137"/>
      <c r="B57" s="2108"/>
      <c r="C57" s="5436" t="s">
        <v>4574</v>
      </c>
      <c r="D57" s="5437"/>
      <c r="E57" s="1166">
        <f>IF(C52=0,"",VLOOKUP(C52,'Tablas Magia'!$D$6:$Z$680,10,FALSE))</f>
        <v>14</v>
      </c>
      <c r="F57" s="1166">
        <f>IF(C52=0,"",VLOOKUP(C52,'Tablas Magia'!$D$6:$Z$680,14,FALSE))</f>
        <v>250</v>
      </c>
      <c r="G57" s="1167">
        <f>IF(C52=0,"",VLOOKUP(C52,'Tablas Magia'!$D$6:$Z$680,18,FALSE))</f>
        <v>25</v>
      </c>
      <c r="H57" s="5438" t="str">
        <f>IF(C52=0,"",VLOOKUP(C52,'Tablas Magia'!$D$6:$Z$680,22,FALSE))</f>
        <v>El escudo tiene 3.000 puntos de Resistencia</v>
      </c>
      <c r="I57" s="5439"/>
      <c r="J57" s="5439"/>
      <c r="K57" s="5439"/>
      <c r="L57" s="5439"/>
      <c r="M57" s="5439"/>
      <c r="N57" s="5439"/>
      <c r="O57" s="5439"/>
      <c r="P57" s="5439"/>
      <c r="Q57" s="5440"/>
      <c r="R57" s="1143"/>
      <c r="S57" s="1137"/>
      <c r="T57" s="1137"/>
      <c r="U57" s="2108"/>
      <c r="V57" s="5436" t="s">
        <v>4574</v>
      </c>
      <c r="W57" s="5437"/>
      <c r="X57" s="1166">
        <f>IF(V52=0,"",VLOOKUP(V52,'Tablas Magia'!$D$6:$Z$680,10,FALSE))</f>
        <v>15</v>
      </c>
      <c r="Y57" s="1166">
        <f>IF(V52=0,"",VLOOKUP(V52,'Tablas Magia'!$D$6:$Z$680,14,FALSE))</f>
        <v>250</v>
      </c>
      <c r="Z57" s="1167">
        <f>IF(V52=0,"",VLOOKUP(V52,'Tablas Magia'!$D$6:$Z$680,18,FALSE))</f>
        <v>30</v>
      </c>
      <c r="AA57" s="5438" t="str">
        <f>IF(V52=0,"",VLOOKUP(V52,'Tablas Magia'!$D$6:$Z$680,22,FALSE))</f>
        <v>Radio de 500 metros / RM 220</v>
      </c>
      <c r="AB57" s="5439"/>
      <c r="AC57" s="5439"/>
      <c r="AD57" s="5439"/>
      <c r="AE57" s="5439"/>
      <c r="AF57" s="5439"/>
      <c r="AG57" s="5439"/>
      <c r="AH57" s="5439"/>
      <c r="AI57" s="5439"/>
      <c r="AJ57" s="5440"/>
      <c r="AK57" s="1143"/>
      <c r="AL57" s="1137"/>
      <c r="AM57" s="1137"/>
      <c r="AN57" s="2122"/>
      <c r="AO57" s="5436" t="s">
        <v>4574</v>
      </c>
      <c r="AP57" s="5437"/>
      <c r="AQ57" s="1166">
        <f>IF(AO52=0,"",VLOOKUP(AO52,'Tablas Magia'!$D$6:$Z$680,10,FALSE))</f>
        <v>15</v>
      </c>
      <c r="AR57" s="1166">
        <f>IF(AO52=0,"",VLOOKUP(AO52,'Tablas Magia'!$D$6:$Z$680,14,FALSE))</f>
        <v>300</v>
      </c>
      <c r="AS57" s="1167">
        <f>IF(AO52=0,"",VLOOKUP(AO52,'Tablas Magia'!$D$6:$Z$680,18,FALSE))</f>
        <v>15</v>
      </c>
      <c r="AT57" s="5438" t="str">
        <f>IF(AO52=0,"",VLOOKUP(AO52,'Tablas Magia'!$D$6:$Z$680,22,FALSE))</f>
        <v>RM o RP 240 / 200 metros de distancia</v>
      </c>
      <c r="AU57" s="5439"/>
      <c r="AV57" s="5439"/>
      <c r="AW57" s="5439"/>
      <c r="AX57" s="5439"/>
      <c r="AY57" s="5439"/>
      <c r="AZ57" s="5439"/>
      <c r="BA57" s="5439"/>
      <c r="BB57" s="5439"/>
      <c r="BC57" s="5440"/>
      <c r="BD57" s="1143"/>
      <c r="BE57" s="1137"/>
      <c r="BF57" s="1137"/>
      <c r="BG57" s="2122"/>
      <c r="BH57" s="5436" t="s">
        <v>4574</v>
      </c>
      <c r="BI57" s="5437"/>
      <c r="BJ57" s="1166">
        <f>IF(BH52=0,"",VLOOKUP(BH52,'Tablas Magia'!$D$6:$Z$680,10,FALSE))</f>
        <v>16</v>
      </c>
      <c r="BK57" s="1166">
        <f>IF(BH52=0,"",VLOOKUP(BH52,'Tablas Magia'!$D$6:$Z$680,14,FALSE))</f>
        <v>360</v>
      </c>
      <c r="BL57" s="1167">
        <f>IF(BH52=0,"",VLOOKUP(BH52,'Tablas Magia'!$D$6:$Z$680,18,FALSE))</f>
        <v>15</v>
      </c>
      <c r="BM57" s="5438" t="str">
        <f>IF(BH52=0,"",VLOOKUP(BH52,'Tablas Magia'!$D$6:$Z$680,22,FALSE))</f>
        <v>Visible en 25 kilómetros de radio / RM o RP 220</v>
      </c>
      <c r="BN57" s="5439"/>
      <c r="BO57" s="5439"/>
      <c r="BP57" s="5439"/>
      <c r="BQ57" s="5439"/>
      <c r="BR57" s="5439"/>
      <c r="BS57" s="5439"/>
      <c r="BT57" s="5439"/>
      <c r="BU57" s="5439"/>
      <c r="BV57" s="5440"/>
      <c r="BW57" s="1143"/>
      <c r="BX57" s="1137"/>
      <c r="BY57" s="1137"/>
      <c r="BZ57" s="2122"/>
      <c r="CA57" s="5436" t="s">
        <v>4574</v>
      </c>
      <c r="CB57" s="5437"/>
      <c r="CC57" s="1166">
        <f>IF(CA52=0,"",VLOOKUP(CA52,'Tablas Magia'!$D$6:$Z$680,10,FALSE))</f>
        <v>16</v>
      </c>
      <c r="CD57" s="1166">
        <f>IF(CA52=0,"",VLOOKUP(CA52,'Tablas Magia'!$D$6:$Z$680,14,FALSE))</f>
        <v>600</v>
      </c>
      <c r="CE57" s="1167" t="str">
        <f>IF(CA52=0,"",VLOOKUP(CA52,'Tablas Magia'!$D$6:$Z$680,18,FALSE))</f>
        <v>No</v>
      </c>
      <c r="CF57" s="5438" t="str">
        <f>IF(CA52=0,"",VLOOKUP(CA52,'Tablas Magia'!$D$6:$Z$680,22,FALSE))</f>
        <v>Un siglo / Si ocurrirá en menos de un año, será bastante exacta.</v>
      </c>
      <c r="CG57" s="5439"/>
      <c r="CH57" s="5439"/>
      <c r="CI57" s="5439"/>
      <c r="CJ57" s="5439"/>
      <c r="CK57" s="5439"/>
      <c r="CL57" s="5439"/>
      <c r="CM57" s="5439"/>
      <c r="CN57" s="5439"/>
      <c r="CO57" s="5440"/>
      <c r="CP57" s="1143"/>
      <c r="CQ57" s="1137"/>
    </row>
    <row r="58" spans="1:95" ht="12" customHeight="1" x14ac:dyDescent="0.2">
      <c r="A58" s="1137"/>
      <c r="B58" s="2108"/>
      <c r="C58" s="5441"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42"/>
      <c r="E58" s="5442"/>
      <c r="F58" s="5442"/>
      <c r="G58" s="5442"/>
      <c r="H58" s="5442"/>
      <c r="I58" s="5442"/>
      <c r="J58" s="5442"/>
      <c r="K58" s="5442"/>
      <c r="L58" s="5442"/>
      <c r="M58" s="5442"/>
      <c r="N58" s="5442"/>
      <c r="O58" s="5442"/>
      <c r="P58" s="5442"/>
      <c r="Q58" s="5443"/>
      <c r="R58" s="1143"/>
      <c r="S58" s="1137"/>
      <c r="T58" s="1137"/>
      <c r="U58" s="2108"/>
      <c r="V58" s="5441"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42"/>
      <c r="X58" s="5442"/>
      <c r="Y58" s="5442"/>
      <c r="Z58" s="5442"/>
      <c r="AA58" s="5442"/>
      <c r="AB58" s="5442"/>
      <c r="AC58" s="5442"/>
      <c r="AD58" s="5442"/>
      <c r="AE58" s="5442"/>
      <c r="AF58" s="5442"/>
      <c r="AG58" s="5442"/>
      <c r="AH58" s="5442"/>
      <c r="AI58" s="5442"/>
      <c r="AJ58" s="5443"/>
      <c r="AK58" s="1143"/>
      <c r="AL58" s="1137"/>
      <c r="AM58" s="1137"/>
      <c r="AN58" s="2122"/>
      <c r="AO58" s="5441"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42"/>
      <c r="AQ58" s="5442"/>
      <c r="AR58" s="5442"/>
      <c r="AS58" s="5442"/>
      <c r="AT58" s="5442"/>
      <c r="AU58" s="5442"/>
      <c r="AV58" s="5442"/>
      <c r="AW58" s="5442"/>
      <c r="AX58" s="5442"/>
      <c r="AY58" s="5442"/>
      <c r="AZ58" s="5442"/>
      <c r="BA58" s="5442"/>
      <c r="BB58" s="5442"/>
      <c r="BC58" s="5443"/>
      <c r="BD58" s="1143"/>
      <c r="BE58" s="1137"/>
      <c r="BF58" s="1137"/>
      <c r="BG58" s="2122"/>
      <c r="BH58" s="5441"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42"/>
      <c r="BJ58" s="5442"/>
      <c r="BK58" s="5442"/>
      <c r="BL58" s="5442"/>
      <c r="BM58" s="5442"/>
      <c r="BN58" s="5442"/>
      <c r="BO58" s="5442"/>
      <c r="BP58" s="5442"/>
      <c r="BQ58" s="5442"/>
      <c r="BR58" s="5442"/>
      <c r="BS58" s="5442"/>
      <c r="BT58" s="5442"/>
      <c r="BU58" s="5442"/>
      <c r="BV58" s="5443"/>
      <c r="BW58" s="1143"/>
      <c r="BX58" s="1137"/>
      <c r="BY58" s="1137"/>
      <c r="BZ58" s="2122"/>
      <c r="CA58" s="5441"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42"/>
      <c r="CC58" s="5442"/>
      <c r="CD58" s="5442"/>
      <c r="CE58" s="5442"/>
      <c r="CF58" s="5442"/>
      <c r="CG58" s="5442"/>
      <c r="CH58" s="5442"/>
      <c r="CI58" s="5442"/>
      <c r="CJ58" s="5442"/>
      <c r="CK58" s="5442"/>
      <c r="CL58" s="5442"/>
      <c r="CM58" s="5442"/>
      <c r="CN58" s="5442"/>
      <c r="CO58" s="5443"/>
      <c r="CP58" s="1143"/>
      <c r="CQ58" s="1137"/>
    </row>
    <row r="59" spans="1:95" ht="12" customHeight="1" x14ac:dyDescent="0.2">
      <c r="A59" s="1137"/>
      <c r="B59" s="2108"/>
      <c r="C59" s="5444"/>
      <c r="D59" s="5445"/>
      <c r="E59" s="5445"/>
      <c r="F59" s="5445"/>
      <c r="G59" s="5445"/>
      <c r="H59" s="5445"/>
      <c r="I59" s="5445"/>
      <c r="J59" s="5445"/>
      <c r="K59" s="5445"/>
      <c r="L59" s="5445"/>
      <c r="M59" s="5445"/>
      <c r="N59" s="5445"/>
      <c r="O59" s="5445"/>
      <c r="P59" s="5445"/>
      <c r="Q59" s="5446"/>
      <c r="R59" s="1143"/>
      <c r="S59" s="1137"/>
      <c r="T59" s="1137"/>
      <c r="U59" s="2108"/>
      <c r="V59" s="5444"/>
      <c r="W59" s="5445"/>
      <c r="X59" s="5445"/>
      <c r="Y59" s="5445"/>
      <c r="Z59" s="5445"/>
      <c r="AA59" s="5445"/>
      <c r="AB59" s="5445"/>
      <c r="AC59" s="5445"/>
      <c r="AD59" s="5445"/>
      <c r="AE59" s="5445"/>
      <c r="AF59" s="5445"/>
      <c r="AG59" s="5445"/>
      <c r="AH59" s="5445"/>
      <c r="AI59" s="5445"/>
      <c r="AJ59" s="5446"/>
      <c r="AK59" s="1143"/>
      <c r="AL59" s="1137"/>
      <c r="AM59" s="1137"/>
      <c r="AN59" s="2122"/>
      <c r="AO59" s="5444"/>
      <c r="AP59" s="5445"/>
      <c r="AQ59" s="5445"/>
      <c r="AR59" s="5445"/>
      <c r="AS59" s="5445"/>
      <c r="AT59" s="5445"/>
      <c r="AU59" s="5445"/>
      <c r="AV59" s="5445"/>
      <c r="AW59" s="5445"/>
      <c r="AX59" s="5445"/>
      <c r="AY59" s="5445"/>
      <c r="AZ59" s="5445"/>
      <c r="BA59" s="5445"/>
      <c r="BB59" s="5445"/>
      <c r="BC59" s="5446"/>
      <c r="BD59" s="1143"/>
      <c r="BE59" s="1137"/>
      <c r="BF59" s="1137"/>
      <c r="BG59" s="2122"/>
      <c r="BH59" s="5444"/>
      <c r="BI59" s="5445"/>
      <c r="BJ59" s="5445"/>
      <c r="BK59" s="5445"/>
      <c r="BL59" s="5445"/>
      <c r="BM59" s="5445"/>
      <c r="BN59" s="5445"/>
      <c r="BO59" s="5445"/>
      <c r="BP59" s="5445"/>
      <c r="BQ59" s="5445"/>
      <c r="BR59" s="5445"/>
      <c r="BS59" s="5445"/>
      <c r="BT59" s="5445"/>
      <c r="BU59" s="5445"/>
      <c r="BV59" s="5446"/>
      <c r="BW59" s="1143"/>
      <c r="BX59" s="1137"/>
      <c r="BY59" s="1137"/>
      <c r="BZ59" s="2122"/>
      <c r="CA59" s="5444"/>
      <c r="CB59" s="5445"/>
      <c r="CC59" s="5445"/>
      <c r="CD59" s="5445"/>
      <c r="CE59" s="5445"/>
      <c r="CF59" s="5445"/>
      <c r="CG59" s="5445"/>
      <c r="CH59" s="5445"/>
      <c r="CI59" s="5445"/>
      <c r="CJ59" s="5445"/>
      <c r="CK59" s="5445"/>
      <c r="CL59" s="5445"/>
      <c r="CM59" s="5445"/>
      <c r="CN59" s="5445"/>
      <c r="CO59" s="5446"/>
      <c r="CP59" s="1143"/>
      <c r="CQ59" s="1137"/>
    </row>
    <row r="60" spans="1:95" ht="12" customHeight="1" x14ac:dyDescent="0.2">
      <c r="A60" s="1137"/>
      <c r="B60" s="2108"/>
      <c r="C60" s="5444"/>
      <c r="D60" s="5445"/>
      <c r="E60" s="5445"/>
      <c r="F60" s="5445"/>
      <c r="G60" s="5445"/>
      <c r="H60" s="5445"/>
      <c r="I60" s="5445"/>
      <c r="J60" s="5445"/>
      <c r="K60" s="5445"/>
      <c r="L60" s="5445"/>
      <c r="M60" s="5445"/>
      <c r="N60" s="5445"/>
      <c r="O60" s="5445"/>
      <c r="P60" s="5445"/>
      <c r="Q60" s="5446"/>
      <c r="R60" s="1143"/>
      <c r="S60" s="1137"/>
      <c r="T60" s="1137"/>
      <c r="U60" s="2108"/>
      <c r="V60" s="5444"/>
      <c r="W60" s="5445"/>
      <c r="X60" s="5445"/>
      <c r="Y60" s="5445"/>
      <c r="Z60" s="5445"/>
      <c r="AA60" s="5445"/>
      <c r="AB60" s="5445"/>
      <c r="AC60" s="5445"/>
      <c r="AD60" s="5445"/>
      <c r="AE60" s="5445"/>
      <c r="AF60" s="5445"/>
      <c r="AG60" s="5445"/>
      <c r="AH60" s="5445"/>
      <c r="AI60" s="5445"/>
      <c r="AJ60" s="5446"/>
      <c r="AK60" s="1143"/>
      <c r="AL60" s="1137"/>
      <c r="AM60" s="1137"/>
      <c r="AN60" s="2122"/>
      <c r="AO60" s="5444"/>
      <c r="AP60" s="5445"/>
      <c r="AQ60" s="5445"/>
      <c r="AR60" s="5445"/>
      <c r="AS60" s="5445"/>
      <c r="AT60" s="5445"/>
      <c r="AU60" s="5445"/>
      <c r="AV60" s="5445"/>
      <c r="AW60" s="5445"/>
      <c r="AX60" s="5445"/>
      <c r="AY60" s="5445"/>
      <c r="AZ60" s="5445"/>
      <c r="BA60" s="5445"/>
      <c r="BB60" s="5445"/>
      <c r="BC60" s="5446"/>
      <c r="BD60" s="1143"/>
      <c r="BE60" s="1137"/>
      <c r="BF60" s="1137"/>
      <c r="BG60" s="2122"/>
      <c r="BH60" s="5444"/>
      <c r="BI60" s="5445"/>
      <c r="BJ60" s="5445"/>
      <c r="BK60" s="5445"/>
      <c r="BL60" s="5445"/>
      <c r="BM60" s="5445"/>
      <c r="BN60" s="5445"/>
      <c r="BO60" s="5445"/>
      <c r="BP60" s="5445"/>
      <c r="BQ60" s="5445"/>
      <c r="BR60" s="5445"/>
      <c r="BS60" s="5445"/>
      <c r="BT60" s="5445"/>
      <c r="BU60" s="5445"/>
      <c r="BV60" s="5446"/>
      <c r="BW60" s="1143"/>
      <c r="BX60" s="1137"/>
      <c r="BY60" s="1137"/>
      <c r="BZ60" s="2122"/>
      <c r="CA60" s="5444"/>
      <c r="CB60" s="5445"/>
      <c r="CC60" s="5445"/>
      <c r="CD60" s="5445"/>
      <c r="CE60" s="5445"/>
      <c r="CF60" s="5445"/>
      <c r="CG60" s="5445"/>
      <c r="CH60" s="5445"/>
      <c r="CI60" s="5445"/>
      <c r="CJ60" s="5445"/>
      <c r="CK60" s="5445"/>
      <c r="CL60" s="5445"/>
      <c r="CM60" s="5445"/>
      <c r="CN60" s="5445"/>
      <c r="CO60" s="5446"/>
      <c r="CP60" s="1143"/>
      <c r="CQ60" s="1137"/>
    </row>
    <row r="61" spans="1:95" ht="12" customHeight="1" thickBot="1" x14ac:dyDescent="0.25">
      <c r="A61" s="1137"/>
      <c r="B61" s="2108"/>
      <c r="C61" s="5447"/>
      <c r="D61" s="5448"/>
      <c r="E61" s="5448"/>
      <c r="F61" s="5448"/>
      <c r="G61" s="5448"/>
      <c r="H61" s="5448"/>
      <c r="I61" s="5448"/>
      <c r="J61" s="5448"/>
      <c r="K61" s="5448"/>
      <c r="L61" s="5448"/>
      <c r="M61" s="5448"/>
      <c r="N61" s="5448"/>
      <c r="O61" s="5448"/>
      <c r="P61" s="5448"/>
      <c r="Q61" s="5449"/>
      <c r="R61" s="1143"/>
      <c r="S61" s="1137"/>
      <c r="T61" s="1137"/>
      <c r="U61" s="2108"/>
      <c r="V61" s="5447"/>
      <c r="W61" s="5448"/>
      <c r="X61" s="5448"/>
      <c r="Y61" s="5448"/>
      <c r="Z61" s="5448"/>
      <c r="AA61" s="5448"/>
      <c r="AB61" s="5448"/>
      <c r="AC61" s="5448"/>
      <c r="AD61" s="5448"/>
      <c r="AE61" s="5448"/>
      <c r="AF61" s="5448"/>
      <c r="AG61" s="5448"/>
      <c r="AH61" s="5448"/>
      <c r="AI61" s="5448"/>
      <c r="AJ61" s="5449"/>
      <c r="AK61" s="1143"/>
      <c r="AL61" s="1137"/>
      <c r="AM61" s="1137"/>
      <c r="AN61" s="2122"/>
      <c r="AO61" s="5447"/>
      <c r="AP61" s="5448"/>
      <c r="AQ61" s="5448"/>
      <c r="AR61" s="5448"/>
      <c r="AS61" s="5448"/>
      <c r="AT61" s="5448"/>
      <c r="AU61" s="5448"/>
      <c r="AV61" s="5448"/>
      <c r="AW61" s="5448"/>
      <c r="AX61" s="5448"/>
      <c r="AY61" s="5448"/>
      <c r="AZ61" s="5448"/>
      <c r="BA61" s="5448"/>
      <c r="BB61" s="5448"/>
      <c r="BC61" s="5449"/>
      <c r="BD61" s="1143"/>
      <c r="BE61" s="1137"/>
      <c r="BF61" s="1137"/>
      <c r="BG61" s="2122"/>
      <c r="BH61" s="5447"/>
      <c r="BI61" s="5448"/>
      <c r="BJ61" s="5448"/>
      <c r="BK61" s="5448"/>
      <c r="BL61" s="5448"/>
      <c r="BM61" s="5448"/>
      <c r="BN61" s="5448"/>
      <c r="BO61" s="5448"/>
      <c r="BP61" s="5448"/>
      <c r="BQ61" s="5448"/>
      <c r="BR61" s="5448"/>
      <c r="BS61" s="5448"/>
      <c r="BT61" s="5448"/>
      <c r="BU61" s="5448"/>
      <c r="BV61" s="5449"/>
      <c r="BW61" s="1143"/>
      <c r="BX61" s="1137"/>
      <c r="BY61" s="1137"/>
      <c r="BZ61" s="2122"/>
      <c r="CA61" s="5447"/>
      <c r="CB61" s="5448"/>
      <c r="CC61" s="5448"/>
      <c r="CD61" s="5448"/>
      <c r="CE61" s="5448"/>
      <c r="CF61" s="5448"/>
      <c r="CG61" s="5448"/>
      <c r="CH61" s="5448"/>
      <c r="CI61" s="5448"/>
      <c r="CJ61" s="5448"/>
      <c r="CK61" s="5448"/>
      <c r="CL61" s="5448"/>
      <c r="CM61" s="5448"/>
      <c r="CN61" s="5448"/>
      <c r="CO61" s="5449"/>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63" t="str">
        <f>B64&amp;"-"&amp;B108</f>
        <v>12-20</v>
      </c>
      <c r="D63" s="5463"/>
      <c r="E63" s="5463"/>
      <c r="F63" s="5463"/>
      <c r="G63" s="5463"/>
      <c r="H63" s="5463"/>
      <c r="I63" s="5463"/>
      <c r="J63" s="5463"/>
      <c r="K63" s="5463"/>
      <c r="L63" s="5463"/>
      <c r="M63" s="5463"/>
      <c r="N63" s="5463"/>
      <c r="O63" s="5463"/>
      <c r="P63" s="5463"/>
      <c r="Q63" s="5463"/>
      <c r="R63" s="2121"/>
      <c r="S63" s="1137"/>
      <c r="T63" s="1137"/>
      <c r="U63" s="2125"/>
      <c r="V63" s="5463" t="str">
        <f>U64&amp;"-"&amp;U108</f>
        <v>32-40</v>
      </c>
      <c r="W63" s="5463"/>
      <c r="X63" s="5463"/>
      <c r="Y63" s="5463"/>
      <c r="Z63" s="5463"/>
      <c r="AA63" s="5463"/>
      <c r="AB63" s="5463"/>
      <c r="AC63" s="5463"/>
      <c r="AD63" s="5463"/>
      <c r="AE63" s="5463"/>
      <c r="AF63" s="5463"/>
      <c r="AG63" s="5463"/>
      <c r="AH63" s="5463"/>
      <c r="AI63" s="5463"/>
      <c r="AJ63" s="5463"/>
      <c r="AK63" s="2120"/>
      <c r="AL63" s="1137"/>
      <c r="AM63" s="2123"/>
      <c r="AN63" s="2119"/>
      <c r="AO63" s="5463" t="str">
        <f>AN64&amp;"-"&amp;AN108</f>
        <v>52-60</v>
      </c>
      <c r="AP63" s="5463"/>
      <c r="AQ63" s="5463"/>
      <c r="AR63" s="5463"/>
      <c r="AS63" s="5463"/>
      <c r="AT63" s="5463"/>
      <c r="AU63" s="5463"/>
      <c r="AV63" s="5463"/>
      <c r="AW63" s="5463"/>
      <c r="AX63" s="5463"/>
      <c r="AY63" s="5463"/>
      <c r="AZ63" s="5463"/>
      <c r="BA63" s="5463"/>
      <c r="BB63" s="5463"/>
      <c r="BC63" s="5463"/>
      <c r="BD63" s="2120"/>
      <c r="BE63" s="1137"/>
      <c r="BF63" s="1137"/>
      <c r="BG63" s="2119"/>
      <c r="BH63" s="5463" t="str">
        <f>BG64&amp;"-"&amp;BG108</f>
        <v>72-80</v>
      </c>
      <c r="BI63" s="5463"/>
      <c r="BJ63" s="5463"/>
      <c r="BK63" s="5463"/>
      <c r="BL63" s="5463"/>
      <c r="BM63" s="5463"/>
      <c r="BN63" s="5463"/>
      <c r="BO63" s="5463"/>
      <c r="BP63" s="5463"/>
      <c r="BQ63" s="5463"/>
      <c r="BR63" s="5463"/>
      <c r="BS63" s="5463"/>
      <c r="BT63" s="5463"/>
      <c r="BU63" s="5463"/>
      <c r="BV63" s="5463"/>
      <c r="BW63" s="2120"/>
      <c r="BX63" s="1137"/>
      <c r="BY63" s="1137"/>
      <c r="BZ63" s="2119"/>
      <c r="CA63" s="5463" t="str">
        <f>BZ64&amp;"-"&amp;BZ108</f>
        <v>92-100</v>
      </c>
      <c r="CB63" s="5463"/>
      <c r="CC63" s="5463"/>
      <c r="CD63" s="5463"/>
      <c r="CE63" s="5463"/>
      <c r="CF63" s="5463"/>
      <c r="CG63" s="5463"/>
      <c r="CH63" s="5463"/>
      <c r="CI63" s="5463"/>
      <c r="CJ63" s="5463"/>
      <c r="CK63" s="5463"/>
      <c r="CL63" s="5463"/>
      <c r="CM63" s="5463"/>
      <c r="CN63" s="5463"/>
      <c r="CO63" s="5463"/>
      <c r="CP63" s="2120"/>
      <c r="CQ63" s="1137"/>
    </row>
    <row r="64" spans="1:95" ht="12" customHeight="1" x14ac:dyDescent="0.2">
      <c r="A64" s="1137"/>
      <c r="B64" s="2108">
        <f>B52+2</f>
        <v>12</v>
      </c>
      <c r="C64" s="5466"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67"/>
      <c r="E64" s="5467"/>
      <c r="F64" s="5467"/>
      <c r="G64" s="5467"/>
      <c r="H64" s="1157" t="s">
        <v>1627</v>
      </c>
      <c r="I64" s="1158">
        <f>B64</f>
        <v>12</v>
      </c>
      <c r="J64" s="5454" t="s">
        <v>7687</v>
      </c>
      <c r="K64" s="5454"/>
      <c r="L64" s="5454"/>
      <c r="M64" s="5455" t="str">
        <f>IF(C64=0,"",VLOOKUP(C64,'Tablas Magia'!$D$6:$Z$680,2,FALSE))</f>
        <v>Luz</v>
      </c>
      <c r="N64" s="5455"/>
      <c r="O64" s="5455"/>
      <c r="P64" s="5455"/>
      <c r="Q64" s="5456"/>
      <c r="R64" s="1143"/>
      <c r="S64" s="1137"/>
      <c r="T64" s="1137"/>
      <c r="U64" s="2108">
        <f>U52+2</f>
        <v>32</v>
      </c>
      <c r="V64" s="5466"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67"/>
      <c r="X64" s="5467"/>
      <c r="Y64" s="5467"/>
      <c r="Z64" s="5467"/>
      <c r="AA64" s="1157" t="s">
        <v>1627</v>
      </c>
      <c r="AB64" s="1158">
        <f>U64</f>
        <v>32</v>
      </c>
      <c r="AC64" s="5454" t="s">
        <v>7687</v>
      </c>
      <c r="AD64" s="5454"/>
      <c r="AE64" s="5454"/>
      <c r="AF64" s="5455" t="str">
        <f>IF(V64=0,"",VLOOKUP(V64,'Tablas Magia'!$D$6:$Z$680,2,FALSE))</f>
        <v>Luz</v>
      </c>
      <c r="AG64" s="5455"/>
      <c r="AH64" s="5455"/>
      <c r="AI64" s="5455"/>
      <c r="AJ64" s="5456"/>
      <c r="AK64" s="1143"/>
      <c r="AL64" s="1137"/>
      <c r="AM64" s="1137"/>
      <c r="AN64" s="2122">
        <f>AN52+2</f>
        <v>52</v>
      </c>
      <c r="AO64" s="5466"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67"/>
      <c r="AQ64" s="5467"/>
      <c r="AR64" s="5467"/>
      <c r="AS64" s="5467"/>
      <c r="AT64" s="1157" t="s">
        <v>1627</v>
      </c>
      <c r="AU64" s="1158">
        <f>AN64</f>
        <v>52</v>
      </c>
      <c r="AV64" s="5454" t="s">
        <v>7687</v>
      </c>
      <c r="AW64" s="5454"/>
      <c r="AX64" s="5454"/>
      <c r="AY64" s="5455" t="str">
        <f>IF(AO64=0,"",VLOOKUP(AO64,'Tablas Magia'!$D$6:$Z$680,2,FALSE))</f>
        <v>Luz</v>
      </c>
      <c r="AZ64" s="5455"/>
      <c r="BA64" s="5455"/>
      <c r="BB64" s="5455"/>
      <c r="BC64" s="5456"/>
      <c r="BD64" s="1143"/>
      <c r="BE64" s="1137"/>
      <c r="BF64" s="1137"/>
      <c r="BG64" s="2122">
        <f>BG52+2</f>
        <v>72</v>
      </c>
      <c r="BH64" s="5466"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67"/>
      <c r="BJ64" s="5467"/>
      <c r="BK64" s="5467"/>
      <c r="BL64" s="5467"/>
      <c r="BM64" s="1157" t="s">
        <v>1627</v>
      </c>
      <c r="BN64" s="1158">
        <f>BG64</f>
        <v>72</v>
      </c>
      <c r="BO64" s="5454" t="s">
        <v>7687</v>
      </c>
      <c r="BP64" s="5454"/>
      <c r="BQ64" s="5454"/>
      <c r="BR64" s="5455" t="str">
        <f>IF(BH64=0,"",VLOOKUP(BH64,'Tablas Magia'!$D$6:$Z$680,2,FALSE))</f>
        <v>Luz</v>
      </c>
      <c r="BS64" s="5455"/>
      <c r="BT64" s="5455"/>
      <c r="BU64" s="5455"/>
      <c r="BV64" s="5456"/>
      <c r="BW64" s="1143"/>
      <c r="BX64" s="1137"/>
      <c r="BY64" s="1137"/>
      <c r="BZ64" s="2122">
        <f>BZ52+2</f>
        <v>92</v>
      </c>
      <c r="CA64" s="5466"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67"/>
      <c r="CC64" s="5467"/>
      <c r="CD64" s="5467"/>
      <c r="CE64" s="5467"/>
      <c r="CF64" s="1157" t="s">
        <v>1627</v>
      </c>
      <c r="CG64" s="1158">
        <f>BZ64</f>
        <v>92</v>
      </c>
      <c r="CH64" s="5454" t="s">
        <v>7687</v>
      </c>
      <c r="CI64" s="5454"/>
      <c r="CJ64" s="5454"/>
      <c r="CK64" s="5455" t="str">
        <f>IF(CA64=0,"",VLOOKUP(CA64,'Tablas Magia'!$D$6:$Z$680,2,FALSE))</f>
        <v>Luz</v>
      </c>
      <c r="CL64" s="5455"/>
      <c r="CM64" s="5455"/>
      <c r="CN64" s="5455"/>
      <c r="CO64" s="5456"/>
      <c r="CP64" s="1143"/>
      <c r="CQ64" s="1137"/>
    </row>
    <row r="65" spans="1:95" ht="12" customHeight="1" x14ac:dyDescent="0.2">
      <c r="A65" s="1137"/>
      <c r="B65" s="2108"/>
      <c r="C65" s="5450" t="s">
        <v>7688</v>
      </c>
      <c r="D65" s="5451"/>
      <c r="E65" s="1159" t="s">
        <v>7689</v>
      </c>
      <c r="F65" s="1159" t="s">
        <v>1820</v>
      </c>
      <c r="G65" s="1159" t="s">
        <v>3334</v>
      </c>
      <c r="H65" s="1160" t="s">
        <v>2165</v>
      </c>
      <c r="I65" s="5424" t="str">
        <f>IF(C64=0,"",VLOOKUP(C64,'Tablas Magia'!$D$6:$Z$680,5,FALSE))</f>
        <v>Efecto</v>
      </c>
      <c r="J65" s="5424"/>
      <c r="K65" s="5423" t="s">
        <v>7690</v>
      </c>
      <c r="L65" s="5423"/>
      <c r="M65" s="5424" t="str">
        <f>IF(C64=0,"",VLOOKUP(C64,'Tablas Magia'!$D$6:$Z$680,6,FALSE))</f>
        <v>Activa</v>
      </c>
      <c r="N65" s="5424"/>
      <c r="O65" s="5425" t="s">
        <v>7691</v>
      </c>
      <c r="P65" s="5425"/>
      <c r="Q65" s="1161" t="str">
        <f>IF(C64=0,"",VLOOKUP(C64,'Tablas Magia'!$D$6:$Z$680,4,FALSE))</f>
        <v>No</v>
      </c>
      <c r="R65" s="1143"/>
      <c r="S65" s="1137"/>
      <c r="T65" s="1137"/>
      <c r="U65" s="2108"/>
      <c r="V65" s="5450" t="s">
        <v>7688</v>
      </c>
      <c r="W65" s="5451"/>
      <c r="X65" s="1159" t="s">
        <v>7689</v>
      </c>
      <c r="Y65" s="1159" t="s">
        <v>1820</v>
      </c>
      <c r="Z65" s="1159" t="s">
        <v>3334</v>
      </c>
      <c r="AA65" s="1160" t="s">
        <v>2165</v>
      </c>
      <c r="AB65" s="5424" t="str">
        <f>IF(V64=0,"",VLOOKUP(V64,'Tablas Magia'!$D$6:$Z$680,5,FALSE))</f>
        <v>Detección</v>
      </c>
      <c r="AC65" s="5424"/>
      <c r="AD65" s="5423" t="s">
        <v>7690</v>
      </c>
      <c r="AE65" s="5423"/>
      <c r="AF65" s="5424" t="str">
        <f>IF(V64=0,"",VLOOKUP(V64,'Tablas Magia'!$D$6:$Z$680,6,FALSE))</f>
        <v>Activa</v>
      </c>
      <c r="AG65" s="5424"/>
      <c r="AH65" s="5425" t="s">
        <v>7691</v>
      </c>
      <c r="AI65" s="5425"/>
      <c r="AJ65" s="1161" t="str">
        <f>IF(V64=0,"",VLOOKUP(V64,'Tablas Magia'!$D$6:$Z$680,4,FALSE))</f>
        <v>No</v>
      </c>
      <c r="AK65" s="1143"/>
      <c r="AL65" s="1137"/>
      <c r="AM65" s="1137"/>
      <c r="AN65" s="2122"/>
      <c r="AO65" s="5450" t="s">
        <v>7688</v>
      </c>
      <c r="AP65" s="5451"/>
      <c r="AQ65" s="1159" t="s">
        <v>7689</v>
      </c>
      <c r="AR65" s="1159" t="s">
        <v>1820</v>
      </c>
      <c r="AS65" s="1159" t="s">
        <v>3334</v>
      </c>
      <c r="AT65" s="1160" t="s">
        <v>2165</v>
      </c>
      <c r="AU65" s="5424" t="str">
        <f>IF(AO64=0,"",VLOOKUP(AO64,'Tablas Magia'!$D$6:$Z$680,5,FALSE))</f>
        <v>Efecto</v>
      </c>
      <c r="AV65" s="5424"/>
      <c r="AW65" s="5423" t="s">
        <v>7690</v>
      </c>
      <c r="AX65" s="5423"/>
      <c r="AY65" s="5424" t="str">
        <f>IF(AO64=0,"",VLOOKUP(AO64,'Tablas Magia'!$D$6:$Z$680,6,FALSE))</f>
        <v>Activa</v>
      </c>
      <c r="AZ65" s="5424"/>
      <c r="BA65" s="5425" t="s">
        <v>7691</v>
      </c>
      <c r="BB65" s="5425"/>
      <c r="BC65" s="1161" t="str">
        <f>IF(AO64=0,"",VLOOKUP(AO64,'Tablas Magia'!$D$6:$Z$680,4,FALSE))</f>
        <v>No</v>
      </c>
      <c r="BD65" s="1143"/>
      <c r="BE65" s="1137"/>
      <c r="BF65" s="1137"/>
      <c r="BG65" s="2122"/>
      <c r="BH65" s="5450" t="s">
        <v>7688</v>
      </c>
      <c r="BI65" s="5451"/>
      <c r="BJ65" s="1159" t="s">
        <v>7689</v>
      </c>
      <c r="BK65" s="1159" t="s">
        <v>1820</v>
      </c>
      <c r="BL65" s="1159" t="s">
        <v>3334</v>
      </c>
      <c r="BM65" s="1160" t="s">
        <v>2165</v>
      </c>
      <c r="BN65" s="5424" t="str">
        <f>IF(BH64=0,"",VLOOKUP(BH64,'Tablas Magia'!$D$6:$Z$680,5,FALSE))</f>
        <v>Ataque</v>
      </c>
      <c r="BO65" s="5424"/>
      <c r="BP65" s="5423" t="s">
        <v>7690</v>
      </c>
      <c r="BQ65" s="5423"/>
      <c r="BR65" s="5424" t="str">
        <f>IF(BH64=0,"",VLOOKUP(BH64,'Tablas Magia'!$D$6:$Z$680,6,FALSE))</f>
        <v>Activa</v>
      </c>
      <c r="BS65" s="5424"/>
      <c r="BT65" s="5425" t="s">
        <v>7691</v>
      </c>
      <c r="BU65" s="5425"/>
      <c r="BV65" s="1161" t="str">
        <f>IF(BH64=0,"",VLOOKUP(BH64,'Tablas Magia'!$D$6:$Z$680,4,FALSE))</f>
        <v>No</v>
      </c>
      <c r="BW65" s="1143"/>
      <c r="BX65" s="1137"/>
      <c r="BY65" s="1137"/>
      <c r="BZ65" s="2122"/>
      <c r="CA65" s="5450" t="s">
        <v>7688</v>
      </c>
      <c r="CB65" s="5451"/>
      <c r="CC65" s="1159" t="s">
        <v>7689</v>
      </c>
      <c r="CD65" s="1159" t="s">
        <v>1820</v>
      </c>
      <c r="CE65" s="1159" t="s">
        <v>3334</v>
      </c>
      <c r="CF65" s="1160" t="s">
        <v>2165</v>
      </c>
      <c r="CG65" s="5424" t="str">
        <f>IF(CA64=0,"",VLOOKUP(CA64,'Tablas Magia'!$D$6:$Z$680,5,FALSE))</f>
        <v>Anímico</v>
      </c>
      <c r="CH65" s="5424"/>
      <c r="CI65" s="5423" t="s">
        <v>7690</v>
      </c>
      <c r="CJ65" s="5423"/>
      <c r="CK65" s="5424" t="str">
        <f>IF(CA64=0,"",VLOOKUP(CA64,'Tablas Magia'!$D$6:$Z$680,6,FALSE))</f>
        <v>Activa</v>
      </c>
      <c r="CL65" s="5424"/>
      <c r="CM65" s="5425" t="s">
        <v>7691</v>
      </c>
      <c r="CN65" s="5425"/>
      <c r="CO65" s="1161" t="str">
        <f>IF(CA64=0,"",VLOOKUP(CA64,'Tablas Magia'!$D$6:$Z$680,4,FALSE))</f>
        <v>Si</v>
      </c>
      <c r="CP65" s="1143"/>
      <c r="CQ65" s="1137"/>
    </row>
    <row r="66" spans="1:95" ht="12" customHeight="1" x14ac:dyDescent="0.2">
      <c r="A66" s="1137"/>
      <c r="B66" s="2108"/>
      <c r="C66" s="5426" t="s">
        <v>1674</v>
      </c>
      <c r="D66" s="5427"/>
      <c r="E66" s="1162">
        <f>IF(C64=0,"",VLOOKUP(C64,'Tablas Magia'!$D$6:$Z$680,7,FALSE))</f>
        <v>6</v>
      </c>
      <c r="F66" s="1162">
        <f>IF(C64=0,"",VLOOKUP(C64,'Tablas Magia'!$D$6:$Z$680,11,FALSE))</f>
        <v>50</v>
      </c>
      <c r="G66" s="1163">
        <f>IF(C64=0,"",VLOOKUP(C64,'Tablas Magia'!$D$6:$Z$680,15,FALSE))</f>
        <v>5</v>
      </c>
      <c r="H66" s="5428" t="str">
        <f>IF(C64=0,"",VLOOKUP(C64,'Tablas Magia'!$D$6:$Z$680,19,FALSE))</f>
        <v>+50 Advertir, Buscar y Valoración mágica.</v>
      </c>
      <c r="I66" s="5429"/>
      <c r="J66" s="5429"/>
      <c r="K66" s="5429"/>
      <c r="L66" s="5429"/>
      <c r="M66" s="5429"/>
      <c r="N66" s="5429"/>
      <c r="O66" s="5429"/>
      <c r="P66" s="5429"/>
      <c r="Q66" s="5430"/>
      <c r="R66" s="1143"/>
      <c r="S66" s="1137"/>
      <c r="T66" s="1137"/>
      <c r="U66" s="2108"/>
      <c r="V66" s="5426" t="s">
        <v>1674</v>
      </c>
      <c r="W66" s="5427"/>
      <c r="X66" s="1162">
        <f>IF(V64=0,"",VLOOKUP(V64,'Tablas Magia'!$D$6:$Z$680,7,FALSE))</f>
        <v>6</v>
      </c>
      <c r="Y66" s="1162">
        <f>IF(V64=0,"",VLOOKUP(V64,'Tablas Magia'!$D$6:$Z$680,11,FALSE))</f>
        <v>60</v>
      </c>
      <c r="Z66" s="1163">
        <f>IF(V64=0,"",VLOOKUP(V64,'Tablas Magia'!$D$6:$Z$680,15,FALSE))</f>
        <v>5</v>
      </c>
      <c r="AA66" s="5428" t="str">
        <f>IF(V64=0,"",VLOOKUP(V64,'Tablas Magia'!$D$6:$Z$680,19,FALSE))</f>
        <v>Radio de 25 metros / RM 140</v>
      </c>
      <c r="AB66" s="5429"/>
      <c r="AC66" s="5429"/>
      <c r="AD66" s="5429"/>
      <c r="AE66" s="5429"/>
      <c r="AF66" s="5429"/>
      <c r="AG66" s="5429"/>
      <c r="AH66" s="5429"/>
      <c r="AI66" s="5429"/>
      <c r="AJ66" s="5430"/>
      <c r="AK66" s="1143"/>
      <c r="AL66" s="1137"/>
      <c r="AM66" s="1137"/>
      <c r="AN66" s="2122"/>
      <c r="AO66" s="5426" t="s">
        <v>1674</v>
      </c>
      <c r="AP66" s="5427"/>
      <c r="AQ66" s="1162">
        <f>IF(AO64=0,"",VLOOKUP(AO64,'Tablas Magia'!$D$6:$Z$680,7,FALSE))</f>
        <v>8</v>
      </c>
      <c r="AR66" s="1162">
        <f>IF(AO64=0,"",VLOOKUP(AO64,'Tablas Magia'!$D$6:$Z$680,11,FALSE))</f>
        <v>100</v>
      </c>
      <c r="AS66" s="1163">
        <f>IF(AO64=0,"",VLOOKUP(AO64,'Tablas Magia'!$D$6:$Z$680,15,FALSE))</f>
        <v>10</v>
      </c>
      <c r="AT66" s="5428" t="str">
        <f>IF(AO64=0,"",VLOOKUP(AO64,'Tablas Magia'!$D$6:$Z$680,19,FALSE))</f>
        <v>+50 en Advertir y Buscar / +20 a sus Resistencias</v>
      </c>
      <c r="AU66" s="5429"/>
      <c r="AV66" s="5429"/>
      <c r="AW66" s="5429"/>
      <c r="AX66" s="5429"/>
      <c r="AY66" s="5429"/>
      <c r="AZ66" s="5429"/>
      <c r="BA66" s="5429"/>
      <c r="BB66" s="5429"/>
      <c r="BC66" s="5430"/>
      <c r="BD66" s="1143"/>
      <c r="BE66" s="1137"/>
      <c r="BF66" s="1137"/>
      <c r="BG66" s="2122"/>
      <c r="BH66" s="5426" t="s">
        <v>1674</v>
      </c>
      <c r="BI66" s="5427"/>
      <c r="BJ66" s="1162">
        <f>IF(BH64=0,"",VLOOKUP(BH64,'Tablas Magia'!$D$6:$Z$680,7,FALSE))</f>
        <v>10</v>
      </c>
      <c r="BK66" s="1162">
        <f>IF(BH64=0,"",VLOOKUP(BH64,'Tablas Magia'!$D$6:$Z$680,11,FALSE))</f>
        <v>140</v>
      </c>
      <c r="BL66" s="1163" t="str">
        <f>IF(BH64=0,"",VLOOKUP(BH64,'Tablas Magia'!$D$6:$Z$680,15,FALSE))</f>
        <v>No</v>
      </c>
      <c r="BM66" s="5428" t="str">
        <f>IF(BH64=0,"",VLOOKUP(BH64,'Tablas Magia'!$D$6:$Z$680,19,FALSE))</f>
        <v>Daño 120 / 25 metros de radio</v>
      </c>
      <c r="BN66" s="5429"/>
      <c r="BO66" s="5429"/>
      <c r="BP66" s="5429"/>
      <c r="BQ66" s="5429"/>
      <c r="BR66" s="5429"/>
      <c r="BS66" s="5429"/>
      <c r="BT66" s="5429"/>
      <c r="BU66" s="5429"/>
      <c r="BV66" s="5430"/>
      <c r="BW66" s="1143"/>
      <c r="BX66" s="1137"/>
      <c r="BY66" s="1137"/>
      <c r="BZ66" s="2122"/>
      <c r="CA66" s="5426" t="s">
        <v>1674</v>
      </c>
      <c r="CB66" s="5427"/>
      <c r="CC66" s="1162">
        <f>IF(CA64=0,"",VLOOKUP(CA64,'Tablas Magia'!$D$6:$Z$680,7,FALSE))</f>
        <v>14</v>
      </c>
      <c r="CD66" s="1162">
        <f>IF(CA64=0,"",VLOOKUP(CA64,'Tablas Magia'!$D$6:$Z$680,11,FALSE))</f>
        <v>200</v>
      </c>
      <c r="CE66" s="1163">
        <f>IF(CA64=0,"",VLOOKUP(CA64,'Tablas Magia'!$D$6:$Z$680,15,FALSE))</f>
        <v>40</v>
      </c>
      <c r="CF66" s="5428" t="str">
        <f>IF(CA64=0,"",VLOOKUP(CA64,'Tablas Magia'!$D$6:$Z$680,19,FALSE))</f>
        <v>RM 140 / La prisión posee 10.000 puntos de resistencia</v>
      </c>
      <c r="CG66" s="5429"/>
      <c r="CH66" s="5429"/>
      <c r="CI66" s="5429"/>
      <c r="CJ66" s="5429"/>
      <c r="CK66" s="5429"/>
      <c r="CL66" s="5429"/>
      <c r="CM66" s="5429"/>
      <c r="CN66" s="5429"/>
      <c r="CO66" s="5430"/>
      <c r="CP66" s="1143"/>
      <c r="CQ66" s="1137"/>
    </row>
    <row r="67" spans="1:95" ht="12" customHeight="1" x14ac:dyDescent="0.2">
      <c r="A67" s="1137"/>
      <c r="B67" s="2108"/>
      <c r="C67" s="5431" t="s">
        <v>4572</v>
      </c>
      <c r="D67" s="5432"/>
      <c r="E67" s="1164">
        <f>IF(C64=0,"",VLOOKUP(C64,'Tablas Magia'!$D$6:$Z$680,8,FALSE))</f>
        <v>9</v>
      </c>
      <c r="F67" s="1164">
        <f>IF(C64=0,"",VLOOKUP(C64,'Tablas Magia'!$D$6:$Z$680,12,FALSE))</f>
        <v>150</v>
      </c>
      <c r="G67" s="1165">
        <f>IF(C64=0,"",VLOOKUP(C64,'Tablas Magia'!$D$6:$Z$680,16,FALSE))</f>
        <v>15</v>
      </c>
      <c r="H67" s="5433" t="str">
        <f>IF(C64=0,"",VLOOKUP(C64,'Tablas Magia'!$D$6:$Z$680,20,FALSE))</f>
        <v>+150 Advertir, Buscar y Valoración mágica</v>
      </c>
      <c r="I67" s="5434"/>
      <c r="J67" s="5434"/>
      <c r="K67" s="5434"/>
      <c r="L67" s="5434"/>
      <c r="M67" s="5434"/>
      <c r="N67" s="5434"/>
      <c r="O67" s="5434"/>
      <c r="P67" s="5434"/>
      <c r="Q67" s="5435"/>
      <c r="R67" s="1143"/>
      <c r="S67" s="1137"/>
      <c r="T67" s="1137"/>
      <c r="U67" s="2108"/>
      <c r="V67" s="5431" t="s">
        <v>4572</v>
      </c>
      <c r="W67" s="5432"/>
      <c r="X67" s="1164">
        <f>IF(V64=0,"",VLOOKUP(V64,'Tablas Magia'!$D$6:$Z$680,8,FALSE))</f>
        <v>9</v>
      </c>
      <c r="Y67" s="1164">
        <f>IF(V64=0,"",VLOOKUP(V64,'Tablas Magia'!$D$6:$Z$680,12,FALSE))</f>
        <v>100</v>
      </c>
      <c r="Z67" s="1165">
        <f>IF(V64=0,"",VLOOKUP(V64,'Tablas Magia'!$D$6:$Z$680,16,FALSE))</f>
        <v>10</v>
      </c>
      <c r="AA67" s="5433" t="str">
        <f>IF(V64=0,"",VLOOKUP(V64,'Tablas Magia'!$D$6:$Z$680,20,FALSE))</f>
        <v>Radio de 50 metros / RM 180</v>
      </c>
      <c r="AB67" s="5434"/>
      <c r="AC67" s="5434"/>
      <c r="AD67" s="5434"/>
      <c r="AE67" s="5434"/>
      <c r="AF67" s="5434"/>
      <c r="AG67" s="5434"/>
      <c r="AH67" s="5434"/>
      <c r="AI67" s="5434"/>
      <c r="AJ67" s="5435"/>
      <c r="AK67" s="1143"/>
      <c r="AL67" s="1137"/>
      <c r="AM67" s="1137"/>
      <c r="AN67" s="2122"/>
      <c r="AO67" s="5431" t="s">
        <v>4572</v>
      </c>
      <c r="AP67" s="5432"/>
      <c r="AQ67" s="1164">
        <f>IF(AO64=0,"",VLOOKUP(AO64,'Tablas Magia'!$D$6:$Z$680,8,FALSE))</f>
        <v>11</v>
      </c>
      <c r="AR67" s="1164">
        <f>IF(AO64=0,"",VLOOKUP(AO64,'Tablas Magia'!$D$6:$Z$680,12,FALSE))</f>
        <v>120</v>
      </c>
      <c r="AS67" s="1165">
        <f>IF(AO64=0,"",VLOOKUP(AO64,'Tablas Magia'!$D$6:$Z$680,16,FALSE))</f>
        <v>15</v>
      </c>
      <c r="AT67" s="5433" t="str">
        <f>IF(AO64=0,"",VLOOKUP(AO64,'Tablas Magia'!$D$6:$Z$680,20,FALSE))</f>
        <v>+60 en Advertir y Buscar / +30 a sus Resistencias</v>
      </c>
      <c r="AU67" s="5434"/>
      <c r="AV67" s="5434"/>
      <c r="AW67" s="5434"/>
      <c r="AX67" s="5434"/>
      <c r="AY67" s="5434"/>
      <c r="AZ67" s="5434"/>
      <c r="BA67" s="5434"/>
      <c r="BB67" s="5434"/>
      <c r="BC67" s="5435"/>
      <c r="BD67" s="1143"/>
      <c r="BE67" s="1137"/>
      <c r="BF67" s="1137"/>
      <c r="BG67" s="2122"/>
      <c r="BH67" s="5431" t="s">
        <v>4572</v>
      </c>
      <c r="BI67" s="5432"/>
      <c r="BJ67" s="1164">
        <f>IF(BH64=0,"",VLOOKUP(BH64,'Tablas Magia'!$D$6:$Z$680,8,FALSE))</f>
        <v>12</v>
      </c>
      <c r="BK67" s="1164">
        <f>IF(BH64=0,"",VLOOKUP(BH64,'Tablas Magia'!$D$6:$Z$680,12,FALSE))</f>
        <v>180</v>
      </c>
      <c r="BL67" s="1165" t="str">
        <f>IF(BH64=0,"",VLOOKUP(BH64,'Tablas Magia'!$D$6:$Z$680,16,FALSE))</f>
        <v>No</v>
      </c>
      <c r="BM67" s="5433" t="str">
        <f>IF(BH64=0,"",VLOOKUP(BH64,'Tablas Magia'!$D$6:$Z$680,20,FALSE))</f>
        <v>Daño 150 / 100 metros de radio</v>
      </c>
      <c r="BN67" s="5434"/>
      <c r="BO67" s="5434"/>
      <c r="BP67" s="5434"/>
      <c r="BQ67" s="5434"/>
      <c r="BR67" s="5434"/>
      <c r="BS67" s="5434"/>
      <c r="BT67" s="5434"/>
      <c r="BU67" s="5434"/>
      <c r="BV67" s="5435"/>
      <c r="BW67" s="1143"/>
      <c r="BX67" s="1137"/>
      <c r="BY67" s="1137"/>
      <c r="BZ67" s="2122"/>
      <c r="CA67" s="5431" t="s">
        <v>4572</v>
      </c>
      <c r="CB67" s="5432"/>
      <c r="CC67" s="1164">
        <f>IF(CA64=0,"",VLOOKUP(CA64,'Tablas Magia'!$D$6:$Z$680,8,FALSE))</f>
        <v>16</v>
      </c>
      <c r="CD67" s="1164">
        <f>IF(CA64=0,"",VLOOKUP(CA64,'Tablas Magia'!$D$6:$Z$680,12,FALSE))</f>
        <v>350</v>
      </c>
      <c r="CE67" s="1165">
        <f>IF(CA64=0,"",VLOOKUP(CA64,'Tablas Magia'!$D$6:$Z$680,16,FALSE))</f>
        <v>70</v>
      </c>
      <c r="CF67" s="5433" t="str">
        <f>IF(CA64=0,"",VLOOKUP(CA64,'Tablas Magia'!$D$6:$Z$680,20,FALSE))</f>
        <v>RM 180 / La prisión posee 250.000 puntos de resistencia</v>
      </c>
      <c r="CG67" s="5434"/>
      <c r="CH67" s="5434"/>
      <c r="CI67" s="5434"/>
      <c r="CJ67" s="5434"/>
      <c r="CK67" s="5434"/>
      <c r="CL67" s="5434"/>
      <c r="CM67" s="5434"/>
      <c r="CN67" s="5434"/>
      <c r="CO67" s="5435"/>
      <c r="CP67" s="1143"/>
      <c r="CQ67" s="1137"/>
    </row>
    <row r="68" spans="1:95" ht="12" customHeight="1" x14ac:dyDescent="0.2">
      <c r="A68" s="1137"/>
      <c r="B68" s="2108"/>
      <c r="C68" s="5426" t="s">
        <v>4573</v>
      </c>
      <c r="D68" s="5427"/>
      <c r="E68" s="1162">
        <f>IF(C64=0,"",VLOOKUP(C64,'Tablas Magia'!$D$6:$Z$680,9,FALSE))</f>
        <v>12</v>
      </c>
      <c r="F68" s="1162">
        <f>IF(C64=0,"",VLOOKUP(C64,'Tablas Magia'!$D$6:$Z$680,13,FALSE))</f>
        <v>200</v>
      </c>
      <c r="G68" s="1163">
        <f>IF(C64=0,"",VLOOKUP(C64,'Tablas Magia'!$D$6:$Z$680,17,FALSE))</f>
        <v>20</v>
      </c>
      <c r="H68" s="5428" t="str">
        <f>IF(C64=0,"",VLOOKUP(C64,'Tablas Magia'!$D$6:$Z$680,21,FALSE))</f>
        <v>+200 Advertir, Buscar y Valoración mágica</v>
      </c>
      <c r="I68" s="5429"/>
      <c r="J68" s="5429"/>
      <c r="K68" s="5429"/>
      <c r="L68" s="5429"/>
      <c r="M68" s="5429"/>
      <c r="N68" s="5429"/>
      <c r="O68" s="5429"/>
      <c r="P68" s="5429"/>
      <c r="Q68" s="5430"/>
      <c r="R68" s="1143"/>
      <c r="S68" s="1137"/>
      <c r="T68" s="1137"/>
      <c r="U68" s="2108"/>
      <c r="V68" s="5426" t="s">
        <v>4573</v>
      </c>
      <c r="W68" s="5427"/>
      <c r="X68" s="1162">
        <f>IF(V64=0,"",VLOOKUP(V64,'Tablas Magia'!$D$6:$Z$680,9,FALSE))</f>
        <v>12</v>
      </c>
      <c r="Y68" s="1162">
        <f>IF(V64=0,"",VLOOKUP(V64,'Tablas Magia'!$D$6:$Z$680,13,FALSE))</f>
        <v>150</v>
      </c>
      <c r="Z68" s="1163">
        <f>IF(V64=0,"",VLOOKUP(V64,'Tablas Magia'!$D$6:$Z$680,17,FALSE))</f>
        <v>15</v>
      </c>
      <c r="AA68" s="5428" t="str">
        <f>IF(V64=0,"",VLOOKUP(V64,'Tablas Magia'!$D$6:$Z$680,21,FALSE))</f>
        <v>Radio de 150 metros / RM 220</v>
      </c>
      <c r="AB68" s="5429"/>
      <c r="AC68" s="5429"/>
      <c r="AD68" s="5429"/>
      <c r="AE68" s="5429"/>
      <c r="AF68" s="5429"/>
      <c r="AG68" s="5429"/>
      <c r="AH68" s="5429"/>
      <c r="AI68" s="5429"/>
      <c r="AJ68" s="5430"/>
      <c r="AK68" s="1143"/>
      <c r="AL68" s="1137"/>
      <c r="AM68" s="1137"/>
      <c r="AN68" s="2122"/>
      <c r="AO68" s="5426" t="s">
        <v>4573</v>
      </c>
      <c r="AP68" s="5427"/>
      <c r="AQ68" s="1162">
        <f>IF(AO64=0,"",VLOOKUP(AO64,'Tablas Magia'!$D$6:$Z$680,9,FALSE))</f>
        <v>13</v>
      </c>
      <c r="AR68" s="1162">
        <f>IF(AO64=0,"",VLOOKUP(AO64,'Tablas Magia'!$D$6:$Z$680,13,FALSE))</f>
        <v>140</v>
      </c>
      <c r="AS68" s="1163">
        <f>IF(AO64=0,"",VLOOKUP(AO64,'Tablas Magia'!$D$6:$Z$680,17,FALSE))</f>
        <v>15</v>
      </c>
      <c r="AT68" s="5428" t="str">
        <f>IF(AO64=0,"",VLOOKUP(AO64,'Tablas Magia'!$D$6:$Z$680,21,FALSE))</f>
        <v>el bono será  contra todo efecto sobrenatural que no sea oscuridad</v>
      </c>
      <c r="AU68" s="5429"/>
      <c r="AV68" s="5429"/>
      <c r="AW68" s="5429"/>
      <c r="AX68" s="5429"/>
      <c r="AY68" s="5429"/>
      <c r="AZ68" s="5429"/>
      <c r="BA68" s="5429"/>
      <c r="BB68" s="5429"/>
      <c r="BC68" s="5430"/>
      <c r="BD68" s="1143"/>
      <c r="BE68" s="1137"/>
      <c r="BF68" s="1137"/>
      <c r="BG68" s="2122"/>
      <c r="BH68" s="5426" t="s">
        <v>4573</v>
      </c>
      <c r="BI68" s="5427"/>
      <c r="BJ68" s="1162">
        <f>IF(BH64=0,"",VLOOKUP(BH64,'Tablas Magia'!$D$6:$Z$680,9,FALSE))</f>
        <v>14</v>
      </c>
      <c r="BK68" s="1162">
        <f>IF(BH64=0,"",VLOOKUP(BH64,'Tablas Magia'!$D$6:$Z$680,13,FALSE))</f>
        <v>240</v>
      </c>
      <c r="BL68" s="1163" t="str">
        <f>IF(BH64=0,"",VLOOKUP(BH64,'Tablas Magia'!$D$6:$Z$680,17,FALSE))</f>
        <v>No</v>
      </c>
      <c r="BM68" s="5428" t="str">
        <f>IF(BH64=0,"",VLOOKUP(BH64,'Tablas Magia'!$D$6:$Z$680,21,FALSE))</f>
        <v>Daño 200 / 150 metros de radio</v>
      </c>
      <c r="BN68" s="5429"/>
      <c r="BO68" s="5429"/>
      <c r="BP68" s="5429"/>
      <c r="BQ68" s="5429"/>
      <c r="BR68" s="5429"/>
      <c r="BS68" s="5429"/>
      <c r="BT68" s="5429"/>
      <c r="BU68" s="5429"/>
      <c r="BV68" s="5430"/>
      <c r="BW68" s="1143"/>
      <c r="BX68" s="1137"/>
      <c r="BY68" s="1137"/>
      <c r="BZ68" s="2122"/>
      <c r="CA68" s="5426" t="s">
        <v>4573</v>
      </c>
      <c r="CB68" s="5427"/>
      <c r="CC68" s="1162">
        <f>IF(CA64=0,"",VLOOKUP(CA64,'Tablas Magia'!$D$6:$Z$680,9,FALSE))</f>
        <v>18</v>
      </c>
      <c r="CD68" s="1162">
        <f>IF(CA64=0,"",VLOOKUP(CA64,'Tablas Magia'!$D$6:$Z$680,13,FALSE))</f>
        <v>500</v>
      </c>
      <c r="CE68" s="1163">
        <f>IF(CA64=0,"",VLOOKUP(CA64,'Tablas Magia'!$D$6:$Z$680,17,FALSE))</f>
        <v>100</v>
      </c>
      <c r="CF68" s="5428" t="str">
        <f>IF(CA64=0,"",VLOOKUP(CA64,'Tablas Magia'!$D$6:$Z$680,21,FALSE))</f>
        <v>RM 220 / La prisión posee 500.000 puntos de resistencia</v>
      </c>
      <c r="CG68" s="5429"/>
      <c r="CH68" s="5429"/>
      <c r="CI68" s="5429"/>
      <c r="CJ68" s="5429"/>
      <c r="CK68" s="5429"/>
      <c r="CL68" s="5429"/>
      <c r="CM68" s="5429"/>
      <c r="CN68" s="5429"/>
      <c r="CO68" s="5430"/>
      <c r="CP68" s="1143"/>
      <c r="CQ68" s="1137"/>
    </row>
    <row r="69" spans="1:95" ht="12" customHeight="1" thickBot="1" x14ac:dyDescent="0.25">
      <c r="A69" s="1137"/>
      <c r="B69" s="2108"/>
      <c r="C69" s="5436" t="s">
        <v>4574</v>
      </c>
      <c r="D69" s="5437"/>
      <c r="E69" s="1166">
        <f>IF(C64=0,"",VLOOKUP(C64,'Tablas Magia'!$D$6:$Z$680,10,FALSE))</f>
        <v>14</v>
      </c>
      <c r="F69" s="1166">
        <f>IF(C64=0,"",VLOOKUP(C64,'Tablas Magia'!$D$6:$Z$680,14,FALSE))</f>
        <v>250</v>
      </c>
      <c r="G69" s="1167">
        <f>IF(C64=0,"",VLOOKUP(C64,'Tablas Magia'!$D$6:$Z$680,18,FALSE))</f>
        <v>25</v>
      </c>
      <c r="H69" s="5438" t="str">
        <f>IF(C64=0,"",VLOOKUP(C64,'Tablas Magia'!$D$6:$Z$680,22,FALSE))</f>
        <v>+250 Advertir, Buscar y Valoración mágica</v>
      </c>
      <c r="I69" s="5439"/>
      <c r="J69" s="5439"/>
      <c r="K69" s="5439"/>
      <c r="L69" s="5439"/>
      <c r="M69" s="5439"/>
      <c r="N69" s="5439"/>
      <c r="O69" s="5439"/>
      <c r="P69" s="5439"/>
      <c r="Q69" s="5440"/>
      <c r="R69" s="1143"/>
      <c r="S69" s="1137"/>
      <c r="T69" s="1137"/>
      <c r="U69" s="2108"/>
      <c r="V69" s="5436" t="s">
        <v>4574</v>
      </c>
      <c r="W69" s="5437"/>
      <c r="X69" s="1166">
        <f>IF(V64=0,"",VLOOKUP(V64,'Tablas Magia'!$D$6:$Z$680,10,FALSE))</f>
        <v>15</v>
      </c>
      <c r="Y69" s="1166">
        <f>IF(V64=0,"",VLOOKUP(V64,'Tablas Magia'!$D$6:$Z$680,14,FALSE))</f>
        <v>300</v>
      </c>
      <c r="Z69" s="1167">
        <f>IF(V64=0,"",VLOOKUP(V64,'Tablas Magia'!$D$6:$Z$680,18,FALSE))</f>
        <v>30</v>
      </c>
      <c r="AA69" s="5438" t="str">
        <f>IF(V64=0,"",VLOOKUP(V64,'Tablas Magia'!$D$6:$Z$680,22,FALSE))</f>
        <v>Radio de 500 metros / RM 280.</v>
      </c>
      <c r="AB69" s="5439"/>
      <c r="AC69" s="5439"/>
      <c r="AD69" s="5439"/>
      <c r="AE69" s="5439"/>
      <c r="AF69" s="5439"/>
      <c r="AG69" s="5439"/>
      <c r="AH69" s="5439"/>
      <c r="AI69" s="5439"/>
      <c r="AJ69" s="5440"/>
      <c r="AK69" s="1143"/>
      <c r="AL69" s="1137"/>
      <c r="AM69" s="1137"/>
      <c r="AN69" s="2122"/>
      <c r="AO69" s="5436" t="s">
        <v>4574</v>
      </c>
      <c r="AP69" s="5437"/>
      <c r="AQ69" s="1166">
        <f>IF(AO64=0,"",VLOOKUP(AO64,'Tablas Magia'!$D$6:$Z$680,10,FALSE))</f>
        <v>16</v>
      </c>
      <c r="AR69" s="1166">
        <f>IF(AO64=0,"",VLOOKUP(AO64,'Tablas Magia'!$D$6:$Z$680,14,FALSE))</f>
        <v>160</v>
      </c>
      <c r="AS69" s="1167">
        <f>IF(AO64=0,"",VLOOKUP(AO64,'Tablas Magia'!$D$6:$Z$680,18,FALSE))</f>
        <v>20</v>
      </c>
      <c r="AT69" s="5438" t="str">
        <f>IF(AO64=0,"",VLOOKUP(AO64,'Tablas Magia'!$D$6:$Z$680,22,FALSE))</f>
        <v>Como arriba, pero no sufre doble daño por ataques basado en oscuridad</v>
      </c>
      <c r="AU69" s="5439"/>
      <c r="AV69" s="5439"/>
      <c r="AW69" s="5439"/>
      <c r="AX69" s="5439"/>
      <c r="AY69" s="5439"/>
      <c r="AZ69" s="5439"/>
      <c r="BA69" s="5439"/>
      <c r="BB69" s="5439"/>
      <c r="BC69" s="5440"/>
      <c r="BD69" s="1143"/>
      <c r="BE69" s="1137"/>
      <c r="BF69" s="1137"/>
      <c r="BG69" s="2122"/>
      <c r="BH69" s="5436" t="s">
        <v>4574</v>
      </c>
      <c r="BI69" s="5437"/>
      <c r="BJ69" s="1166">
        <f>IF(BH64=0,"",VLOOKUP(BH64,'Tablas Magia'!$D$6:$Z$680,10,FALSE))</f>
        <v>16</v>
      </c>
      <c r="BK69" s="1166">
        <f>IF(BH64=0,"",VLOOKUP(BH64,'Tablas Magia'!$D$6:$Z$680,14,FALSE))</f>
        <v>350</v>
      </c>
      <c r="BL69" s="1167" t="str">
        <f>IF(BH64=0,"",VLOOKUP(BH64,'Tablas Magia'!$D$6:$Z$680,18,FALSE))</f>
        <v>No</v>
      </c>
      <c r="BM69" s="5438" t="str">
        <f>IF(BH64=0,"",VLOOKUP(BH64,'Tablas Magia'!$D$6:$Z$680,22,FALSE))</f>
        <v>Daño 250 / 250 metros de radio.</v>
      </c>
      <c r="BN69" s="5439"/>
      <c r="BO69" s="5439"/>
      <c r="BP69" s="5439"/>
      <c r="BQ69" s="5439"/>
      <c r="BR69" s="5439"/>
      <c r="BS69" s="5439"/>
      <c r="BT69" s="5439"/>
      <c r="BU69" s="5439"/>
      <c r="BV69" s="5440"/>
      <c r="BW69" s="1143"/>
      <c r="BX69" s="1137"/>
      <c r="BY69" s="1137"/>
      <c r="BZ69" s="2122"/>
      <c r="CA69" s="5436" t="s">
        <v>4574</v>
      </c>
      <c r="CB69" s="5437"/>
      <c r="CC69" s="1166">
        <f>IF(CA64=0,"",VLOOKUP(CA64,'Tablas Magia'!$D$6:$Z$680,10,FALSE))</f>
        <v>20</v>
      </c>
      <c r="CD69" s="1166">
        <f>IF(CA64=0,"",VLOOKUP(CA64,'Tablas Magia'!$D$6:$Z$680,14,FALSE))</f>
        <v>800</v>
      </c>
      <c r="CE69" s="1167">
        <f>IF(CA64=0,"",VLOOKUP(CA64,'Tablas Magia'!$D$6:$Z$680,18,FALSE))</f>
        <v>160</v>
      </c>
      <c r="CF69" s="5438" t="str">
        <f>IF(CA64=0,"",VLOOKUP(CA64,'Tablas Magia'!$D$6:$Z$680,22,FALSE))</f>
        <v>RM 240 / no puede romperse desde adentro, 500.000 puntos de resistencia.</v>
      </c>
      <c r="CG69" s="5439"/>
      <c r="CH69" s="5439"/>
      <c r="CI69" s="5439"/>
      <c r="CJ69" s="5439"/>
      <c r="CK69" s="5439"/>
      <c r="CL69" s="5439"/>
      <c r="CM69" s="5439"/>
      <c r="CN69" s="5439"/>
      <c r="CO69" s="5440"/>
      <c r="CP69" s="1143"/>
      <c r="CQ69" s="1137"/>
    </row>
    <row r="70" spans="1:95" ht="12" customHeight="1" x14ac:dyDescent="0.2">
      <c r="A70" s="1137"/>
      <c r="B70" s="2108"/>
      <c r="C70" s="5441"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42"/>
      <c r="E70" s="5442"/>
      <c r="F70" s="5442"/>
      <c r="G70" s="5442"/>
      <c r="H70" s="5442"/>
      <c r="I70" s="5442"/>
      <c r="J70" s="5442"/>
      <c r="K70" s="5442"/>
      <c r="L70" s="5442"/>
      <c r="M70" s="5442"/>
      <c r="N70" s="5442"/>
      <c r="O70" s="5442"/>
      <c r="P70" s="5442"/>
      <c r="Q70" s="5443"/>
      <c r="R70" s="1143"/>
      <c r="S70" s="1137"/>
      <c r="T70" s="1137"/>
      <c r="U70" s="2108"/>
      <c r="V70" s="5441" t="str">
        <f>IF(V64=0,"",VLOOKUP(V64,'Tablas Magia'!$D$6:$Z$680,23,FALSE))</f>
        <v>Detecta cualquier fuente de vida. El conjuro no dará más información que el número de seres vivos y el lugar exacto donde se encuentran con respecto al lanzador</v>
      </c>
      <c r="W70" s="5442"/>
      <c r="X70" s="5442"/>
      <c r="Y70" s="5442"/>
      <c r="Z70" s="5442"/>
      <c r="AA70" s="5442"/>
      <c r="AB70" s="5442"/>
      <c r="AC70" s="5442"/>
      <c r="AD70" s="5442"/>
      <c r="AE70" s="5442"/>
      <c r="AF70" s="5442"/>
      <c r="AG70" s="5442"/>
      <c r="AH70" s="5442"/>
      <c r="AI70" s="5442"/>
      <c r="AJ70" s="5443"/>
      <c r="AK70" s="1143"/>
      <c r="AL70" s="1137"/>
      <c r="AM70" s="1137"/>
      <c r="AN70" s="2122"/>
      <c r="AO70" s="5441"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42"/>
      <c r="AQ70" s="5442"/>
      <c r="AR70" s="5442"/>
      <c r="AS70" s="5442"/>
      <c r="AT70" s="5442"/>
      <c r="AU70" s="5442"/>
      <c r="AV70" s="5442"/>
      <c r="AW70" s="5442"/>
      <c r="AX70" s="5442"/>
      <c r="AY70" s="5442"/>
      <c r="AZ70" s="5442"/>
      <c r="BA70" s="5442"/>
      <c r="BB70" s="5442"/>
      <c r="BC70" s="5443"/>
      <c r="BD70" s="1143"/>
      <c r="BE70" s="1137"/>
      <c r="BF70" s="1137"/>
      <c r="BG70" s="2122"/>
      <c r="BH70" s="5441" t="str">
        <f>IF(BH64=0,"",VLOOKUP(BH64,'Tablas Magia'!$D$6:$Z$680,23,FALSE))</f>
        <v>Proyecta una descarga basada en luz. Ataca en la TA de Energía</v>
      </c>
      <c r="BI70" s="5442"/>
      <c r="BJ70" s="5442"/>
      <c r="BK70" s="5442"/>
      <c r="BL70" s="5442"/>
      <c r="BM70" s="5442"/>
      <c r="BN70" s="5442"/>
      <c r="BO70" s="5442"/>
      <c r="BP70" s="5442"/>
      <c r="BQ70" s="5442"/>
      <c r="BR70" s="5442"/>
      <c r="BS70" s="5442"/>
      <c r="BT70" s="5442"/>
      <c r="BU70" s="5442"/>
      <c r="BV70" s="5443"/>
      <c r="BW70" s="1143"/>
      <c r="BX70" s="1137"/>
      <c r="BY70" s="1137"/>
      <c r="BZ70" s="2122"/>
      <c r="CA70" s="5441"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42"/>
      <c r="CC70" s="5442"/>
      <c r="CD70" s="5442"/>
      <c r="CE70" s="5442"/>
      <c r="CF70" s="5442"/>
      <c r="CG70" s="5442"/>
      <c r="CH70" s="5442"/>
      <c r="CI70" s="5442"/>
      <c r="CJ70" s="5442"/>
      <c r="CK70" s="5442"/>
      <c r="CL70" s="5442"/>
      <c r="CM70" s="5442"/>
      <c r="CN70" s="5442"/>
      <c r="CO70" s="5443"/>
      <c r="CP70" s="1143"/>
      <c r="CQ70" s="1137"/>
    </row>
    <row r="71" spans="1:95" ht="12" customHeight="1" x14ac:dyDescent="0.2">
      <c r="A71" s="1137"/>
      <c r="B71" s="2108"/>
      <c r="C71" s="5444"/>
      <c r="D71" s="5445"/>
      <c r="E71" s="5445"/>
      <c r="F71" s="5445"/>
      <c r="G71" s="5445"/>
      <c r="H71" s="5445"/>
      <c r="I71" s="5445"/>
      <c r="J71" s="5445"/>
      <c r="K71" s="5445"/>
      <c r="L71" s="5445"/>
      <c r="M71" s="5445"/>
      <c r="N71" s="5445"/>
      <c r="O71" s="5445"/>
      <c r="P71" s="5445"/>
      <c r="Q71" s="5446"/>
      <c r="R71" s="1143"/>
      <c r="S71" s="1137"/>
      <c r="T71" s="1137"/>
      <c r="U71" s="2108"/>
      <c r="V71" s="5444"/>
      <c r="W71" s="5445"/>
      <c r="X71" s="5445"/>
      <c r="Y71" s="5445"/>
      <c r="Z71" s="5445"/>
      <c r="AA71" s="5445"/>
      <c r="AB71" s="5445"/>
      <c r="AC71" s="5445"/>
      <c r="AD71" s="5445"/>
      <c r="AE71" s="5445"/>
      <c r="AF71" s="5445"/>
      <c r="AG71" s="5445"/>
      <c r="AH71" s="5445"/>
      <c r="AI71" s="5445"/>
      <c r="AJ71" s="5446"/>
      <c r="AK71" s="1143"/>
      <c r="AL71" s="1137"/>
      <c r="AM71" s="1137"/>
      <c r="AN71" s="2122"/>
      <c r="AO71" s="5444"/>
      <c r="AP71" s="5445"/>
      <c r="AQ71" s="5445"/>
      <c r="AR71" s="5445"/>
      <c r="AS71" s="5445"/>
      <c r="AT71" s="5445"/>
      <c r="AU71" s="5445"/>
      <c r="AV71" s="5445"/>
      <c r="AW71" s="5445"/>
      <c r="AX71" s="5445"/>
      <c r="AY71" s="5445"/>
      <c r="AZ71" s="5445"/>
      <c r="BA71" s="5445"/>
      <c r="BB71" s="5445"/>
      <c r="BC71" s="5446"/>
      <c r="BD71" s="1143"/>
      <c r="BE71" s="1137"/>
      <c r="BF71" s="1137"/>
      <c r="BG71" s="2122"/>
      <c r="BH71" s="5444"/>
      <c r="BI71" s="5445"/>
      <c r="BJ71" s="5445"/>
      <c r="BK71" s="5445"/>
      <c r="BL71" s="5445"/>
      <c r="BM71" s="5445"/>
      <c r="BN71" s="5445"/>
      <c r="BO71" s="5445"/>
      <c r="BP71" s="5445"/>
      <c r="BQ71" s="5445"/>
      <c r="BR71" s="5445"/>
      <c r="BS71" s="5445"/>
      <c r="BT71" s="5445"/>
      <c r="BU71" s="5445"/>
      <c r="BV71" s="5446"/>
      <c r="BW71" s="1143"/>
      <c r="BX71" s="1137"/>
      <c r="BY71" s="1137"/>
      <c r="BZ71" s="2122"/>
      <c r="CA71" s="5444"/>
      <c r="CB71" s="5445"/>
      <c r="CC71" s="5445"/>
      <c r="CD71" s="5445"/>
      <c r="CE71" s="5445"/>
      <c r="CF71" s="5445"/>
      <c r="CG71" s="5445"/>
      <c r="CH71" s="5445"/>
      <c r="CI71" s="5445"/>
      <c r="CJ71" s="5445"/>
      <c r="CK71" s="5445"/>
      <c r="CL71" s="5445"/>
      <c r="CM71" s="5445"/>
      <c r="CN71" s="5445"/>
      <c r="CO71" s="5446"/>
      <c r="CP71" s="1143"/>
      <c r="CQ71" s="1137"/>
    </row>
    <row r="72" spans="1:95" ht="12" customHeight="1" x14ac:dyDescent="0.2">
      <c r="A72" s="1137"/>
      <c r="B72" s="2108"/>
      <c r="C72" s="5444"/>
      <c r="D72" s="5445"/>
      <c r="E72" s="5445"/>
      <c r="F72" s="5445"/>
      <c r="G72" s="5445"/>
      <c r="H72" s="5445"/>
      <c r="I72" s="5445"/>
      <c r="J72" s="5445"/>
      <c r="K72" s="5445"/>
      <c r="L72" s="5445"/>
      <c r="M72" s="5445"/>
      <c r="N72" s="5445"/>
      <c r="O72" s="5445"/>
      <c r="P72" s="5445"/>
      <c r="Q72" s="5446"/>
      <c r="R72" s="1143"/>
      <c r="S72" s="1137"/>
      <c r="T72" s="1137"/>
      <c r="U72" s="2108"/>
      <c r="V72" s="5444"/>
      <c r="W72" s="5445"/>
      <c r="X72" s="5445"/>
      <c r="Y72" s="5445"/>
      <c r="Z72" s="5445"/>
      <c r="AA72" s="5445"/>
      <c r="AB72" s="5445"/>
      <c r="AC72" s="5445"/>
      <c r="AD72" s="5445"/>
      <c r="AE72" s="5445"/>
      <c r="AF72" s="5445"/>
      <c r="AG72" s="5445"/>
      <c r="AH72" s="5445"/>
      <c r="AI72" s="5445"/>
      <c r="AJ72" s="5446"/>
      <c r="AK72" s="1143"/>
      <c r="AL72" s="1137"/>
      <c r="AM72" s="1137"/>
      <c r="AN72" s="2122"/>
      <c r="AO72" s="5444"/>
      <c r="AP72" s="5445"/>
      <c r="AQ72" s="5445"/>
      <c r="AR72" s="5445"/>
      <c r="AS72" s="5445"/>
      <c r="AT72" s="5445"/>
      <c r="AU72" s="5445"/>
      <c r="AV72" s="5445"/>
      <c r="AW72" s="5445"/>
      <c r="AX72" s="5445"/>
      <c r="AY72" s="5445"/>
      <c r="AZ72" s="5445"/>
      <c r="BA72" s="5445"/>
      <c r="BB72" s="5445"/>
      <c r="BC72" s="5446"/>
      <c r="BD72" s="1143"/>
      <c r="BE72" s="1137"/>
      <c r="BF72" s="1137"/>
      <c r="BG72" s="2122"/>
      <c r="BH72" s="5444"/>
      <c r="BI72" s="5445"/>
      <c r="BJ72" s="5445"/>
      <c r="BK72" s="5445"/>
      <c r="BL72" s="5445"/>
      <c r="BM72" s="5445"/>
      <c r="BN72" s="5445"/>
      <c r="BO72" s="5445"/>
      <c r="BP72" s="5445"/>
      <c r="BQ72" s="5445"/>
      <c r="BR72" s="5445"/>
      <c r="BS72" s="5445"/>
      <c r="BT72" s="5445"/>
      <c r="BU72" s="5445"/>
      <c r="BV72" s="5446"/>
      <c r="BW72" s="1143"/>
      <c r="BX72" s="1137"/>
      <c r="BY72" s="1137"/>
      <c r="BZ72" s="2122"/>
      <c r="CA72" s="5444"/>
      <c r="CB72" s="5445"/>
      <c r="CC72" s="5445"/>
      <c r="CD72" s="5445"/>
      <c r="CE72" s="5445"/>
      <c r="CF72" s="5445"/>
      <c r="CG72" s="5445"/>
      <c r="CH72" s="5445"/>
      <c r="CI72" s="5445"/>
      <c r="CJ72" s="5445"/>
      <c r="CK72" s="5445"/>
      <c r="CL72" s="5445"/>
      <c r="CM72" s="5445"/>
      <c r="CN72" s="5445"/>
      <c r="CO72" s="5446"/>
      <c r="CP72" s="1143"/>
      <c r="CQ72" s="1137"/>
    </row>
    <row r="73" spans="1:95" ht="12" customHeight="1" thickBot="1" x14ac:dyDescent="0.25">
      <c r="A73" s="1137"/>
      <c r="B73" s="2108"/>
      <c r="C73" s="5447"/>
      <c r="D73" s="5448"/>
      <c r="E73" s="5448"/>
      <c r="F73" s="5448"/>
      <c r="G73" s="5448"/>
      <c r="H73" s="5448"/>
      <c r="I73" s="5448"/>
      <c r="J73" s="5448"/>
      <c r="K73" s="5448"/>
      <c r="L73" s="5448"/>
      <c r="M73" s="5448"/>
      <c r="N73" s="5448"/>
      <c r="O73" s="5448"/>
      <c r="P73" s="5448"/>
      <c r="Q73" s="5449"/>
      <c r="R73" s="1143"/>
      <c r="S73" s="1137"/>
      <c r="T73" s="1137"/>
      <c r="U73" s="2108"/>
      <c r="V73" s="5447"/>
      <c r="W73" s="5448"/>
      <c r="X73" s="5448"/>
      <c r="Y73" s="5448"/>
      <c r="Z73" s="5448"/>
      <c r="AA73" s="5448"/>
      <c r="AB73" s="5448"/>
      <c r="AC73" s="5448"/>
      <c r="AD73" s="5448"/>
      <c r="AE73" s="5448"/>
      <c r="AF73" s="5448"/>
      <c r="AG73" s="5448"/>
      <c r="AH73" s="5448"/>
      <c r="AI73" s="5448"/>
      <c r="AJ73" s="5449"/>
      <c r="AK73" s="1143"/>
      <c r="AL73" s="1137"/>
      <c r="AM73" s="1137"/>
      <c r="AN73" s="2122"/>
      <c r="AO73" s="5447"/>
      <c r="AP73" s="5448"/>
      <c r="AQ73" s="5448"/>
      <c r="AR73" s="5448"/>
      <c r="AS73" s="5448"/>
      <c r="AT73" s="5448"/>
      <c r="AU73" s="5448"/>
      <c r="AV73" s="5448"/>
      <c r="AW73" s="5448"/>
      <c r="AX73" s="5448"/>
      <c r="AY73" s="5448"/>
      <c r="AZ73" s="5448"/>
      <c r="BA73" s="5448"/>
      <c r="BB73" s="5448"/>
      <c r="BC73" s="5449"/>
      <c r="BD73" s="1143"/>
      <c r="BE73" s="1137"/>
      <c r="BF73" s="1137"/>
      <c r="BG73" s="2122"/>
      <c r="BH73" s="5447"/>
      <c r="BI73" s="5448"/>
      <c r="BJ73" s="5448"/>
      <c r="BK73" s="5448"/>
      <c r="BL73" s="5448"/>
      <c r="BM73" s="5448"/>
      <c r="BN73" s="5448"/>
      <c r="BO73" s="5448"/>
      <c r="BP73" s="5448"/>
      <c r="BQ73" s="5448"/>
      <c r="BR73" s="5448"/>
      <c r="BS73" s="5448"/>
      <c r="BT73" s="5448"/>
      <c r="BU73" s="5448"/>
      <c r="BV73" s="5449"/>
      <c r="BW73" s="1143"/>
      <c r="BX73" s="1137"/>
      <c r="BY73" s="1137"/>
      <c r="BZ73" s="2122"/>
      <c r="CA73" s="5447"/>
      <c r="CB73" s="5448"/>
      <c r="CC73" s="5448"/>
      <c r="CD73" s="5448"/>
      <c r="CE73" s="5448"/>
      <c r="CF73" s="5448"/>
      <c r="CG73" s="5448"/>
      <c r="CH73" s="5448"/>
      <c r="CI73" s="5448"/>
      <c r="CJ73" s="5448"/>
      <c r="CK73" s="5448"/>
      <c r="CL73" s="5448"/>
      <c r="CM73" s="5448"/>
      <c r="CN73" s="5448"/>
      <c r="CO73" s="5449"/>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66"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67"/>
      <c r="E75" s="5467"/>
      <c r="F75" s="5467"/>
      <c r="G75" s="5467"/>
      <c r="H75" s="1157" t="s">
        <v>1627</v>
      </c>
      <c r="I75" s="1158">
        <f>B75</f>
        <v>14</v>
      </c>
      <c r="J75" s="5454" t="s">
        <v>7687</v>
      </c>
      <c r="K75" s="5454"/>
      <c r="L75" s="5454"/>
      <c r="M75" s="5455" t="e">
        <f>IF(C75=0,"",VLOOKUP(C75,'Tablas Magia'!$D$6:$Z$680,2,FALSE))</f>
        <v>#N/A</v>
      </c>
      <c r="N75" s="5455"/>
      <c r="O75" s="5455"/>
      <c r="P75" s="5455"/>
      <c r="Q75" s="5456"/>
      <c r="R75" s="1143"/>
      <c r="S75" s="1137"/>
      <c r="T75" s="1137"/>
      <c r="U75" s="2108">
        <f>U64+2</f>
        <v>34</v>
      </c>
      <c r="V75" s="5466"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67"/>
      <c r="X75" s="5467"/>
      <c r="Y75" s="5467"/>
      <c r="Z75" s="5467"/>
      <c r="AA75" s="1157" t="s">
        <v>1627</v>
      </c>
      <c r="AB75" s="1158">
        <f>U75</f>
        <v>34</v>
      </c>
      <c r="AC75" s="5454" t="s">
        <v>7687</v>
      </c>
      <c r="AD75" s="5454"/>
      <c r="AE75" s="5454"/>
      <c r="AF75" s="5455" t="e">
        <f>IF(V75=0,"",VLOOKUP(V75,'Tablas Magia'!$D$6:$Z$680,2,FALSE))</f>
        <v>#N/A</v>
      </c>
      <c r="AG75" s="5455"/>
      <c r="AH75" s="5455"/>
      <c r="AI75" s="5455"/>
      <c r="AJ75" s="5456"/>
      <c r="AK75" s="1143"/>
      <c r="AL75" s="1137"/>
      <c r="AM75" s="1137"/>
      <c r="AN75" s="2122">
        <f>AN64+2</f>
        <v>54</v>
      </c>
      <c r="AO75" s="5466"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67"/>
      <c r="AQ75" s="5467"/>
      <c r="AR75" s="5467"/>
      <c r="AS75" s="5467"/>
      <c r="AT75" s="1157" t="s">
        <v>1627</v>
      </c>
      <c r="AU75" s="1158">
        <f>AN75</f>
        <v>54</v>
      </c>
      <c r="AV75" s="5454" t="s">
        <v>7687</v>
      </c>
      <c r="AW75" s="5454"/>
      <c r="AX75" s="5454"/>
      <c r="AY75" s="5455" t="e">
        <f>IF(AO75=0,"",VLOOKUP(AO75,'Tablas Magia'!$D$6:$Z$680,2,FALSE))</f>
        <v>#N/A</v>
      </c>
      <c r="AZ75" s="5455"/>
      <c r="BA75" s="5455"/>
      <c r="BB75" s="5455"/>
      <c r="BC75" s="5456"/>
      <c r="BD75" s="1143"/>
      <c r="BE75" s="1137"/>
      <c r="BF75" s="1137"/>
      <c r="BG75" s="2122">
        <f>BG64+2</f>
        <v>74</v>
      </c>
      <c r="BH75" s="5466"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67"/>
      <c r="BJ75" s="5467"/>
      <c r="BK75" s="5467"/>
      <c r="BL75" s="5467"/>
      <c r="BM75" s="1157" t="s">
        <v>1627</v>
      </c>
      <c r="BN75" s="1158">
        <f>BG75</f>
        <v>74</v>
      </c>
      <c r="BO75" s="5454" t="s">
        <v>7687</v>
      </c>
      <c r="BP75" s="5454"/>
      <c r="BQ75" s="5454"/>
      <c r="BR75" s="5455" t="e">
        <f>IF(BH75=0,"",VLOOKUP(BH75,'Tablas Magia'!$D$6:$Z$680,2,FALSE))</f>
        <v>#N/A</v>
      </c>
      <c r="BS75" s="5455"/>
      <c r="BT75" s="5455"/>
      <c r="BU75" s="5455"/>
      <c r="BV75" s="5456"/>
      <c r="BW75" s="1143"/>
      <c r="BX75" s="1137"/>
      <c r="BY75" s="1137"/>
      <c r="BZ75" s="2122">
        <f>BZ64+2</f>
        <v>94</v>
      </c>
      <c r="CA75" s="5466"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67"/>
      <c r="CC75" s="5467"/>
      <c r="CD75" s="5467"/>
      <c r="CE75" s="5467"/>
      <c r="CF75" s="1157" t="s">
        <v>1627</v>
      </c>
      <c r="CG75" s="1158">
        <f>BZ75</f>
        <v>94</v>
      </c>
      <c r="CH75" s="5454" t="s">
        <v>7687</v>
      </c>
      <c r="CI75" s="5454"/>
      <c r="CJ75" s="5454"/>
      <c r="CK75" s="5455" t="e">
        <f>IF(CA75=0,"",VLOOKUP(CA75,'Tablas Magia'!$D$6:$Z$680,2,FALSE))</f>
        <v>#N/A</v>
      </c>
      <c r="CL75" s="5455"/>
      <c r="CM75" s="5455"/>
      <c r="CN75" s="5455"/>
      <c r="CO75" s="5456"/>
      <c r="CP75" s="1143"/>
      <c r="CQ75" s="1137"/>
    </row>
    <row r="76" spans="1:95" ht="12" customHeight="1" x14ac:dyDescent="0.2">
      <c r="A76" s="1137"/>
      <c r="B76" s="2108"/>
      <c r="C76" s="5450" t="s">
        <v>7688</v>
      </c>
      <c r="D76" s="5451"/>
      <c r="E76" s="1159" t="s">
        <v>7689</v>
      </c>
      <c r="F76" s="1159" t="s">
        <v>1820</v>
      </c>
      <c r="G76" s="1159" t="s">
        <v>3334</v>
      </c>
      <c r="H76" s="1160" t="s">
        <v>2165</v>
      </c>
      <c r="I76" s="5424" t="e">
        <f>IF(C75=0,"",VLOOKUP(C75,'Tablas Magia'!$D$6:$Z$680,5,FALSE))</f>
        <v>#N/A</v>
      </c>
      <c r="J76" s="5424"/>
      <c r="K76" s="5423" t="s">
        <v>7690</v>
      </c>
      <c r="L76" s="5423"/>
      <c r="M76" s="5424" t="e">
        <f>IF(C75=0,"",VLOOKUP(C75,'Tablas Magia'!$D$6:$Z$680,6,FALSE))</f>
        <v>#N/A</v>
      </c>
      <c r="N76" s="5424"/>
      <c r="O76" s="5425" t="s">
        <v>7691</v>
      </c>
      <c r="P76" s="5425"/>
      <c r="Q76" s="1161" t="e">
        <f>IF(C75=0,"",VLOOKUP(C75,'Tablas Magia'!$D$6:$Z$680,4,FALSE))</f>
        <v>#N/A</v>
      </c>
      <c r="R76" s="1143"/>
      <c r="S76" s="1137"/>
      <c r="T76" s="1137"/>
      <c r="U76" s="2108"/>
      <c r="V76" s="5450" t="s">
        <v>7688</v>
      </c>
      <c r="W76" s="5451"/>
      <c r="X76" s="1159" t="s">
        <v>7689</v>
      </c>
      <c r="Y76" s="1159" t="s">
        <v>1820</v>
      </c>
      <c r="Z76" s="1159" t="s">
        <v>3334</v>
      </c>
      <c r="AA76" s="1160" t="s">
        <v>2165</v>
      </c>
      <c r="AB76" s="5424" t="e">
        <f>IF(V75=0,"",VLOOKUP(V75,'Tablas Magia'!$D$6:$Z$680,5,FALSE))</f>
        <v>#N/A</v>
      </c>
      <c r="AC76" s="5424"/>
      <c r="AD76" s="5423" t="s">
        <v>7690</v>
      </c>
      <c r="AE76" s="5423"/>
      <c r="AF76" s="5424" t="e">
        <f>IF(V75=0,"",VLOOKUP(V75,'Tablas Magia'!$D$6:$Z$680,6,FALSE))</f>
        <v>#N/A</v>
      </c>
      <c r="AG76" s="5424"/>
      <c r="AH76" s="5425" t="s">
        <v>7691</v>
      </c>
      <c r="AI76" s="5425"/>
      <c r="AJ76" s="1161" t="e">
        <f>IF(V75=0,"",VLOOKUP(V75,'Tablas Magia'!$D$6:$Z$680,4,FALSE))</f>
        <v>#N/A</v>
      </c>
      <c r="AK76" s="1143"/>
      <c r="AL76" s="1137"/>
      <c r="AM76" s="1137"/>
      <c r="AN76" s="2122"/>
      <c r="AO76" s="5450" t="s">
        <v>7688</v>
      </c>
      <c r="AP76" s="5451"/>
      <c r="AQ76" s="1159" t="s">
        <v>7689</v>
      </c>
      <c r="AR76" s="1159" t="s">
        <v>1820</v>
      </c>
      <c r="AS76" s="1159" t="s">
        <v>3334</v>
      </c>
      <c r="AT76" s="1160" t="s">
        <v>2165</v>
      </c>
      <c r="AU76" s="5424" t="e">
        <f>IF(AO75=0,"",VLOOKUP(AO75,'Tablas Magia'!$D$6:$Z$680,5,FALSE))</f>
        <v>#N/A</v>
      </c>
      <c r="AV76" s="5424"/>
      <c r="AW76" s="5423" t="s">
        <v>7690</v>
      </c>
      <c r="AX76" s="5423"/>
      <c r="AY76" s="5424" t="e">
        <f>IF(AO75=0,"",VLOOKUP(AO75,'Tablas Magia'!$D$6:$Z$680,6,FALSE))</f>
        <v>#N/A</v>
      </c>
      <c r="AZ76" s="5424"/>
      <c r="BA76" s="5425" t="s">
        <v>7691</v>
      </c>
      <c r="BB76" s="5425"/>
      <c r="BC76" s="1161" t="e">
        <f>IF(AO75=0,"",VLOOKUP(AO75,'Tablas Magia'!$D$6:$Z$680,4,FALSE))</f>
        <v>#N/A</v>
      </c>
      <c r="BD76" s="1143"/>
      <c r="BE76" s="1137"/>
      <c r="BF76" s="1137"/>
      <c r="BG76" s="2122"/>
      <c r="BH76" s="5450" t="s">
        <v>7688</v>
      </c>
      <c r="BI76" s="5451"/>
      <c r="BJ76" s="1159" t="s">
        <v>7689</v>
      </c>
      <c r="BK76" s="1159" t="s">
        <v>1820</v>
      </c>
      <c r="BL76" s="1159" t="s">
        <v>3334</v>
      </c>
      <c r="BM76" s="1160" t="s">
        <v>2165</v>
      </c>
      <c r="BN76" s="5424" t="e">
        <f>IF(BH75=0,"",VLOOKUP(BH75,'Tablas Magia'!$D$6:$Z$680,5,FALSE))</f>
        <v>#N/A</v>
      </c>
      <c r="BO76" s="5424"/>
      <c r="BP76" s="5423" t="s">
        <v>7690</v>
      </c>
      <c r="BQ76" s="5423"/>
      <c r="BR76" s="5424" t="e">
        <f>IF(BH75=0,"",VLOOKUP(BH75,'Tablas Magia'!$D$6:$Z$680,6,FALSE))</f>
        <v>#N/A</v>
      </c>
      <c r="BS76" s="5424"/>
      <c r="BT76" s="5425" t="s">
        <v>7691</v>
      </c>
      <c r="BU76" s="5425"/>
      <c r="BV76" s="1161" t="e">
        <f>IF(BH75=0,"",VLOOKUP(BH75,'Tablas Magia'!$D$6:$Z$680,4,FALSE))</f>
        <v>#N/A</v>
      </c>
      <c r="BW76" s="1143"/>
      <c r="BX76" s="1137"/>
      <c r="BY76" s="1137"/>
      <c r="BZ76" s="2122"/>
      <c r="CA76" s="5450" t="s">
        <v>7688</v>
      </c>
      <c r="CB76" s="5451"/>
      <c r="CC76" s="1159" t="s">
        <v>7689</v>
      </c>
      <c r="CD76" s="1159" t="s">
        <v>1820</v>
      </c>
      <c r="CE76" s="1159" t="s">
        <v>3334</v>
      </c>
      <c r="CF76" s="1160" t="s">
        <v>2165</v>
      </c>
      <c r="CG76" s="5424" t="e">
        <f>IF(CA75=0,"",VLOOKUP(CA75,'Tablas Magia'!$D$6:$Z$680,5,FALSE))</f>
        <v>#N/A</v>
      </c>
      <c r="CH76" s="5424"/>
      <c r="CI76" s="5423" t="s">
        <v>7690</v>
      </c>
      <c r="CJ76" s="5423"/>
      <c r="CK76" s="5424" t="e">
        <f>IF(CA75=0,"",VLOOKUP(CA75,'Tablas Magia'!$D$6:$Z$680,6,FALSE))</f>
        <v>#N/A</v>
      </c>
      <c r="CL76" s="5424"/>
      <c r="CM76" s="5425" t="s">
        <v>7691</v>
      </c>
      <c r="CN76" s="5425"/>
      <c r="CO76" s="1161" t="e">
        <f>IF(CA75=0,"",VLOOKUP(CA75,'Tablas Magia'!$D$6:$Z$680,4,FALSE))</f>
        <v>#N/A</v>
      </c>
      <c r="CP76" s="1143"/>
      <c r="CQ76" s="1137"/>
    </row>
    <row r="77" spans="1:95" ht="12" customHeight="1" x14ac:dyDescent="0.2">
      <c r="A77" s="1137"/>
      <c r="B77" s="2108"/>
      <c r="C77" s="5426" t="s">
        <v>1674</v>
      </c>
      <c r="D77" s="5427"/>
      <c r="E77" s="1162" t="e">
        <f>IF(C75=0,"",VLOOKUP(C75,'Tablas Magia'!$D$6:$Z$680,7,FALSE))</f>
        <v>#N/A</v>
      </c>
      <c r="F77" s="1162" t="e">
        <f>IF(C75=0,"",VLOOKUP(C75,'Tablas Magia'!$D$6:$Z$680,11,FALSE))</f>
        <v>#N/A</v>
      </c>
      <c r="G77" s="1163" t="e">
        <f>IF(C75=0,"",VLOOKUP(C75,'Tablas Magia'!$D$6:$Z$680,15,FALSE))</f>
        <v>#N/A</v>
      </c>
      <c r="H77" s="5428" t="e">
        <f>IF(C75=0,"",VLOOKUP(C75,'Tablas Magia'!$D$6:$Z$680,19,FALSE))</f>
        <v>#N/A</v>
      </c>
      <c r="I77" s="5429"/>
      <c r="J77" s="5429"/>
      <c r="K77" s="5429"/>
      <c r="L77" s="5429"/>
      <c r="M77" s="5429"/>
      <c r="N77" s="5429"/>
      <c r="O77" s="5429"/>
      <c r="P77" s="5429"/>
      <c r="Q77" s="5430"/>
      <c r="R77" s="1143"/>
      <c r="S77" s="1137"/>
      <c r="T77" s="1137"/>
      <c r="U77" s="2108"/>
      <c r="V77" s="5426" t="s">
        <v>1674</v>
      </c>
      <c r="W77" s="5427"/>
      <c r="X77" s="1162" t="e">
        <f>IF(V75=0,"",VLOOKUP(V75,'Tablas Magia'!$D$6:$Z$680,7,FALSE))</f>
        <v>#N/A</v>
      </c>
      <c r="Y77" s="1162" t="e">
        <f>IF(V75=0,"",VLOOKUP(V75,'Tablas Magia'!$D$6:$Z$680,11,FALSE))</f>
        <v>#N/A</v>
      </c>
      <c r="Z77" s="1163" t="e">
        <f>IF(V75=0,"",VLOOKUP(V75,'Tablas Magia'!$D$6:$Z$680,15,FALSE))</f>
        <v>#N/A</v>
      </c>
      <c r="AA77" s="5428" t="e">
        <f>IF(V75=0,"",VLOOKUP(V75,'Tablas Magia'!$D$6:$Z$680,19,FALSE))</f>
        <v>#N/A</v>
      </c>
      <c r="AB77" s="5429"/>
      <c r="AC77" s="5429"/>
      <c r="AD77" s="5429"/>
      <c r="AE77" s="5429"/>
      <c r="AF77" s="5429"/>
      <c r="AG77" s="5429"/>
      <c r="AH77" s="5429"/>
      <c r="AI77" s="5429"/>
      <c r="AJ77" s="5430"/>
      <c r="AK77" s="1143"/>
      <c r="AL77" s="1137"/>
      <c r="AM77" s="1137"/>
      <c r="AN77" s="2122"/>
      <c r="AO77" s="5426" t="s">
        <v>1674</v>
      </c>
      <c r="AP77" s="5427"/>
      <c r="AQ77" s="1162" t="e">
        <f>IF(AO75=0,"",VLOOKUP(AO75,'Tablas Magia'!$D$6:$Z$680,7,FALSE))</f>
        <v>#N/A</v>
      </c>
      <c r="AR77" s="1162" t="e">
        <f>IF(AO75=0,"",VLOOKUP(AO75,'Tablas Magia'!$D$6:$Z$680,11,FALSE))</f>
        <v>#N/A</v>
      </c>
      <c r="AS77" s="1163" t="e">
        <f>IF(AO75=0,"",VLOOKUP(AO75,'Tablas Magia'!$D$6:$Z$680,15,FALSE))</f>
        <v>#N/A</v>
      </c>
      <c r="AT77" s="5428" t="e">
        <f>IF(AO75=0,"",VLOOKUP(AO75,'Tablas Magia'!$D$6:$Z$680,19,FALSE))</f>
        <v>#N/A</v>
      </c>
      <c r="AU77" s="5429"/>
      <c r="AV77" s="5429"/>
      <c r="AW77" s="5429"/>
      <c r="AX77" s="5429"/>
      <c r="AY77" s="5429"/>
      <c r="AZ77" s="5429"/>
      <c r="BA77" s="5429"/>
      <c r="BB77" s="5429"/>
      <c r="BC77" s="5430"/>
      <c r="BD77" s="1143"/>
      <c r="BE77" s="1137"/>
      <c r="BF77" s="1137"/>
      <c r="BG77" s="2122"/>
      <c r="BH77" s="5426" t="s">
        <v>1674</v>
      </c>
      <c r="BI77" s="5427"/>
      <c r="BJ77" s="1162" t="e">
        <f>IF(BH75=0,"",VLOOKUP(BH75,'Tablas Magia'!$D$6:$Z$680,7,FALSE))</f>
        <v>#N/A</v>
      </c>
      <c r="BK77" s="1162" t="e">
        <f>IF(BH75=0,"",VLOOKUP(BH75,'Tablas Magia'!$D$6:$Z$680,11,FALSE))</f>
        <v>#N/A</v>
      </c>
      <c r="BL77" s="1163" t="e">
        <f>IF(BH75=0,"",VLOOKUP(BH75,'Tablas Magia'!$D$6:$Z$680,15,FALSE))</f>
        <v>#N/A</v>
      </c>
      <c r="BM77" s="5428" t="e">
        <f>IF(BH75=0,"",VLOOKUP(BH75,'Tablas Magia'!$D$6:$Z$680,19,FALSE))</f>
        <v>#N/A</v>
      </c>
      <c r="BN77" s="5429"/>
      <c r="BO77" s="5429"/>
      <c r="BP77" s="5429"/>
      <c r="BQ77" s="5429"/>
      <c r="BR77" s="5429"/>
      <c r="BS77" s="5429"/>
      <c r="BT77" s="5429"/>
      <c r="BU77" s="5429"/>
      <c r="BV77" s="5430"/>
      <c r="BW77" s="1143"/>
      <c r="BX77" s="1137"/>
      <c r="BY77" s="1137"/>
      <c r="BZ77" s="2122"/>
      <c r="CA77" s="5426" t="s">
        <v>1674</v>
      </c>
      <c r="CB77" s="5427"/>
      <c r="CC77" s="1162" t="e">
        <f>IF(CA75=0,"",VLOOKUP(CA75,'Tablas Magia'!$D$6:$Z$680,7,FALSE))</f>
        <v>#N/A</v>
      </c>
      <c r="CD77" s="1162" t="e">
        <f>IF(CA75=0,"",VLOOKUP(CA75,'Tablas Magia'!$D$6:$Z$680,11,FALSE))</f>
        <v>#N/A</v>
      </c>
      <c r="CE77" s="1163" t="e">
        <f>IF(CA75=0,"",VLOOKUP(CA75,'Tablas Magia'!$D$6:$Z$680,15,FALSE))</f>
        <v>#N/A</v>
      </c>
      <c r="CF77" s="5428" t="e">
        <f>IF(CA75=0,"",VLOOKUP(CA75,'Tablas Magia'!$D$6:$Z$680,19,FALSE))</f>
        <v>#N/A</v>
      </c>
      <c r="CG77" s="5429"/>
      <c r="CH77" s="5429"/>
      <c r="CI77" s="5429"/>
      <c r="CJ77" s="5429"/>
      <c r="CK77" s="5429"/>
      <c r="CL77" s="5429"/>
      <c r="CM77" s="5429"/>
      <c r="CN77" s="5429"/>
      <c r="CO77" s="5430"/>
      <c r="CP77" s="1143"/>
      <c r="CQ77" s="1137"/>
    </row>
    <row r="78" spans="1:95" ht="12" customHeight="1" x14ac:dyDescent="0.2">
      <c r="A78" s="1137"/>
      <c r="B78" s="2108"/>
      <c r="C78" s="5431" t="s">
        <v>4572</v>
      </c>
      <c r="D78" s="5432"/>
      <c r="E78" s="1164" t="e">
        <f>IF(C75=0,"",VLOOKUP(C75,'Tablas Magia'!$D$6:$Z$680,8,FALSE))</f>
        <v>#N/A</v>
      </c>
      <c r="F78" s="1164" t="e">
        <f>IF(C75=0,"",VLOOKUP(C75,'Tablas Magia'!$D$6:$Z$680,12,FALSE))</f>
        <v>#N/A</v>
      </c>
      <c r="G78" s="1165" t="e">
        <f>IF(C75=0,"",VLOOKUP(C75,'Tablas Magia'!$D$6:$Z$680,16,FALSE))</f>
        <v>#N/A</v>
      </c>
      <c r="H78" s="5433" t="e">
        <f>IF(C75=0,"",VLOOKUP(C75,'Tablas Magia'!$D$6:$Z$680,20,FALSE))</f>
        <v>#N/A</v>
      </c>
      <c r="I78" s="5434"/>
      <c r="J78" s="5434"/>
      <c r="K78" s="5434"/>
      <c r="L78" s="5434"/>
      <c r="M78" s="5434"/>
      <c r="N78" s="5434"/>
      <c r="O78" s="5434"/>
      <c r="P78" s="5434"/>
      <c r="Q78" s="5435"/>
      <c r="R78" s="1143"/>
      <c r="S78" s="1137"/>
      <c r="T78" s="1137"/>
      <c r="U78" s="2108"/>
      <c r="V78" s="5431" t="s">
        <v>4572</v>
      </c>
      <c r="W78" s="5432"/>
      <c r="X78" s="1164" t="e">
        <f>IF(V75=0,"",VLOOKUP(V75,'Tablas Magia'!$D$6:$Z$680,8,FALSE))</f>
        <v>#N/A</v>
      </c>
      <c r="Y78" s="1164" t="e">
        <f>IF(V75=0,"",VLOOKUP(V75,'Tablas Magia'!$D$6:$Z$680,12,FALSE))</f>
        <v>#N/A</v>
      </c>
      <c r="Z78" s="1165" t="e">
        <f>IF(V75=0,"",VLOOKUP(V75,'Tablas Magia'!$D$6:$Z$680,16,FALSE))</f>
        <v>#N/A</v>
      </c>
      <c r="AA78" s="5433" t="e">
        <f>IF(V75=0,"",VLOOKUP(V75,'Tablas Magia'!$D$6:$Z$680,20,FALSE))</f>
        <v>#N/A</v>
      </c>
      <c r="AB78" s="5434"/>
      <c r="AC78" s="5434"/>
      <c r="AD78" s="5434"/>
      <c r="AE78" s="5434"/>
      <c r="AF78" s="5434"/>
      <c r="AG78" s="5434"/>
      <c r="AH78" s="5434"/>
      <c r="AI78" s="5434"/>
      <c r="AJ78" s="5435"/>
      <c r="AK78" s="1143"/>
      <c r="AL78" s="1137"/>
      <c r="AM78" s="1137"/>
      <c r="AN78" s="2122"/>
      <c r="AO78" s="5431" t="s">
        <v>4572</v>
      </c>
      <c r="AP78" s="5432"/>
      <c r="AQ78" s="1164" t="e">
        <f>IF(AO75=0,"",VLOOKUP(AO75,'Tablas Magia'!$D$6:$Z$680,8,FALSE))</f>
        <v>#N/A</v>
      </c>
      <c r="AR78" s="1164" t="e">
        <f>IF(AO75=0,"",VLOOKUP(AO75,'Tablas Magia'!$D$6:$Z$680,12,FALSE))</f>
        <v>#N/A</v>
      </c>
      <c r="AS78" s="1165" t="e">
        <f>IF(AO75=0,"",VLOOKUP(AO75,'Tablas Magia'!$D$6:$Z$680,16,FALSE))</f>
        <v>#N/A</v>
      </c>
      <c r="AT78" s="5433" t="e">
        <f>IF(AO75=0,"",VLOOKUP(AO75,'Tablas Magia'!$D$6:$Z$680,20,FALSE))</f>
        <v>#N/A</v>
      </c>
      <c r="AU78" s="5434"/>
      <c r="AV78" s="5434"/>
      <c r="AW78" s="5434"/>
      <c r="AX78" s="5434"/>
      <c r="AY78" s="5434"/>
      <c r="AZ78" s="5434"/>
      <c r="BA78" s="5434"/>
      <c r="BB78" s="5434"/>
      <c r="BC78" s="5435"/>
      <c r="BD78" s="1143"/>
      <c r="BE78" s="1137"/>
      <c r="BF78" s="1137"/>
      <c r="BG78" s="2122"/>
      <c r="BH78" s="5431" t="s">
        <v>4572</v>
      </c>
      <c r="BI78" s="5432"/>
      <c r="BJ78" s="1164" t="e">
        <f>IF(BH75=0,"",VLOOKUP(BH75,'Tablas Magia'!$D$6:$Z$680,8,FALSE))</f>
        <v>#N/A</v>
      </c>
      <c r="BK78" s="1164" t="e">
        <f>IF(BH75=0,"",VLOOKUP(BH75,'Tablas Magia'!$D$6:$Z$680,12,FALSE))</f>
        <v>#N/A</v>
      </c>
      <c r="BL78" s="1165" t="e">
        <f>IF(BH75=0,"",VLOOKUP(BH75,'Tablas Magia'!$D$6:$Z$680,16,FALSE))</f>
        <v>#N/A</v>
      </c>
      <c r="BM78" s="5433" t="e">
        <f>IF(BH75=0,"",VLOOKUP(BH75,'Tablas Magia'!$D$6:$Z$680,20,FALSE))</f>
        <v>#N/A</v>
      </c>
      <c r="BN78" s="5434"/>
      <c r="BO78" s="5434"/>
      <c r="BP78" s="5434"/>
      <c r="BQ78" s="5434"/>
      <c r="BR78" s="5434"/>
      <c r="BS78" s="5434"/>
      <c r="BT78" s="5434"/>
      <c r="BU78" s="5434"/>
      <c r="BV78" s="5435"/>
      <c r="BW78" s="1143"/>
      <c r="BX78" s="1137"/>
      <c r="BY78" s="1137"/>
      <c r="BZ78" s="2122"/>
      <c r="CA78" s="5431" t="s">
        <v>4572</v>
      </c>
      <c r="CB78" s="5432"/>
      <c r="CC78" s="1164" t="e">
        <f>IF(CA75=0,"",VLOOKUP(CA75,'Tablas Magia'!$D$6:$Z$680,8,FALSE))</f>
        <v>#N/A</v>
      </c>
      <c r="CD78" s="1164" t="e">
        <f>IF(CA75=0,"",VLOOKUP(CA75,'Tablas Magia'!$D$6:$Z$680,12,FALSE))</f>
        <v>#N/A</v>
      </c>
      <c r="CE78" s="1165" t="e">
        <f>IF(CA75=0,"",VLOOKUP(CA75,'Tablas Magia'!$D$6:$Z$680,16,FALSE))</f>
        <v>#N/A</v>
      </c>
      <c r="CF78" s="5433" t="e">
        <f>IF(CA75=0,"",VLOOKUP(CA75,'Tablas Magia'!$D$6:$Z$680,20,FALSE))</f>
        <v>#N/A</v>
      </c>
      <c r="CG78" s="5434"/>
      <c r="CH78" s="5434"/>
      <c r="CI78" s="5434"/>
      <c r="CJ78" s="5434"/>
      <c r="CK78" s="5434"/>
      <c r="CL78" s="5434"/>
      <c r="CM78" s="5434"/>
      <c r="CN78" s="5434"/>
      <c r="CO78" s="5435"/>
      <c r="CP78" s="1143"/>
      <c r="CQ78" s="1137"/>
    </row>
    <row r="79" spans="1:95" ht="12" customHeight="1" x14ac:dyDescent="0.2">
      <c r="A79" s="1137"/>
      <c r="B79" s="2108"/>
      <c r="C79" s="5426" t="s">
        <v>4573</v>
      </c>
      <c r="D79" s="5427"/>
      <c r="E79" s="1162" t="e">
        <f>IF(C75=0,"",VLOOKUP(C75,'Tablas Magia'!$D$6:$Z$680,9,FALSE))</f>
        <v>#N/A</v>
      </c>
      <c r="F79" s="1162" t="e">
        <f>IF(C75=0,"",VLOOKUP(C75,'Tablas Magia'!$D$6:$Z$680,13,FALSE))</f>
        <v>#N/A</v>
      </c>
      <c r="G79" s="1163" t="e">
        <f>IF(C75=0,"",VLOOKUP(C75,'Tablas Magia'!$D$6:$Z$680,17,FALSE))</f>
        <v>#N/A</v>
      </c>
      <c r="H79" s="5428" t="e">
        <f>IF(C75=0,"",VLOOKUP(C75,'Tablas Magia'!$D$6:$Z$680,21,FALSE))</f>
        <v>#N/A</v>
      </c>
      <c r="I79" s="5429"/>
      <c r="J79" s="5429"/>
      <c r="K79" s="5429"/>
      <c r="L79" s="5429"/>
      <c r="M79" s="5429"/>
      <c r="N79" s="5429"/>
      <c r="O79" s="5429"/>
      <c r="P79" s="5429"/>
      <c r="Q79" s="5430"/>
      <c r="R79" s="1143"/>
      <c r="S79" s="1137"/>
      <c r="T79" s="1137"/>
      <c r="U79" s="2108"/>
      <c r="V79" s="5426" t="s">
        <v>4573</v>
      </c>
      <c r="W79" s="5427"/>
      <c r="X79" s="1162" t="e">
        <f>IF(V75=0,"",VLOOKUP(V75,'Tablas Magia'!$D$6:$Z$680,9,FALSE))</f>
        <v>#N/A</v>
      </c>
      <c r="Y79" s="1162" t="e">
        <f>IF(V75=0,"",VLOOKUP(V75,'Tablas Magia'!$D$6:$Z$680,13,FALSE))</f>
        <v>#N/A</v>
      </c>
      <c r="Z79" s="1163" t="e">
        <f>IF(V75=0,"",VLOOKUP(V75,'Tablas Magia'!$D$6:$Z$680,17,FALSE))</f>
        <v>#N/A</v>
      </c>
      <c r="AA79" s="5428" t="e">
        <f>IF(V75=0,"",VLOOKUP(V75,'Tablas Magia'!$D$6:$Z$680,21,FALSE))</f>
        <v>#N/A</v>
      </c>
      <c r="AB79" s="5429"/>
      <c r="AC79" s="5429"/>
      <c r="AD79" s="5429"/>
      <c r="AE79" s="5429"/>
      <c r="AF79" s="5429"/>
      <c r="AG79" s="5429"/>
      <c r="AH79" s="5429"/>
      <c r="AI79" s="5429"/>
      <c r="AJ79" s="5430"/>
      <c r="AK79" s="1143"/>
      <c r="AL79" s="1137"/>
      <c r="AM79" s="1137"/>
      <c r="AN79" s="2122"/>
      <c r="AO79" s="5426" t="s">
        <v>4573</v>
      </c>
      <c r="AP79" s="5427"/>
      <c r="AQ79" s="1162" t="e">
        <f>IF(AO75=0,"",VLOOKUP(AO75,'Tablas Magia'!$D$6:$Z$680,9,FALSE))</f>
        <v>#N/A</v>
      </c>
      <c r="AR79" s="1162" t="e">
        <f>IF(AO75=0,"",VLOOKUP(AO75,'Tablas Magia'!$D$6:$Z$680,13,FALSE))</f>
        <v>#N/A</v>
      </c>
      <c r="AS79" s="1163" t="e">
        <f>IF(AO75=0,"",VLOOKUP(AO75,'Tablas Magia'!$D$6:$Z$680,17,FALSE))</f>
        <v>#N/A</v>
      </c>
      <c r="AT79" s="5428" t="e">
        <f>IF(AO75=0,"",VLOOKUP(AO75,'Tablas Magia'!$D$6:$Z$680,21,FALSE))</f>
        <v>#N/A</v>
      </c>
      <c r="AU79" s="5429"/>
      <c r="AV79" s="5429"/>
      <c r="AW79" s="5429"/>
      <c r="AX79" s="5429"/>
      <c r="AY79" s="5429"/>
      <c r="AZ79" s="5429"/>
      <c r="BA79" s="5429"/>
      <c r="BB79" s="5429"/>
      <c r="BC79" s="5430"/>
      <c r="BD79" s="1143"/>
      <c r="BE79" s="1137"/>
      <c r="BF79" s="1137"/>
      <c r="BG79" s="2122"/>
      <c r="BH79" s="5426" t="s">
        <v>4573</v>
      </c>
      <c r="BI79" s="5427"/>
      <c r="BJ79" s="1162" t="e">
        <f>IF(BH75=0,"",VLOOKUP(BH75,'Tablas Magia'!$D$6:$Z$680,9,FALSE))</f>
        <v>#N/A</v>
      </c>
      <c r="BK79" s="1162" t="e">
        <f>IF(BH75=0,"",VLOOKUP(BH75,'Tablas Magia'!$D$6:$Z$680,13,FALSE))</f>
        <v>#N/A</v>
      </c>
      <c r="BL79" s="1163" t="e">
        <f>IF(BH75=0,"",VLOOKUP(BH75,'Tablas Magia'!$D$6:$Z$680,17,FALSE))</f>
        <v>#N/A</v>
      </c>
      <c r="BM79" s="5428" t="e">
        <f>IF(BH75=0,"",VLOOKUP(BH75,'Tablas Magia'!$D$6:$Z$680,21,FALSE))</f>
        <v>#N/A</v>
      </c>
      <c r="BN79" s="5429"/>
      <c r="BO79" s="5429"/>
      <c r="BP79" s="5429"/>
      <c r="BQ79" s="5429"/>
      <c r="BR79" s="5429"/>
      <c r="BS79" s="5429"/>
      <c r="BT79" s="5429"/>
      <c r="BU79" s="5429"/>
      <c r="BV79" s="5430"/>
      <c r="BW79" s="1143"/>
      <c r="BX79" s="1137"/>
      <c r="BY79" s="1137"/>
      <c r="BZ79" s="2122"/>
      <c r="CA79" s="5426" t="s">
        <v>4573</v>
      </c>
      <c r="CB79" s="5427"/>
      <c r="CC79" s="1162" t="e">
        <f>IF(CA75=0,"",VLOOKUP(CA75,'Tablas Magia'!$D$6:$Z$680,9,FALSE))</f>
        <v>#N/A</v>
      </c>
      <c r="CD79" s="1162" t="e">
        <f>IF(CA75=0,"",VLOOKUP(CA75,'Tablas Magia'!$D$6:$Z$680,13,FALSE))</f>
        <v>#N/A</v>
      </c>
      <c r="CE79" s="1163" t="e">
        <f>IF(CA75=0,"",VLOOKUP(CA75,'Tablas Magia'!$D$6:$Z$680,17,FALSE))</f>
        <v>#N/A</v>
      </c>
      <c r="CF79" s="5428" t="e">
        <f>IF(CA75=0,"",VLOOKUP(CA75,'Tablas Magia'!$D$6:$Z$680,21,FALSE))</f>
        <v>#N/A</v>
      </c>
      <c r="CG79" s="5429"/>
      <c r="CH79" s="5429"/>
      <c r="CI79" s="5429"/>
      <c r="CJ79" s="5429"/>
      <c r="CK79" s="5429"/>
      <c r="CL79" s="5429"/>
      <c r="CM79" s="5429"/>
      <c r="CN79" s="5429"/>
      <c r="CO79" s="5430"/>
      <c r="CP79" s="1143"/>
      <c r="CQ79" s="1137"/>
    </row>
    <row r="80" spans="1:95" ht="12" customHeight="1" thickBot="1" x14ac:dyDescent="0.25">
      <c r="A80" s="1137"/>
      <c r="B80" s="2108"/>
      <c r="C80" s="5436" t="s">
        <v>4574</v>
      </c>
      <c r="D80" s="5437"/>
      <c r="E80" s="1166" t="e">
        <f>IF(C75=0,"",VLOOKUP(C75,'Tablas Magia'!$D$6:$Z$680,10,FALSE))</f>
        <v>#N/A</v>
      </c>
      <c r="F80" s="1166" t="e">
        <f>IF(C75=0,"",VLOOKUP(C75,'Tablas Magia'!$D$6:$Z$680,14,FALSE))</f>
        <v>#N/A</v>
      </c>
      <c r="G80" s="1167" t="e">
        <f>IF(C75=0,"",VLOOKUP(C75,'Tablas Magia'!$D$6:$Z$680,18,FALSE))</f>
        <v>#N/A</v>
      </c>
      <c r="H80" s="5438" t="e">
        <f>IF(C75=0,"",VLOOKUP(C75,'Tablas Magia'!$D$6:$Z$680,22,FALSE))</f>
        <v>#N/A</v>
      </c>
      <c r="I80" s="5439"/>
      <c r="J80" s="5439"/>
      <c r="K80" s="5439"/>
      <c r="L80" s="5439"/>
      <c r="M80" s="5439"/>
      <c r="N80" s="5439"/>
      <c r="O80" s="5439"/>
      <c r="P80" s="5439"/>
      <c r="Q80" s="5440"/>
      <c r="R80" s="1143"/>
      <c r="S80" s="1137"/>
      <c r="T80" s="1137"/>
      <c r="U80" s="2108"/>
      <c r="V80" s="5436" t="s">
        <v>4574</v>
      </c>
      <c r="W80" s="5437"/>
      <c r="X80" s="1166" t="e">
        <f>IF(V75=0,"",VLOOKUP(V75,'Tablas Magia'!$D$6:$Z$680,10,FALSE))</f>
        <v>#N/A</v>
      </c>
      <c r="Y80" s="1166" t="e">
        <f>IF(V75=0,"",VLOOKUP(V75,'Tablas Magia'!$D$6:$Z$680,14,FALSE))</f>
        <v>#N/A</v>
      </c>
      <c r="Z80" s="1167" t="e">
        <f>IF(V75=0,"",VLOOKUP(V75,'Tablas Magia'!$D$6:$Z$680,18,FALSE))</f>
        <v>#N/A</v>
      </c>
      <c r="AA80" s="5438" t="e">
        <f>IF(V75=0,"",VLOOKUP(V75,'Tablas Magia'!$D$6:$Z$680,22,FALSE))</f>
        <v>#N/A</v>
      </c>
      <c r="AB80" s="5439"/>
      <c r="AC80" s="5439"/>
      <c r="AD80" s="5439"/>
      <c r="AE80" s="5439"/>
      <c r="AF80" s="5439"/>
      <c r="AG80" s="5439"/>
      <c r="AH80" s="5439"/>
      <c r="AI80" s="5439"/>
      <c r="AJ80" s="5440"/>
      <c r="AK80" s="1143"/>
      <c r="AL80" s="1137"/>
      <c r="AM80" s="1137"/>
      <c r="AN80" s="2122"/>
      <c r="AO80" s="5436" t="s">
        <v>4574</v>
      </c>
      <c r="AP80" s="5437"/>
      <c r="AQ80" s="1166" t="e">
        <f>IF(AO75=0,"",VLOOKUP(AO75,'Tablas Magia'!$D$6:$Z$680,10,FALSE))</f>
        <v>#N/A</v>
      </c>
      <c r="AR80" s="1166" t="e">
        <f>IF(AO75=0,"",VLOOKUP(AO75,'Tablas Magia'!$D$6:$Z$680,14,FALSE))</f>
        <v>#N/A</v>
      </c>
      <c r="AS80" s="1167" t="e">
        <f>IF(AO75=0,"",VLOOKUP(AO75,'Tablas Magia'!$D$6:$Z$680,18,FALSE))</f>
        <v>#N/A</v>
      </c>
      <c r="AT80" s="5438" t="e">
        <f>IF(AO75=0,"",VLOOKUP(AO75,'Tablas Magia'!$D$6:$Z$680,22,FALSE))</f>
        <v>#N/A</v>
      </c>
      <c r="AU80" s="5439"/>
      <c r="AV80" s="5439"/>
      <c r="AW80" s="5439"/>
      <c r="AX80" s="5439"/>
      <c r="AY80" s="5439"/>
      <c r="AZ80" s="5439"/>
      <c r="BA80" s="5439"/>
      <c r="BB80" s="5439"/>
      <c r="BC80" s="5440"/>
      <c r="BD80" s="1143"/>
      <c r="BE80" s="1137"/>
      <c r="BF80" s="1137"/>
      <c r="BG80" s="2122"/>
      <c r="BH80" s="5436" t="s">
        <v>4574</v>
      </c>
      <c r="BI80" s="5437"/>
      <c r="BJ80" s="1166" t="e">
        <f>IF(BH75=0,"",VLOOKUP(BH75,'Tablas Magia'!$D$6:$Z$680,10,FALSE))</f>
        <v>#N/A</v>
      </c>
      <c r="BK80" s="1166" t="e">
        <f>IF(BH75=0,"",VLOOKUP(BH75,'Tablas Magia'!$D$6:$Z$680,14,FALSE))</f>
        <v>#N/A</v>
      </c>
      <c r="BL80" s="1167" t="e">
        <f>IF(BH75=0,"",VLOOKUP(BH75,'Tablas Magia'!$D$6:$Z$680,18,FALSE))</f>
        <v>#N/A</v>
      </c>
      <c r="BM80" s="5438" t="e">
        <f>IF(BH75=0,"",VLOOKUP(BH75,'Tablas Magia'!$D$6:$Z$680,22,FALSE))</f>
        <v>#N/A</v>
      </c>
      <c r="BN80" s="5439"/>
      <c r="BO80" s="5439"/>
      <c r="BP80" s="5439"/>
      <c r="BQ80" s="5439"/>
      <c r="BR80" s="5439"/>
      <c r="BS80" s="5439"/>
      <c r="BT80" s="5439"/>
      <c r="BU80" s="5439"/>
      <c r="BV80" s="5440"/>
      <c r="BW80" s="1143"/>
      <c r="BX80" s="1137"/>
      <c r="BY80" s="1137"/>
      <c r="BZ80" s="2122"/>
      <c r="CA80" s="5436" t="s">
        <v>4574</v>
      </c>
      <c r="CB80" s="5437"/>
      <c r="CC80" s="1166" t="e">
        <f>IF(CA75=0,"",VLOOKUP(CA75,'Tablas Magia'!$D$6:$Z$680,10,FALSE))</f>
        <v>#N/A</v>
      </c>
      <c r="CD80" s="1166" t="e">
        <f>IF(CA75=0,"",VLOOKUP(CA75,'Tablas Magia'!$D$6:$Z$680,14,FALSE))</f>
        <v>#N/A</v>
      </c>
      <c r="CE80" s="1167" t="e">
        <f>IF(CA75=0,"",VLOOKUP(CA75,'Tablas Magia'!$D$6:$Z$680,18,FALSE))</f>
        <v>#N/A</v>
      </c>
      <c r="CF80" s="5438" t="e">
        <f>IF(CA75=0,"",VLOOKUP(CA75,'Tablas Magia'!$D$6:$Z$680,22,FALSE))</f>
        <v>#N/A</v>
      </c>
      <c r="CG80" s="5439"/>
      <c r="CH80" s="5439"/>
      <c r="CI80" s="5439"/>
      <c r="CJ80" s="5439"/>
      <c r="CK80" s="5439"/>
      <c r="CL80" s="5439"/>
      <c r="CM80" s="5439"/>
      <c r="CN80" s="5439"/>
      <c r="CO80" s="5440"/>
      <c r="CP80" s="1143"/>
      <c r="CQ80" s="1137"/>
    </row>
    <row r="81" spans="1:95" ht="12" customHeight="1" x14ac:dyDescent="0.2">
      <c r="A81" s="1137"/>
      <c r="B81" s="2108"/>
      <c r="C81" s="5441" t="e">
        <f>IF(C75=0,"",VLOOKUP(C75,'Tablas Magia'!$D$6:$Z$680,23,FALSE))</f>
        <v>#N/A</v>
      </c>
      <c r="D81" s="5442"/>
      <c r="E81" s="5442"/>
      <c r="F81" s="5442"/>
      <c r="G81" s="5442"/>
      <c r="H81" s="5442"/>
      <c r="I81" s="5442"/>
      <c r="J81" s="5442"/>
      <c r="K81" s="5442"/>
      <c r="L81" s="5442"/>
      <c r="M81" s="5442"/>
      <c r="N81" s="5442"/>
      <c r="O81" s="5442"/>
      <c r="P81" s="5442"/>
      <c r="Q81" s="5443"/>
      <c r="R81" s="1143"/>
      <c r="S81" s="1137"/>
      <c r="T81" s="1137"/>
      <c r="U81" s="2108"/>
      <c r="V81" s="5441" t="e">
        <f>IF(V75=0,"",VLOOKUP(V75,'Tablas Magia'!$D$6:$Z$680,23,FALSE))</f>
        <v>#N/A</v>
      </c>
      <c r="W81" s="5442"/>
      <c r="X81" s="5442"/>
      <c r="Y81" s="5442"/>
      <c r="Z81" s="5442"/>
      <c r="AA81" s="5442"/>
      <c r="AB81" s="5442"/>
      <c r="AC81" s="5442"/>
      <c r="AD81" s="5442"/>
      <c r="AE81" s="5442"/>
      <c r="AF81" s="5442"/>
      <c r="AG81" s="5442"/>
      <c r="AH81" s="5442"/>
      <c r="AI81" s="5442"/>
      <c r="AJ81" s="5443"/>
      <c r="AK81" s="1143"/>
      <c r="AL81" s="1137"/>
      <c r="AM81" s="1137"/>
      <c r="AN81" s="2122"/>
      <c r="AO81" s="5441" t="e">
        <f>IF(AO75=0,"",VLOOKUP(AO75,'Tablas Magia'!$D$6:$Z$680,23,FALSE))</f>
        <v>#N/A</v>
      </c>
      <c r="AP81" s="5442"/>
      <c r="AQ81" s="5442"/>
      <c r="AR81" s="5442"/>
      <c r="AS81" s="5442"/>
      <c r="AT81" s="5442"/>
      <c r="AU81" s="5442"/>
      <c r="AV81" s="5442"/>
      <c r="AW81" s="5442"/>
      <c r="AX81" s="5442"/>
      <c r="AY81" s="5442"/>
      <c r="AZ81" s="5442"/>
      <c r="BA81" s="5442"/>
      <c r="BB81" s="5442"/>
      <c r="BC81" s="5443"/>
      <c r="BD81" s="1143"/>
      <c r="BE81" s="1137"/>
      <c r="BF81" s="1137"/>
      <c r="BG81" s="2122"/>
      <c r="BH81" s="5441" t="e">
        <f>IF(BH75=0,"",VLOOKUP(BH75,'Tablas Magia'!$D$6:$Z$680,23,FALSE))</f>
        <v>#N/A</v>
      </c>
      <c r="BI81" s="5442"/>
      <c r="BJ81" s="5442"/>
      <c r="BK81" s="5442"/>
      <c r="BL81" s="5442"/>
      <c r="BM81" s="5442"/>
      <c r="BN81" s="5442"/>
      <c r="BO81" s="5442"/>
      <c r="BP81" s="5442"/>
      <c r="BQ81" s="5442"/>
      <c r="BR81" s="5442"/>
      <c r="BS81" s="5442"/>
      <c r="BT81" s="5442"/>
      <c r="BU81" s="5442"/>
      <c r="BV81" s="5443"/>
      <c r="BW81" s="1143"/>
      <c r="BX81" s="1137"/>
      <c r="BY81" s="1137"/>
      <c r="BZ81" s="2122"/>
      <c r="CA81" s="5441" t="e">
        <f>IF(CA75=0,"",VLOOKUP(CA75,'Tablas Magia'!$D$6:$Z$680,23,FALSE))</f>
        <v>#N/A</v>
      </c>
      <c r="CB81" s="5442"/>
      <c r="CC81" s="5442"/>
      <c r="CD81" s="5442"/>
      <c r="CE81" s="5442"/>
      <c r="CF81" s="5442"/>
      <c r="CG81" s="5442"/>
      <c r="CH81" s="5442"/>
      <c r="CI81" s="5442"/>
      <c r="CJ81" s="5442"/>
      <c r="CK81" s="5442"/>
      <c r="CL81" s="5442"/>
      <c r="CM81" s="5442"/>
      <c r="CN81" s="5442"/>
      <c r="CO81" s="5443"/>
      <c r="CP81" s="1143"/>
      <c r="CQ81" s="1137"/>
    </row>
    <row r="82" spans="1:95" ht="12" customHeight="1" x14ac:dyDescent="0.2">
      <c r="A82" s="1137"/>
      <c r="B82" s="2108"/>
      <c r="C82" s="5444"/>
      <c r="D82" s="5445"/>
      <c r="E82" s="5445"/>
      <c r="F82" s="5445"/>
      <c r="G82" s="5445"/>
      <c r="H82" s="5445"/>
      <c r="I82" s="5445"/>
      <c r="J82" s="5445"/>
      <c r="K82" s="5445"/>
      <c r="L82" s="5445"/>
      <c r="M82" s="5445"/>
      <c r="N82" s="5445"/>
      <c r="O82" s="5445"/>
      <c r="P82" s="5445"/>
      <c r="Q82" s="5446"/>
      <c r="R82" s="1143"/>
      <c r="S82" s="1137"/>
      <c r="T82" s="1137"/>
      <c r="U82" s="2108"/>
      <c r="V82" s="5444"/>
      <c r="W82" s="5445"/>
      <c r="X82" s="5445"/>
      <c r="Y82" s="5445"/>
      <c r="Z82" s="5445"/>
      <c r="AA82" s="5445"/>
      <c r="AB82" s="5445"/>
      <c r="AC82" s="5445"/>
      <c r="AD82" s="5445"/>
      <c r="AE82" s="5445"/>
      <c r="AF82" s="5445"/>
      <c r="AG82" s="5445"/>
      <c r="AH82" s="5445"/>
      <c r="AI82" s="5445"/>
      <c r="AJ82" s="5446"/>
      <c r="AK82" s="1143"/>
      <c r="AL82" s="1137"/>
      <c r="AM82" s="1137"/>
      <c r="AN82" s="2122"/>
      <c r="AO82" s="5444"/>
      <c r="AP82" s="5445"/>
      <c r="AQ82" s="5445"/>
      <c r="AR82" s="5445"/>
      <c r="AS82" s="5445"/>
      <c r="AT82" s="5445"/>
      <c r="AU82" s="5445"/>
      <c r="AV82" s="5445"/>
      <c r="AW82" s="5445"/>
      <c r="AX82" s="5445"/>
      <c r="AY82" s="5445"/>
      <c r="AZ82" s="5445"/>
      <c r="BA82" s="5445"/>
      <c r="BB82" s="5445"/>
      <c r="BC82" s="5446"/>
      <c r="BD82" s="1143"/>
      <c r="BE82" s="1137"/>
      <c r="BF82" s="1137"/>
      <c r="BG82" s="2122"/>
      <c r="BH82" s="5444"/>
      <c r="BI82" s="5445"/>
      <c r="BJ82" s="5445"/>
      <c r="BK82" s="5445"/>
      <c r="BL82" s="5445"/>
      <c r="BM82" s="5445"/>
      <c r="BN82" s="5445"/>
      <c r="BO82" s="5445"/>
      <c r="BP82" s="5445"/>
      <c r="BQ82" s="5445"/>
      <c r="BR82" s="5445"/>
      <c r="BS82" s="5445"/>
      <c r="BT82" s="5445"/>
      <c r="BU82" s="5445"/>
      <c r="BV82" s="5446"/>
      <c r="BW82" s="1143"/>
      <c r="BX82" s="1137"/>
      <c r="BY82" s="1137"/>
      <c r="BZ82" s="2122"/>
      <c r="CA82" s="5444"/>
      <c r="CB82" s="5445"/>
      <c r="CC82" s="5445"/>
      <c r="CD82" s="5445"/>
      <c r="CE82" s="5445"/>
      <c r="CF82" s="5445"/>
      <c r="CG82" s="5445"/>
      <c r="CH82" s="5445"/>
      <c r="CI82" s="5445"/>
      <c r="CJ82" s="5445"/>
      <c r="CK82" s="5445"/>
      <c r="CL82" s="5445"/>
      <c r="CM82" s="5445"/>
      <c r="CN82" s="5445"/>
      <c r="CO82" s="5446"/>
      <c r="CP82" s="1143"/>
      <c r="CQ82" s="1137"/>
    </row>
    <row r="83" spans="1:95" ht="12" customHeight="1" x14ac:dyDescent="0.2">
      <c r="A83" s="1137"/>
      <c r="B83" s="2108"/>
      <c r="C83" s="5444"/>
      <c r="D83" s="5445"/>
      <c r="E83" s="5445"/>
      <c r="F83" s="5445"/>
      <c r="G83" s="5445"/>
      <c r="H83" s="5445"/>
      <c r="I83" s="5445"/>
      <c r="J83" s="5445"/>
      <c r="K83" s="5445"/>
      <c r="L83" s="5445"/>
      <c r="M83" s="5445"/>
      <c r="N83" s="5445"/>
      <c r="O83" s="5445"/>
      <c r="P83" s="5445"/>
      <c r="Q83" s="5446"/>
      <c r="R83" s="1143"/>
      <c r="S83" s="1137"/>
      <c r="T83" s="1137"/>
      <c r="U83" s="2108"/>
      <c r="V83" s="5444"/>
      <c r="W83" s="5445"/>
      <c r="X83" s="5445"/>
      <c r="Y83" s="5445"/>
      <c r="Z83" s="5445"/>
      <c r="AA83" s="5445"/>
      <c r="AB83" s="5445"/>
      <c r="AC83" s="5445"/>
      <c r="AD83" s="5445"/>
      <c r="AE83" s="5445"/>
      <c r="AF83" s="5445"/>
      <c r="AG83" s="5445"/>
      <c r="AH83" s="5445"/>
      <c r="AI83" s="5445"/>
      <c r="AJ83" s="5446"/>
      <c r="AK83" s="1143"/>
      <c r="AL83" s="1137"/>
      <c r="AM83" s="1137"/>
      <c r="AN83" s="2122"/>
      <c r="AO83" s="5444"/>
      <c r="AP83" s="5445"/>
      <c r="AQ83" s="5445"/>
      <c r="AR83" s="5445"/>
      <c r="AS83" s="5445"/>
      <c r="AT83" s="5445"/>
      <c r="AU83" s="5445"/>
      <c r="AV83" s="5445"/>
      <c r="AW83" s="5445"/>
      <c r="AX83" s="5445"/>
      <c r="AY83" s="5445"/>
      <c r="AZ83" s="5445"/>
      <c r="BA83" s="5445"/>
      <c r="BB83" s="5445"/>
      <c r="BC83" s="5446"/>
      <c r="BD83" s="1143"/>
      <c r="BE83" s="1137"/>
      <c r="BF83" s="1137"/>
      <c r="BG83" s="2122"/>
      <c r="BH83" s="5444"/>
      <c r="BI83" s="5445"/>
      <c r="BJ83" s="5445"/>
      <c r="BK83" s="5445"/>
      <c r="BL83" s="5445"/>
      <c r="BM83" s="5445"/>
      <c r="BN83" s="5445"/>
      <c r="BO83" s="5445"/>
      <c r="BP83" s="5445"/>
      <c r="BQ83" s="5445"/>
      <c r="BR83" s="5445"/>
      <c r="BS83" s="5445"/>
      <c r="BT83" s="5445"/>
      <c r="BU83" s="5445"/>
      <c r="BV83" s="5446"/>
      <c r="BW83" s="1143"/>
      <c r="BX83" s="1137"/>
      <c r="BY83" s="1137"/>
      <c r="BZ83" s="2122"/>
      <c r="CA83" s="5444"/>
      <c r="CB83" s="5445"/>
      <c r="CC83" s="5445"/>
      <c r="CD83" s="5445"/>
      <c r="CE83" s="5445"/>
      <c r="CF83" s="5445"/>
      <c r="CG83" s="5445"/>
      <c r="CH83" s="5445"/>
      <c r="CI83" s="5445"/>
      <c r="CJ83" s="5445"/>
      <c r="CK83" s="5445"/>
      <c r="CL83" s="5445"/>
      <c r="CM83" s="5445"/>
      <c r="CN83" s="5445"/>
      <c r="CO83" s="5446"/>
      <c r="CP83" s="1143"/>
      <c r="CQ83" s="1137"/>
    </row>
    <row r="84" spans="1:95" ht="12" customHeight="1" thickBot="1" x14ac:dyDescent="0.25">
      <c r="A84" s="1137"/>
      <c r="B84" s="2108"/>
      <c r="C84" s="5447"/>
      <c r="D84" s="5448"/>
      <c r="E84" s="5448"/>
      <c r="F84" s="5448"/>
      <c r="G84" s="5448"/>
      <c r="H84" s="5448"/>
      <c r="I84" s="5448"/>
      <c r="J84" s="5448"/>
      <c r="K84" s="5448"/>
      <c r="L84" s="5448"/>
      <c r="M84" s="5448"/>
      <c r="N84" s="5448"/>
      <c r="O84" s="5448"/>
      <c r="P84" s="5448"/>
      <c r="Q84" s="5449"/>
      <c r="R84" s="1143"/>
      <c r="S84" s="1137"/>
      <c r="T84" s="1137"/>
      <c r="U84" s="2108"/>
      <c r="V84" s="5447"/>
      <c r="W84" s="5448"/>
      <c r="X84" s="5448"/>
      <c r="Y84" s="5448"/>
      <c r="Z84" s="5448"/>
      <c r="AA84" s="5448"/>
      <c r="AB84" s="5448"/>
      <c r="AC84" s="5448"/>
      <c r="AD84" s="5448"/>
      <c r="AE84" s="5448"/>
      <c r="AF84" s="5448"/>
      <c r="AG84" s="5448"/>
      <c r="AH84" s="5448"/>
      <c r="AI84" s="5448"/>
      <c r="AJ84" s="5449"/>
      <c r="AK84" s="1143"/>
      <c r="AL84" s="1137"/>
      <c r="AM84" s="1137"/>
      <c r="AN84" s="2122"/>
      <c r="AO84" s="5447"/>
      <c r="AP84" s="5448"/>
      <c r="AQ84" s="5448"/>
      <c r="AR84" s="5448"/>
      <c r="AS84" s="5448"/>
      <c r="AT84" s="5448"/>
      <c r="AU84" s="5448"/>
      <c r="AV84" s="5448"/>
      <c r="AW84" s="5448"/>
      <c r="AX84" s="5448"/>
      <c r="AY84" s="5448"/>
      <c r="AZ84" s="5448"/>
      <c r="BA84" s="5448"/>
      <c r="BB84" s="5448"/>
      <c r="BC84" s="5449"/>
      <c r="BD84" s="1143"/>
      <c r="BE84" s="1137"/>
      <c r="BF84" s="1137"/>
      <c r="BG84" s="2122"/>
      <c r="BH84" s="5447"/>
      <c r="BI84" s="5448"/>
      <c r="BJ84" s="5448"/>
      <c r="BK84" s="5448"/>
      <c r="BL84" s="5448"/>
      <c r="BM84" s="5448"/>
      <c r="BN84" s="5448"/>
      <c r="BO84" s="5448"/>
      <c r="BP84" s="5448"/>
      <c r="BQ84" s="5448"/>
      <c r="BR84" s="5448"/>
      <c r="BS84" s="5448"/>
      <c r="BT84" s="5448"/>
      <c r="BU84" s="5448"/>
      <c r="BV84" s="5449"/>
      <c r="BW84" s="1143"/>
      <c r="BX84" s="1137"/>
      <c r="BY84" s="1137"/>
      <c r="BZ84" s="2122"/>
      <c r="CA84" s="5447"/>
      <c r="CB84" s="5448"/>
      <c r="CC84" s="5448"/>
      <c r="CD84" s="5448"/>
      <c r="CE84" s="5448"/>
      <c r="CF84" s="5448"/>
      <c r="CG84" s="5448"/>
      <c r="CH84" s="5448"/>
      <c r="CI84" s="5448"/>
      <c r="CJ84" s="5448"/>
      <c r="CK84" s="5448"/>
      <c r="CL84" s="5448"/>
      <c r="CM84" s="5448"/>
      <c r="CN84" s="5448"/>
      <c r="CO84" s="5449"/>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66"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67"/>
      <c r="E86" s="5467"/>
      <c r="F86" s="5467"/>
      <c r="G86" s="5467"/>
      <c r="H86" s="1157" t="s">
        <v>1627</v>
      </c>
      <c r="I86" s="1158">
        <f>B86</f>
        <v>16</v>
      </c>
      <c r="J86" s="5454" t="s">
        <v>7687</v>
      </c>
      <c r="K86" s="5454"/>
      <c r="L86" s="5454"/>
      <c r="M86" s="5455" t="str">
        <f>IF(C86=0,"",VLOOKUP(C86,'Tablas Magia'!$D$6:$Z$680,2,FALSE))</f>
        <v>Luz</v>
      </c>
      <c r="N86" s="5455"/>
      <c r="O86" s="5455"/>
      <c r="P86" s="5455"/>
      <c r="Q86" s="5456"/>
      <c r="R86" s="1143"/>
      <c r="S86" s="1137"/>
      <c r="T86" s="1137"/>
      <c r="U86" s="2108">
        <f>U75+2</f>
        <v>36</v>
      </c>
      <c r="V86" s="5466"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67"/>
      <c r="X86" s="5467"/>
      <c r="Y86" s="5467"/>
      <c r="Z86" s="5467"/>
      <c r="AA86" s="1157" t="s">
        <v>1627</v>
      </c>
      <c r="AB86" s="1158">
        <f>U86</f>
        <v>36</v>
      </c>
      <c r="AC86" s="5454" t="s">
        <v>7687</v>
      </c>
      <c r="AD86" s="5454"/>
      <c r="AE86" s="5454"/>
      <c r="AF86" s="5455" t="str">
        <f>IF(V86=0,"",VLOOKUP(V86,'Tablas Magia'!$D$6:$Z$680,2,FALSE))</f>
        <v>Luz</v>
      </c>
      <c r="AG86" s="5455"/>
      <c r="AH86" s="5455"/>
      <c r="AI86" s="5455"/>
      <c r="AJ86" s="5456"/>
      <c r="AK86" s="1143"/>
      <c r="AL86" s="1137"/>
      <c r="AM86" s="1137"/>
      <c r="AN86" s="2122">
        <f>AN75+2</f>
        <v>56</v>
      </c>
      <c r="AO86" s="5466"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67"/>
      <c r="AQ86" s="5467"/>
      <c r="AR86" s="5467"/>
      <c r="AS86" s="5467"/>
      <c r="AT86" s="1157" t="s">
        <v>1627</v>
      </c>
      <c r="AU86" s="1158">
        <f>AN86</f>
        <v>56</v>
      </c>
      <c r="AV86" s="5454" t="s">
        <v>7687</v>
      </c>
      <c r="AW86" s="5454"/>
      <c r="AX86" s="5454"/>
      <c r="AY86" s="5455" t="str">
        <f>IF(AO86=0,"",VLOOKUP(AO86,'Tablas Magia'!$D$6:$Z$680,2,FALSE))</f>
        <v>Luz</v>
      </c>
      <c r="AZ86" s="5455"/>
      <c r="BA86" s="5455"/>
      <c r="BB86" s="5455"/>
      <c r="BC86" s="5456"/>
      <c r="BD86" s="1143"/>
      <c r="BE86" s="1137"/>
      <c r="BF86" s="1137"/>
      <c r="BG86" s="2122">
        <f>BG75+2</f>
        <v>76</v>
      </c>
      <c r="BH86" s="5466"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67"/>
      <c r="BJ86" s="5467"/>
      <c r="BK86" s="5467"/>
      <c r="BL86" s="5467"/>
      <c r="BM86" s="1157" t="s">
        <v>1627</v>
      </c>
      <c r="BN86" s="1158">
        <f>BG86</f>
        <v>76</v>
      </c>
      <c r="BO86" s="5454" t="s">
        <v>7687</v>
      </c>
      <c r="BP86" s="5454"/>
      <c r="BQ86" s="5454"/>
      <c r="BR86" s="5455" t="str">
        <f>IF(BH86=0,"",VLOOKUP(BH86,'Tablas Magia'!$D$6:$Z$680,2,FALSE))</f>
        <v>Luz</v>
      </c>
      <c r="BS86" s="5455"/>
      <c r="BT86" s="5455"/>
      <c r="BU86" s="5455"/>
      <c r="BV86" s="5456"/>
      <c r="BW86" s="1143"/>
      <c r="BX86" s="1137"/>
      <c r="BY86" s="1137"/>
      <c r="BZ86" s="2122">
        <f>BZ75+2</f>
        <v>96</v>
      </c>
      <c r="CA86" s="5466"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67"/>
      <c r="CC86" s="5467"/>
      <c r="CD86" s="5467"/>
      <c r="CE86" s="5467"/>
      <c r="CF86" s="1157" t="s">
        <v>1627</v>
      </c>
      <c r="CG86" s="1158">
        <f>BZ86</f>
        <v>96</v>
      </c>
      <c r="CH86" s="5454" t="s">
        <v>7687</v>
      </c>
      <c r="CI86" s="5454"/>
      <c r="CJ86" s="5454"/>
      <c r="CK86" s="5455" t="str">
        <f>IF(CA86=0,"",VLOOKUP(CA86,'Tablas Magia'!$D$6:$Z$680,2,FALSE))</f>
        <v>Luz</v>
      </c>
      <c r="CL86" s="5455"/>
      <c r="CM86" s="5455"/>
      <c r="CN86" s="5455"/>
      <c r="CO86" s="5456"/>
      <c r="CP86" s="1143"/>
      <c r="CQ86" s="1137"/>
    </row>
    <row r="87" spans="1:95" ht="12" customHeight="1" x14ac:dyDescent="0.2">
      <c r="A87" s="1137"/>
      <c r="B87" s="2108"/>
      <c r="C87" s="5450" t="s">
        <v>7688</v>
      </c>
      <c r="D87" s="5451"/>
      <c r="E87" s="1159" t="s">
        <v>7689</v>
      </c>
      <c r="F87" s="1159" t="s">
        <v>1820</v>
      </c>
      <c r="G87" s="1159" t="s">
        <v>3334</v>
      </c>
      <c r="H87" s="1160" t="s">
        <v>2165</v>
      </c>
      <c r="I87" s="5424" t="str">
        <f>IF(C86=0,"",VLOOKUP(C86,'Tablas Magia'!$D$6:$Z$680,5,FALSE))</f>
        <v>Efecto</v>
      </c>
      <c r="J87" s="5424"/>
      <c r="K87" s="5423" t="s">
        <v>7690</v>
      </c>
      <c r="L87" s="5423"/>
      <c r="M87" s="5424" t="str">
        <f>IF(C86=0,"",VLOOKUP(C86,'Tablas Magia'!$D$6:$Z$680,6,FALSE))</f>
        <v>Activa</v>
      </c>
      <c r="N87" s="5424"/>
      <c r="O87" s="5425" t="s">
        <v>7691</v>
      </c>
      <c r="P87" s="5425"/>
      <c r="Q87" s="1161" t="str">
        <f>IF(C86=0,"",VLOOKUP(C86,'Tablas Magia'!$D$6:$Z$680,4,FALSE))</f>
        <v>No</v>
      </c>
      <c r="R87" s="1143"/>
      <c r="S87" s="1137"/>
      <c r="T87" s="1137"/>
      <c r="U87" s="2108"/>
      <c r="V87" s="5450" t="s">
        <v>7688</v>
      </c>
      <c r="W87" s="5451"/>
      <c r="X87" s="1159" t="s">
        <v>7689</v>
      </c>
      <c r="Y87" s="1159" t="s">
        <v>1820</v>
      </c>
      <c r="Z87" s="1159" t="s">
        <v>3334</v>
      </c>
      <c r="AA87" s="1160" t="s">
        <v>2165</v>
      </c>
      <c r="AB87" s="5424" t="str">
        <f>IF(V86=0,"",VLOOKUP(V86,'Tablas Magia'!$D$6:$Z$680,5,FALSE))</f>
        <v>Efecto</v>
      </c>
      <c r="AC87" s="5424"/>
      <c r="AD87" s="5423" t="s">
        <v>7690</v>
      </c>
      <c r="AE87" s="5423"/>
      <c r="AF87" s="5424" t="str">
        <f>IF(V86=0,"",VLOOKUP(V86,'Tablas Magia'!$D$6:$Z$680,6,FALSE))</f>
        <v>Activa</v>
      </c>
      <c r="AG87" s="5424"/>
      <c r="AH87" s="5425" t="s">
        <v>7691</v>
      </c>
      <c r="AI87" s="5425"/>
      <c r="AJ87" s="1161" t="str">
        <f>IF(V86=0,"",VLOOKUP(V86,'Tablas Magia'!$D$6:$Z$680,4,FALSE))</f>
        <v>Si</v>
      </c>
      <c r="AK87" s="1143"/>
      <c r="AL87" s="1137"/>
      <c r="AM87" s="1137"/>
      <c r="AN87" s="2122"/>
      <c r="AO87" s="5450" t="s">
        <v>7688</v>
      </c>
      <c r="AP87" s="5451"/>
      <c r="AQ87" s="1159" t="s">
        <v>7689</v>
      </c>
      <c r="AR87" s="1159" t="s">
        <v>1820</v>
      </c>
      <c r="AS87" s="1159" t="s">
        <v>3334</v>
      </c>
      <c r="AT87" s="1160" t="s">
        <v>2165</v>
      </c>
      <c r="AU87" s="5424" t="str">
        <f>IF(AO86=0,"",VLOOKUP(AO86,'Tablas Magia'!$D$6:$Z$680,5,FALSE))</f>
        <v>Efecto</v>
      </c>
      <c r="AV87" s="5424"/>
      <c r="AW87" s="5423" t="s">
        <v>7690</v>
      </c>
      <c r="AX87" s="5423"/>
      <c r="AY87" s="5424" t="str">
        <f>IF(AO86=0,"",VLOOKUP(AO86,'Tablas Magia'!$D$6:$Z$680,6,FALSE))</f>
        <v>Activa</v>
      </c>
      <c r="AZ87" s="5424"/>
      <c r="BA87" s="5425" t="s">
        <v>7691</v>
      </c>
      <c r="BB87" s="5425"/>
      <c r="BC87" s="1161" t="str">
        <f>IF(AO86=0,"",VLOOKUP(AO86,'Tablas Magia'!$D$6:$Z$680,4,FALSE))</f>
        <v>No</v>
      </c>
      <c r="BD87" s="1143"/>
      <c r="BE87" s="1137"/>
      <c r="BF87" s="1137"/>
      <c r="BG87" s="2122"/>
      <c r="BH87" s="5450" t="s">
        <v>7688</v>
      </c>
      <c r="BI87" s="5451"/>
      <c r="BJ87" s="1159" t="s">
        <v>7689</v>
      </c>
      <c r="BK87" s="1159" t="s">
        <v>1820</v>
      </c>
      <c r="BL87" s="1159" t="s">
        <v>3334</v>
      </c>
      <c r="BM87" s="1160" t="s">
        <v>2165</v>
      </c>
      <c r="BN87" s="5424" t="str">
        <f>IF(BH86=0,"",VLOOKUP(BH86,'Tablas Magia'!$D$6:$Z$680,5,FALSE))</f>
        <v>Efecto</v>
      </c>
      <c r="BO87" s="5424"/>
      <c r="BP87" s="5423" t="s">
        <v>7690</v>
      </c>
      <c r="BQ87" s="5423"/>
      <c r="BR87" s="5424" t="str">
        <f>IF(BH86=0,"",VLOOKUP(BH86,'Tablas Magia'!$D$6:$Z$680,6,FALSE))</f>
        <v>Activa</v>
      </c>
      <c r="BS87" s="5424"/>
      <c r="BT87" s="5425" t="s">
        <v>7691</v>
      </c>
      <c r="BU87" s="5425"/>
      <c r="BV87" s="1161" t="str">
        <f>IF(BH86=0,"",VLOOKUP(BH86,'Tablas Magia'!$D$6:$Z$680,4,FALSE))</f>
        <v>No</v>
      </c>
      <c r="BW87" s="1143"/>
      <c r="BX87" s="1137"/>
      <c r="BY87" s="1137"/>
      <c r="BZ87" s="2122"/>
      <c r="CA87" s="5450" t="s">
        <v>7688</v>
      </c>
      <c r="CB87" s="5451"/>
      <c r="CC87" s="1159" t="s">
        <v>7689</v>
      </c>
      <c r="CD87" s="1159" t="s">
        <v>1820</v>
      </c>
      <c r="CE87" s="1159" t="s">
        <v>3334</v>
      </c>
      <c r="CF87" s="1160" t="s">
        <v>2165</v>
      </c>
      <c r="CG87" s="5424" t="str">
        <f>IF(CA86=0,"",VLOOKUP(CA86,'Tablas Magia'!$D$6:$Z$680,5,FALSE))</f>
        <v>Efecto</v>
      </c>
      <c r="CH87" s="5424"/>
      <c r="CI87" s="5423" t="s">
        <v>7690</v>
      </c>
      <c r="CJ87" s="5423"/>
      <c r="CK87" s="5424" t="str">
        <f>IF(CA86=0,"",VLOOKUP(CA86,'Tablas Magia'!$D$6:$Z$680,6,FALSE))</f>
        <v>Activa</v>
      </c>
      <c r="CL87" s="5424"/>
      <c r="CM87" s="5425" t="s">
        <v>7691</v>
      </c>
      <c r="CN87" s="5425"/>
      <c r="CO87" s="1161" t="str">
        <f>IF(CA86=0,"",VLOOKUP(CA86,'Tablas Magia'!$D$6:$Z$680,4,FALSE))</f>
        <v>No</v>
      </c>
      <c r="CP87" s="1143"/>
      <c r="CQ87" s="1137"/>
    </row>
    <row r="88" spans="1:95" ht="12" customHeight="1" x14ac:dyDescent="0.2">
      <c r="A88" s="1137"/>
      <c r="B88" s="2108"/>
      <c r="C88" s="5426" t="s">
        <v>1674</v>
      </c>
      <c r="D88" s="5427"/>
      <c r="E88" s="1162">
        <f>IF(C86=0,"",VLOOKUP(C86,'Tablas Magia'!$D$6:$Z$680,7,FALSE))</f>
        <v>6</v>
      </c>
      <c r="F88" s="1162">
        <f>IF(C86=0,"",VLOOKUP(C86,'Tablas Magia'!$D$6:$Z$680,11,FALSE))</f>
        <v>60</v>
      </c>
      <c r="G88" s="1163">
        <f>IF(C86=0,"",VLOOKUP(C86,'Tablas Magia'!$D$6:$Z$680,15,FALSE))</f>
        <v>5</v>
      </c>
      <c r="H88" s="5428" t="str">
        <f>IF(C86=0,"",VLOOKUP(C86,'Tablas Magia'!$D$6:$Z$680,19,FALSE))</f>
        <v>TA 2 en Energía y TA 1 en el resto</v>
      </c>
      <c r="I88" s="5429"/>
      <c r="J88" s="5429"/>
      <c r="K88" s="5429"/>
      <c r="L88" s="5429"/>
      <c r="M88" s="5429"/>
      <c r="N88" s="5429"/>
      <c r="O88" s="5429"/>
      <c r="P88" s="5429"/>
      <c r="Q88" s="5430"/>
      <c r="R88" s="1143"/>
      <c r="S88" s="1137"/>
      <c r="T88" s="1137"/>
      <c r="U88" s="2108"/>
      <c r="V88" s="5426" t="s">
        <v>1674</v>
      </c>
      <c r="W88" s="5427"/>
      <c r="X88" s="1162">
        <f>IF(V86=0,"",VLOOKUP(V86,'Tablas Magia'!$D$6:$Z$680,7,FALSE))</f>
        <v>6</v>
      </c>
      <c r="Y88" s="1162">
        <f>IF(V86=0,"",VLOOKUP(V86,'Tablas Magia'!$D$6:$Z$680,11,FALSE))</f>
        <v>100</v>
      </c>
      <c r="Z88" s="1163">
        <f>IF(V86=0,"",VLOOKUP(V86,'Tablas Magia'!$D$6:$Z$680,15,FALSE))</f>
        <v>20</v>
      </c>
      <c r="AA88" s="5428" t="str">
        <f>IF(V86=0,"",VLOOKUP(V86,'Tablas Magia'!$D$6:$Z$680,19,FALSE))</f>
        <v>100 en Advertir y Buscar / 1 Kilómetro de distancia máxima</v>
      </c>
      <c r="AB88" s="5429"/>
      <c r="AC88" s="5429"/>
      <c r="AD88" s="5429"/>
      <c r="AE88" s="5429"/>
      <c r="AF88" s="5429"/>
      <c r="AG88" s="5429"/>
      <c r="AH88" s="5429"/>
      <c r="AI88" s="5429"/>
      <c r="AJ88" s="5430"/>
      <c r="AK88" s="1143"/>
      <c r="AL88" s="1137"/>
      <c r="AM88" s="1137"/>
      <c r="AN88" s="2122"/>
      <c r="AO88" s="5426" t="s">
        <v>1674</v>
      </c>
      <c r="AP88" s="5427"/>
      <c r="AQ88" s="1162">
        <f>IF(AO86=0,"",VLOOKUP(AO86,'Tablas Magia'!$D$6:$Z$680,7,FALSE))</f>
        <v>8</v>
      </c>
      <c r="AR88" s="1162">
        <f>IF(AO86=0,"",VLOOKUP(AO86,'Tablas Magia'!$D$6:$Z$680,11,FALSE))</f>
        <v>100</v>
      </c>
      <c r="AS88" s="1163">
        <f>IF(AO86=0,"",VLOOKUP(AO86,'Tablas Magia'!$D$6:$Z$680,15,FALSE))</f>
        <v>5</v>
      </c>
      <c r="AT88" s="5428" t="str">
        <f>IF(AO86=0,"",VLOOKUP(AO86,'Tablas Magia'!$D$6:$Z$680,19,FALSE))</f>
        <v xml:space="preserve"> +10 a toda acción / +10 resistencias / Radio de 5 metros</v>
      </c>
      <c r="AU88" s="5429"/>
      <c r="AV88" s="5429"/>
      <c r="AW88" s="5429"/>
      <c r="AX88" s="5429"/>
      <c r="AY88" s="5429"/>
      <c r="AZ88" s="5429"/>
      <c r="BA88" s="5429"/>
      <c r="BB88" s="5429"/>
      <c r="BC88" s="5430"/>
      <c r="BD88" s="1143"/>
      <c r="BE88" s="1137"/>
      <c r="BF88" s="1137"/>
      <c r="BG88" s="2122"/>
      <c r="BH88" s="5426" t="s">
        <v>1674</v>
      </c>
      <c r="BI88" s="5427"/>
      <c r="BJ88" s="1162">
        <f>IF(BH86=0,"",VLOOKUP(BH86,'Tablas Magia'!$D$6:$Z$680,7,FALSE))</f>
        <v>10</v>
      </c>
      <c r="BK88" s="1162">
        <f>IF(BH86=0,"",VLOOKUP(BH86,'Tablas Magia'!$D$6:$Z$680,11,FALSE))</f>
        <v>150</v>
      </c>
      <c r="BL88" s="1163">
        <f>IF(BH86=0,"",VLOOKUP(BH86,'Tablas Magia'!$D$6:$Z$680,15,FALSE))</f>
        <v>15</v>
      </c>
      <c r="BM88" s="5428" t="str">
        <f>IF(BH86=0,"",VLOOKUP(BH86,'Tablas Magia'!$D$6:$Z$680,19,FALSE))</f>
        <v>Presencia 60 / Calidad +5</v>
      </c>
      <c r="BN88" s="5429"/>
      <c r="BO88" s="5429"/>
      <c r="BP88" s="5429"/>
      <c r="BQ88" s="5429"/>
      <c r="BR88" s="5429"/>
      <c r="BS88" s="5429"/>
      <c r="BT88" s="5429"/>
      <c r="BU88" s="5429"/>
      <c r="BV88" s="5430"/>
      <c r="BW88" s="1143"/>
      <c r="BX88" s="1137"/>
      <c r="BY88" s="1137"/>
      <c r="BZ88" s="2122"/>
      <c r="CA88" s="5426" t="s">
        <v>1674</v>
      </c>
      <c r="CB88" s="5427"/>
      <c r="CC88" s="1162">
        <f>IF(CA86=0,"",VLOOKUP(CA86,'Tablas Magia'!$D$6:$Z$680,7,FALSE))</f>
        <v>12</v>
      </c>
      <c r="CD88" s="1162">
        <f>IF(CA86=0,"",VLOOKUP(CA86,'Tablas Magia'!$D$6:$Z$680,11,FALSE))</f>
        <v>200</v>
      </c>
      <c r="CE88" s="1163" t="str">
        <f>IF(CA86=0,"",VLOOKUP(CA86,'Tablas Magia'!$D$6:$Z$680,15,FALSE))</f>
        <v>No</v>
      </c>
      <c r="CF88" s="5428" t="str">
        <f>IF(CA86=0,"",VLOOKUP(CA86,'Tablas Magia'!$D$6:$Z$680,19,FALSE))</f>
        <v>Un día</v>
      </c>
      <c r="CG88" s="5429"/>
      <c r="CH88" s="5429"/>
      <c r="CI88" s="5429"/>
      <c r="CJ88" s="5429"/>
      <c r="CK88" s="5429"/>
      <c r="CL88" s="5429"/>
      <c r="CM88" s="5429"/>
      <c r="CN88" s="5429"/>
      <c r="CO88" s="5430"/>
      <c r="CP88" s="1143"/>
      <c r="CQ88" s="1137"/>
    </row>
    <row r="89" spans="1:95" ht="12" customHeight="1" x14ac:dyDescent="0.2">
      <c r="A89" s="1137"/>
      <c r="B89" s="2108"/>
      <c r="C89" s="5431" t="s">
        <v>4572</v>
      </c>
      <c r="D89" s="5432"/>
      <c r="E89" s="1164">
        <f>IF(C86=0,"",VLOOKUP(C86,'Tablas Magia'!$D$6:$Z$680,8,FALSE))</f>
        <v>9</v>
      </c>
      <c r="F89" s="1164">
        <f>IF(C86=0,"",VLOOKUP(C86,'Tablas Magia'!$D$6:$Z$680,12,FALSE))</f>
        <v>90</v>
      </c>
      <c r="G89" s="1165">
        <f>IF(C86=0,"",VLOOKUP(C86,'Tablas Magia'!$D$6:$Z$680,16,FALSE))</f>
        <v>10</v>
      </c>
      <c r="H89" s="5433" t="str">
        <f>IF(C86=0,"",VLOOKUP(C86,'Tablas Magia'!$D$6:$Z$680,20,FALSE))</f>
        <v>TA 5 en Energía y TA 2 en el resto</v>
      </c>
      <c r="I89" s="5434"/>
      <c r="J89" s="5434"/>
      <c r="K89" s="5434"/>
      <c r="L89" s="5434"/>
      <c r="M89" s="5434"/>
      <c r="N89" s="5434"/>
      <c r="O89" s="5434"/>
      <c r="P89" s="5434"/>
      <c r="Q89" s="5435"/>
      <c r="R89" s="1143"/>
      <c r="S89" s="1137"/>
      <c r="T89" s="1137"/>
      <c r="U89" s="2108"/>
      <c r="V89" s="5431" t="s">
        <v>4572</v>
      </c>
      <c r="W89" s="5432"/>
      <c r="X89" s="1164">
        <f>IF(V86=0,"",VLOOKUP(V86,'Tablas Magia'!$D$6:$Z$680,8,FALSE))</f>
        <v>9</v>
      </c>
      <c r="Y89" s="1164">
        <f>IF(V86=0,"",VLOOKUP(V86,'Tablas Magia'!$D$6:$Z$680,12,FALSE))</f>
        <v>200</v>
      </c>
      <c r="Z89" s="1165">
        <f>IF(V86=0,"",VLOOKUP(V86,'Tablas Magia'!$D$6:$Z$680,16,FALSE))</f>
        <v>40</v>
      </c>
      <c r="AA89" s="5433" t="str">
        <f>IF(V86=0,"",VLOOKUP(V86,'Tablas Magia'!$D$6:$Z$680,20,FALSE))</f>
        <v>150 en Advertir y Buscar / 10 Kilómetros de distancia máxima.</v>
      </c>
      <c r="AB89" s="5434"/>
      <c r="AC89" s="5434"/>
      <c r="AD89" s="5434"/>
      <c r="AE89" s="5434"/>
      <c r="AF89" s="5434"/>
      <c r="AG89" s="5434"/>
      <c r="AH89" s="5434"/>
      <c r="AI89" s="5434"/>
      <c r="AJ89" s="5435"/>
      <c r="AK89" s="1143"/>
      <c r="AL89" s="1137"/>
      <c r="AM89" s="1137"/>
      <c r="AN89" s="2122"/>
      <c r="AO89" s="5431" t="s">
        <v>4572</v>
      </c>
      <c r="AP89" s="5432"/>
      <c r="AQ89" s="1164">
        <f>IF(AO86=0,"",VLOOKUP(AO86,'Tablas Magia'!$D$6:$Z$680,8,FALSE))</f>
        <v>10</v>
      </c>
      <c r="AR89" s="1164">
        <f>IF(AO86=0,"",VLOOKUP(AO86,'Tablas Magia'!$D$6:$Z$680,12,FALSE))</f>
        <v>180</v>
      </c>
      <c r="AS89" s="1165">
        <f>IF(AO86=0,"",VLOOKUP(AO86,'Tablas Magia'!$D$6:$Z$680,16,FALSE))</f>
        <v>10</v>
      </c>
      <c r="AT89" s="5433" t="str">
        <f>IF(AO86=0,"",VLOOKUP(AO86,'Tablas Magia'!$D$6:$Z$680,20,FALSE))</f>
        <v xml:space="preserve"> +20 a toda acción / +20 resistencias / Radio de 25 metros</v>
      </c>
      <c r="AU89" s="5434"/>
      <c r="AV89" s="5434"/>
      <c r="AW89" s="5434"/>
      <c r="AX89" s="5434"/>
      <c r="AY89" s="5434"/>
      <c r="AZ89" s="5434"/>
      <c r="BA89" s="5434"/>
      <c r="BB89" s="5434"/>
      <c r="BC89" s="5435"/>
      <c r="BD89" s="1143"/>
      <c r="BE89" s="1137"/>
      <c r="BF89" s="1137"/>
      <c r="BG89" s="2122"/>
      <c r="BH89" s="5431" t="s">
        <v>4572</v>
      </c>
      <c r="BI89" s="5432"/>
      <c r="BJ89" s="1164">
        <f>IF(BH86=0,"",VLOOKUP(BH86,'Tablas Magia'!$D$6:$Z$680,8,FALSE))</f>
        <v>12</v>
      </c>
      <c r="BK89" s="1164">
        <f>IF(BH86=0,"",VLOOKUP(BH86,'Tablas Magia'!$D$6:$Z$680,12,FALSE))</f>
        <v>200</v>
      </c>
      <c r="BL89" s="1165">
        <f>IF(BH86=0,"",VLOOKUP(BH86,'Tablas Magia'!$D$6:$Z$680,16,FALSE))</f>
        <v>20</v>
      </c>
      <c r="BM89" s="5433" t="str">
        <f>IF(BH86=0,"",VLOOKUP(BH86,'Tablas Magia'!$D$6:$Z$680,20,FALSE))</f>
        <v>Presencia 100 / Calidad +10</v>
      </c>
      <c r="BN89" s="5434"/>
      <c r="BO89" s="5434"/>
      <c r="BP89" s="5434"/>
      <c r="BQ89" s="5434"/>
      <c r="BR89" s="5434"/>
      <c r="BS89" s="5434"/>
      <c r="BT89" s="5434"/>
      <c r="BU89" s="5434"/>
      <c r="BV89" s="5435"/>
      <c r="BW89" s="1143"/>
      <c r="BX89" s="1137"/>
      <c r="BY89" s="1137"/>
      <c r="BZ89" s="2122"/>
      <c r="CA89" s="5431" t="s">
        <v>4572</v>
      </c>
      <c r="CB89" s="5432"/>
      <c r="CC89" s="1164">
        <f>IF(CA86=0,"",VLOOKUP(CA86,'Tablas Magia'!$D$6:$Z$680,8,FALSE))</f>
        <v>14</v>
      </c>
      <c r="CD89" s="1164">
        <f>IF(CA86=0,"",VLOOKUP(CA86,'Tablas Magia'!$D$6:$Z$680,12,FALSE))</f>
        <v>400</v>
      </c>
      <c r="CE89" s="1165" t="str">
        <f>IF(CA86=0,"",VLOOKUP(CA86,'Tablas Magia'!$D$6:$Z$680,16,FALSE))</f>
        <v>No</v>
      </c>
      <c r="CF89" s="5433" t="str">
        <f>IF(CA86=0,"",VLOOKUP(CA86,'Tablas Magia'!$D$6:$Z$680,20,FALSE))</f>
        <v>Una semana</v>
      </c>
      <c r="CG89" s="5434"/>
      <c r="CH89" s="5434"/>
      <c r="CI89" s="5434"/>
      <c r="CJ89" s="5434"/>
      <c r="CK89" s="5434"/>
      <c r="CL89" s="5434"/>
      <c r="CM89" s="5434"/>
      <c r="CN89" s="5434"/>
      <c r="CO89" s="5435"/>
      <c r="CP89" s="1143"/>
      <c r="CQ89" s="1137"/>
    </row>
    <row r="90" spans="1:95" ht="12" customHeight="1" x14ac:dyDescent="0.2">
      <c r="A90" s="1137"/>
      <c r="B90" s="2108"/>
      <c r="C90" s="5426" t="s">
        <v>4573</v>
      </c>
      <c r="D90" s="5427"/>
      <c r="E90" s="1162">
        <f>IF(C86=0,"",VLOOKUP(C86,'Tablas Magia'!$D$6:$Z$680,9,FALSE))</f>
        <v>12</v>
      </c>
      <c r="F90" s="1162">
        <f>IF(C86=0,"",VLOOKUP(C86,'Tablas Magia'!$D$6:$Z$680,13,FALSE))</f>
        <v>120</v>
      </c>
      <c r="G90" s="1163">
        <f>IF(C86=0,"",VLOOKUP(C86,'Tablas Magia'!$D$6:$Z$680,17,FALSE))</f>
        <v>15</v>
      </c>
      <c r="H90" s="5428" t="str">
        <f>IF(C86=0,"",VLOOKUP(C86,'Tablas Magia'!$D$6:$Z$680,21,FALSE))</f>
        <v>TA 8 en Energía y TA 4 en el resto.</v>
      </c>
      <c r="I90" s="5429"/>
      <c r="J90" s="5429"/>
      <c r="K90" s="5429"/>
      <c r="L90" s="5429"/>
      <c r="M90" s="5429"/>
      <c r="N90" s="5429"/>
      <c r="O90" s="5429"/>
      <c r="P90" s="5429"/>
      <c r="Q90" s="5430"/>
      <c r="R90" s="1143"/>
      <c r="S90" s="1137"/>
      <c r="T90" s="1137"/>
      <c r="U90" s="2108"/>
      <c r="V90" s="5426" t="s">
        <v>4573</v>
      </c>
      <c r="W90" s="5427"/>
      <c r="X90" s="1162">
        <f>IF(V86=0,"",VLOOKUP(V86,'Tablas Magia'!$D$6:$Z$680,9,FALSE))</f>
        <v>12</v>
      </c>
      <c r="Y90" s="1162">
        <f>IF(V86=0,"",VLOOKUP(V86,'Tablas Magia'!$D$6:$Z$680,13,FALSE))</f>
        <v>300</v>
      </c>
      <c r="Z90" s="1163">
        <f>IF(V86=0,"",VLOOKUP(V86,'Tablas Magia'!$D$6:$Z$680,17,FALSE))</f>
        <v>60</v>
      </c>
      <c r="AA90" s="5428" t="str">
        <f>IF(V86=0,"",VLOOKUP(V86,'Tablas Magia'!$D$6:$Z$680,21,FALSE))</f>
        <v>200 en Advertir y Buscar / 50 Kilómetros de distancia máxima.</v>
      </c>
      <c r="AB90" s="5429"/>
      <c r="AC90" s="5429"/>
      <c r="AD90" s="5429"/>
      <c r="AE90" s="5429"/>
      <c r="AF90" s="5429"/>
      <c r="AG90" s="5429"/>
      <c r="AH90" s="5429"/>
      <c r="AI90" s="5429"/>
      <c r="AJ90" s="5430"/>
      <c r="AK90" s="1143"/>
      <c r="AL90" s="1137"/>
      <c r="AM90" s="1137"/>
      <c r="AN90" s="2122"/>
      <c r="AO90" s="5426" t="s">
        <v>4573</v>
      </c>
      <c r="AP90" s="5427"/>
      <c r="AQ90" s="1162">
        <f>IF(AO86=0,"",VLOOKUP(AO86,'Tablas Magia'!$D$6:$Z$680,9,FALSE))</f>
        <v>12</v>
      </c>
      <c r="AR90" s="1162">
        <f>IF(AO86=0,"",VLOOKUP(AO86,'Tablas Magia'!$D$6:$Z$680,13,FALSE))</f>
        <v>240</v>
      </c>
      <c r="AS90" s="1163">
        <f>IF(AO86=0,"",VLOOKUP(AO86,'Tablas Magia'!$D$6:$Z$680,17,FALSE))</f>
        <v>15</v>
      </c>
      <c r="AT90" s="5428" t="str">
        <f>IF(AO86=0,"",VLOOKUP(AO86,'Tablas Magia'!$D$6:$Z$680,21,FALSE))</f>
        <v xml:space="preserve"> +20 a toda acción / +30 resistencias / Radio de 50 metros</v>
      </c>
      <c r="AU90" s="5429"/>
      <c r="AV90" s="5429"/>
      <c r="AW90" s="5429"/>
      <c r="AX90" s="5429"/>
      <c r="AY90" s="5429"/>
      <c r="AZ90" s="5429"/>
      <c r="BA90" s="5429"/>
      <c r="BB90" s="5429"/>
      <c r="BC90" s="5430"/>
      <c r="BD90" s="1143"/>
      <c r="BE90" s="1137"/>
      <c r="BF90" s="1137"/>
      <c r="BG90" s="2122"/>
      <c r="BH90" s="5426" t="s">
        <v>4573</v>
      </c>
      <c r="BI90" s="5427"/>
      <c r="BJ90" s="1162">
        <f>IF(BH86=0,"",VLOOKUP(BH86,'Tablas Magia'!$D$6:$Z$680,9,FALSE))</f>
        <v>14</v>
      </c>
      <c r="BK90" s="1162">
        <f>IF(BH86=0,"",VLOOKUP(BH86,'Tablas Magia'!$D$6:$Z$680,13,FALSE))</f>
        <v>240</v>
      </c>
      <c r="BL90" s="1163">
        <f>IF(BH86=0,"",VLOOKUP(BH86,'Tablas Magia'!$D$6:$Z$680,17,FALSE))</f>
        <v>25</v>
      </c>
      <c r="BM90" s="5428" t="str">
        <f>IF(BH86=0,"",VLOOKUP(BH86,'Tablas Magia'!$D$6:$Z$680,21,FALSE))</f>
        <v>Presencia 140 / Calidad +10</v>
      </c>
      <c r="BN90" s="5429"/>
      <c r="BO90" s="5429"/>
      <c r="BP90" s="5429"/>
      <c r="BQ90" s="5429"/>
      <c r="BR90" s="5429"/>
      <c r="BS90" s="5429"/>
      <c r="BT90" s="5429"/>
      <c r="BU90" s="5429"/>
      <c r="BV90" s="5430"/>
      <c r="BW90" s="1143"/>
      <c r="BX90" s="1137"/>
      <c r="BY90" s="1137"/>
      <c r="BZ90" s="2122"/>
      <c r="CA90" s="5426" t="s">
        <v>4573</v>
      </c>
      <c r="CB90" s="5427"/>
      <c r="CC90" s="1162">
        <f>IF(CA86=0,"",VLOOKUP(CA86,'Tablas Magia'!$D$6:$Z$680,9,FALSE))</f>
        <v>16</v>
      </c>
      <c r="CD90" s="1162">
        <f>IF(CA86=0,"",VLOOKUP(CA86,'Tablas Magia'!$D$6:$Z$680,13,FALSE))</f>
        <v>600</v>
      </c>
      <c r="CE90" s="1163" t="str">
        <f>IF(CA86=0,"",VLOOKUP(CA86,'Tablas Magia'!$D$6:$Z$680,17,FALSE))</f>
        <v>No</v>
      </c>
      <c r="CF90" s="5428" t="str">
        <f>IF(CA86=0,"",VLOOKUP(CA86,'Tablas Magia'!$D$6:$Z$680,21,FALSE))</f>
        <v>Un mes</v>
      </c>
      <c r="CG90" s="5429"/>
      <c r="CH90" s="5429"/>
      <c r="CI90" s="5429"/>
      <c r="CJ90" s="5429"/>
      <c r="CK90" s="5429"/>
      <c r="CL90" s="5429"/>
      <c r="CM90" s="5429"/>
      <c r="CN90" s="5429"/>
      <c r="CO90" s="5430"/>
      <c r="CP90" s="1143"/>
      <c r="CQ90" s="1137"/>
    </row>
    <row r="91" spans="1:95" ht="12" customHeight="1" thickBot="1" x14ac:dyDescent="0.25">
      <c r="A91" s="1137"/>
      <c r="B91" s="2108"/>
      <c r="C91" s="5436" t="s">
        <v>4574</v>
      </c>
      <c r="D91" s="5437"/>
      <c r="E91" s="1166">
        <f>IF(C86=0,"",VLOOKUP(C86,'Tablas Magia'!$D$6:$Z$680,10,FALSE))</f>
        <v>15</v>
      </c>
      <c r="F91" s="1166">
        <f>IF(C86=0,"",VLOOKUP(C86,'Tablas Magia'!$D$6:$Z$680,14,FALSE))</f>
        <v>150</v>
      </c>
      <c r="G91" s="1167">
        <f>IF(C86=0,"",VLOOKUP(C86,'Tablas Magia'!$D$6:$Z$680,18,FALSE))</f>
        <v>20</v>
      </c>
      <c r="H91" s="5438" t="str">
        <f>IF(C86=0,"",VLOOKUP(C86,'Tablas Magia'!$D$6:$Z$680,22,FALSE))</f>
        <v>TA 12 en Energía y TA 6 en el resto.</v>
      </c>
      <c r="I91" s="5439"/>
      <c r="J91" s="5439"/>
      <c r="K91" s="5439"/>
      <c r="L91" s="5439"/>
      <c r="M91" s="5439"/>
      <c r="N91" s="5439"/>
      <c r="O91" s="5439"/>
      <c r="P91" s="5439"/>
      <c r="Q91" s="5440"/>
      <c r="R91" s="1143"/>
      <c r="S91" s="1137"/>
      <c r="T91" s="1137"/>
      <c r="U91" s="2108"/>
      <c r="V91" s="5436" t="s">
        <v>4574</v>
      </c>
      <c r="W91" s="5437"/>
      <c r="X91" s="1166">
        <f>IF(V86=0,"",VLOOKUP(V86,'Tablas Magia'!$D$6:$Z$680,10,FALSE))</f>
        <v>15</v>
      </c>
      <c r="Y91" s="1166">
        <f>IF(V86=0,"",VLOOKUP(V86,'Tablas Magia'!$D$6:$Z$680,14,FALSE))</f>
        <v>400</v>
      </c>
      <c r="Z91" s="1167">
        <f>IF(V86=0,"",VLOOKUP(V86,'Tablas Magia'!$D$6:$Z$680,18,FALSE))</f>
        <v>80</v>
      </c>
      <c r="AA91" s="5438" t="str">
        <f>IF(V86=0,"",VLOOKUP(V86,'Tablas Magia'!$D$6:$Z$680,22,FALSE))</f>
        <v>250 en Advertir y Buscar / 500 Kilómetros de distancia máxima</v>
      </c>
      <c r="AB91" s="5439"/>
      <c r="AC91" s="5439"/>
      <c r="AD91" s="5439"/>
      <c r="AE91" s="5439"/>
      <c r="AF91" s="5439"/>
      <c r="AG91" s="5439"/>
      <c r="AH91" s="5439"/>
      <c r="AI91" s="5439"/>
      <c r="AJ91" s="5440"/>
      <c r="AK91" s="1143"/>
      <c r="AL91" s="1137"/>
      <c r="AM91" s="1137"/>
      <c r="AN91" s="2122"/>
      <c r="AO91" s="5436" t="s">
        <v>4574</v>
      </c>
      <c r="AP91" s="5437"/>
      <c r="AQ91" s="1166">
        <f>IF(AO86=0,"",VLOOKUP(AO86,'Tablas Magia'!$D$6:$Z$680,10,FALSE))</f>
        <v>15</v>
      </c>
      <c r="AR91" s="1166">
        <f>IF(AO86=0,"",VLOOKUP(AO86,'Tablas Magia'!$D$6:$Z$680,14,FALSE))</f>
        <v>300</v>
      </c>
      <c r="AS91" s="1167">
        <f>IF(AO86=0,"",VLOOKUP(AO86,'Tablas Magia'!$D$6:$Z$680,18,FALSE))</f>
        <v>15</v>
      </c>
      <c r="AT91" s="5438" t="str">
        <f>IF(AO86=0,"",VLOOKUP(AO86,'Tablas Magia'!$D$6:$Z$680,22,FALSE))</f>
        <v xml:space="preserve"> +30 a toda acción / +30 resistencias / Radio de 150 metros</v>
      </c>
      <c r="AU91" s="5439"/>
      <c r="AV91" s="5439"/>
      <c r="AW91" s="5439"/>
      <c r="AX91" s="5439"/>
      <c r="AY91" s="5439"/>
      <c r="AZ91" s="5439"/>
      <c r="BA91" s="5439"/>
      <c r="BB91" s="5439"/>
      <c r="BC91" s="5440"/>
      <c r="BD91" s="1143"/>
      <c r="BE91" s="1137"/>
      <c r="BF91" s="1137"/>
      <c r="BG91" s="2122"/>
      <c r="BH91" s="5436" t="s">
        <v>4574</v>
      </c>
      <c r="BI91" s="5437"/>
      <c r="BJ91" s="1166">
        <f>IF(BH86=0,"",VLOOKUP(BH86,'Tablas Magia'!$D$6:$Z$680,10,FALSE))</f>
        <v>16</v>
      </c>
      <c r="BK91" s="1166">
        <f>IF(BH86=0,"",VLOOKUP(BH86,'Tablas Magia'!$D$6:$Z$680,14,FALSE))</f>
        <v>300</v>
      </c>
      <c r="BL91" s="1167">
        <f>IF(BH86=0,"",VLOOKUP(BH86,'Tablas Magia'!$D$6:$Z$680,18,FALSE))</f>
        <v>30</v>
      </c>
      <c r="BM91" s="5438" t="str">
        <f>IF(BH86=0,"",VLOOKUP(BH86,'Tablas Magia'!$D$6:$Z$680,22,FALSE))</f>
        <v>Presencia 180 / Calidad +15</v>
      </c>
      <c r="BN91" s="5439"/>
      <c r="BO91" s="5439"/>
      <c r="BP91" s="5439"/>
      <c r="BQ91" s="5439"/>
      <c r="BR91" s="5439"/>
      <c r="BS91" s="5439"/>
      <c r="BT91" s="5439"/>
      <c r="BU91" s="5439"/>
      <c r="BV91" s="5440"/>
      <c r="BW91" s="1143"/>
      <c r="BX91" s="1137"/>
      <c r="BY91" s="1137"/>
      <c r="BZ91" s="2122"/>
      <c r="CA91" s="5436" t="s">
        <v>4574</v>
      </c>
      <c r="CB91" s="5437"/>
      <c r="CC91" s="1166">
        <f>IF(CA86=0,"",VLOOKUP(CA86,'Tablas Magia'!$D$6:$Z$680,10,FALSE))</f>
        <v>18</v>
      </c>
      <c r="CD91" s="1166">
        <f>IF(CA86=0,"",VLOOKUP(CA86,'Tablas Magia'!$D$6:$Z$680,14,FALSE))</f>
        <v>800</v>
      </c>
      <c r="CE91" s="1167" t="str">
        <f>IF(CA86=0,"",VLOOKUP(CA86,'Tablas Magia'!$D$6:$Z$680,18,FALSE))</f>
        <v>No</v>
      </c>
      <c r="CF91" s="5438" t="str">
        <f>IF(CA86=0,"",VLOOKUP(CA86,'Tablas Magia'!$D$6:$Z$680,22,FALSE))</f>
        <v>Un año</v>
      </c>
      <c r="CG91" s="5439"/>
      <c r="CH91" s="5439"/>
      <c r="CI91" s="5439"/>
      <c r="CJ91" s="5439"/>
      <c r="CK91" s="5439"/>
      <c r="CL91" s="5439"/>
      <c r="CM91" s="5439"/>
      <c r="CN91" s="5439"/>
      <c r="CO91" s="5440"/>
      <c r="CP91" s="1143"/>
      <c r="CQ91" s="1137"/>
    </row>
    <row r="92" spans="1:95" ht="12" customHeight="1" x14ac:dyDescent="0.2">
      <c r="A92" s="1137"/>
      <c r="B92" s="2108"/>
      <c r="C92" s="5441"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42"/>
      <c r="E92" s="5442"/>
      <c r="F92" s="5442"/>
      <c r="G92" s="5442"/>
      <c r="H92" s="5442"/>
      <c r="I92" s="5442"/>
      <c r="J92" s="5442"/>
      <c r="K92" s="5442"/>
      <c r="L92" s="5442"/>
      <c r="M92" s="5442"/>
      <c r="N92" s="5442"/>
      <c r="O92" s="5442"/>
      <c r="P92" s="5442"/>
      <c r="Q92" s="5443"/>
      <c r="R92" s="1143"/>
      <c r="S92" s="1137"/>
      <c r="T92" s="1137"/>
      <c r="U92" s="2108"/>
      <c r="V92" s="5441"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42"/>
      <c r="X92" s="5442"/>
      <c r="Y92" s="5442"/>
      <c r="Z92" s="5442"/>
      <c r="AA92" s="5442"/>
      <c r="AB92" s="5442"/>
      <c r="AC92" s="5442"/>
      <c r="AD92" s="5442"/>
      <c r="AE92" s="5442"/>
      <c r="AF92" s="5442"/>
      <c r="AG92" s="5442"/>
      <c r="AH92" s="5442"/>
      <c r="AI92" s="5442"/>
      <c r="AJ92" s="5443"/>
      <c r="AK92" s="1143"/>
      <c r="AL92" s="1137"/>
      <c r="AM92" s="1137"/>
      <c r="AN92" s="2122"/>
      <c r="AO92" s="5441"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42"/>
      <c r="AQ92" s="5442"/>
      <c r="AR92" s="5442"/>
      <c r="AS92" s="5442"/>
      <c r="AT92" s="5442"/>
      <c r="AU92" s="5442"/>
      <c r="AV92" s="5442"/>
      <c r="AW92" s="5442"/>
      <c r="AX92" s="5442"/>
      <c r="AY92" s="5442"/>
      <c r="AZ92" s="5442"/>
      <c r="BA92" s="5442"/>
      <c r="BB92" s="5442"/>
      <c r="BC92" s="5443"/>
      <c r="BD92" s="1143"/>
      <c r="BE92" s="1137"/>
      <c r="BF92" s="1137"/>
      <c r="BG92" s="2122"/>
      <c r="BH92" s="5441" t="str">
        <f>IF(BH86=0,"",VLOOKUP(BH86,'Tablas Magia'!$D$6:$Z$680,23,FALSE))</f>
        <v>Forma un objeto físico de energía lumínica. Pese a estar hecho de luz, tiene consistencia física. La presencia máxima de dicho objeto y la calidad del mismo viene determinada por el grado del conjuro.</v>
      </c>
      <c r="BI92" s="5442"/>
      <c r="BJ92" s="5442"/>
      <c r="BK92" s="5442"/>
      <c r="BL92" s="5442"/>
      <c r="BM92" s="5442"/>
      <c r="BN92" s="5442"/>
      <c r="BO92" s="5442"/>
      <c r="BP92" s="5442"/>
      <c r="BQ92" s="5442"/>
      <c r="BR92" s="5442"/>
      <c r="BS92" s="5442"/>
      <c r="BT92" s="5442"/>
      <c r="BU92" s="5442"/>
      <c r="BV92" s="5443"/>
      <c r="BW92" s="1143"/>
      <c r="BX92" s="1137"/>
      <c r="BY92" s="1137"/>
      <c r="BZ92" s="2122"/>
      <c r="CA92" s="5441"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42"/>
      <c r="CC92" s="5442"/>
      <c r="CD92" s="5442"/>
      <c r="CE92" s="5442"/>
      <c r="CF92" s="5442"/>
      <c r="CG92" s="5442"/>
      <c r="CH92" s="5442"/>
      <c r="CI92" s="5442"/>
      <c r="CJ92" s="5442"/>
      <c r="CK92" s="5442"/>
      <c r="CL92" s="5442"/>
      <c r="CM92" s="5442"/>
      <c r="CN92" s="5442"/>
      <c r="CO92" s="5443"/>
      <c r="CP92" s="1143"/>
      <c r="CQ92" s="1137"/>
    </row>
    <row r="93" spans="1:95" ht="12" customHeight="1" x14ac:dyDescent="0.2">
      <c r="A93" s="1137"/>
      <c r="B93" s="2108"/>
      <c r="C93" s="5444"/>
      <c r="D93" s="5445"/>
      <c r="E93" s="5445"/>
      <c r="F93" s="5445"/>
      <c r="G93" s="5445"/>
      <c r="H93" s="5445"/>
      <c r="I93" s="5445"/>
      <c r="J93" s="5445"/>
      <c r="K93" s="5445"/>
      <c r="L93" s="5445"/>
      <c r="M93" s="5445"/>
      <c r="N93" s="5445"/>
      <c r="O93" s="5445"/>
      <c r="P93" s="5445"/>
      <c r="Q93" s="5446"/>
      <c r="R93" s="1143"/>
      <c r="S93" s="1137"/>
      <c r="T93" s="1137"/>
      <c r="U93" s="2108"/>
      <c r="V93" s="5444"/>
      <c r="W93" s="5445"/>
      <c r="X93" s="5445"/>
      <c r="Y93" s="5445"/>
      <c r="Z93" s="5445"/>
      <c r="AA93" s="5445"/>
      <c r="AB93" s="5445"/>
      <c r="AC93" s="5445"/>
      <c r="AD93" s="5445"/>
      <c r="AE93" s="5445"/>
      <c r="AF93" s="5445"/>
      <c r="AG93" s="5445"/>
      <c r="AH93" s="5445"/>
      <c r="AI93" s="5445"/>
      <c r="AJ93" s="5446"/>
      <c r="AK93" s="1143"/>
      <c r="AL93" s="1137"/>
      <c r="AM93" s="1137"/>
      <c r="AN93" s="2122"/>
      <c r="AO93" s="5444"/>
      <c r="AP93" s="5445"/>
      <c r="AQ93" s="5445"/>
      <c r="AR93" s="5445"/>
      <c r="AS93" s="5445"/>
      <c r="AT93" s="5445"/>
      <c r="AU93" s="5445"/>
      <c r="AV93" s="5445"/>
      <c r="AW93" s="5445"/>
      <c r="AX93" s="5445"/>
      <c r="AY93" s="5445"/>
      <c r="AZ93" s="5445"/>
      <c r="BA93" s="5445"/>
      <c r="BB93" s="5445"/>
      <c r="BC93" s="5446"/>
      <c r="BD93" s="1143"/>
      <c r="BE93" s="1137"/>
      <c r="BF93" s="1137"/>
      <c r="BG93" s="2122"/>
      <c r="BH93" s="5444"/>
      <c r="BI93" s="5445"/>
      <c r="BJ93" s="5445"/>
      <c r="BK93" s="5445"/>
      <c r="BL93" s="5445"/>
      <c r="BM93" s="5445"/>
      <c r="BN93" s="5445"/>
      <c r="BO93" s="5445"/>
      <c r="BP93" s="5445"/>
      <c r="BQ93" s="5445"/>
      <c r="BR93" s="5445"/>
      <c r="BS93" s="5445"/>
      <c r="BT93" s="5445"/>
      <c r="BU93" s="5445"/>
      <c r="BV93" s="5446"/>
      <c r="BW93" s="1143"/>
      <c r="BX93" s="1137"/>
      <c r="BY93" s="1137"/>
      <c r="BZ93" s="2122"/>
      <c r="CA93" s="5444"/>
      <c r="CB93" s="5445"/>
      <c r="CC93" s="5445"/>
      <c r="CD93" s="5445"/>
      <c r="CE93" s="5445"/>
      <c r="CF93" s="5445"/>
      <c r="CG93" s="5445"/>
      <c r="CH93" s="5445"/>
      <c r="CI93" s="5445"/>
      <c r="CJ93" s="5445"/>
      <c r="CK93" s="5445"/>
      <c r="CL93" s="5445"/>
      <c r="CM93" s="5445"/>
      <c r="CN93" s="5445"/>
      <c r="CO93" s="5446"/>
      <c r="CP93" s="1143"/>
      <c r="CQ93" s="1137"/>
    </row>
    <row r="94" spans="1:95" ht="12" customHeight="1" x14ac:dyDescent="0.2">
      <c r="A94" s="1137"/>
      <c r="B94" s="2108"/>
      <c r="C94" s="5444"/>
      <c r="D94" s="5445"/>
      <c r="E94" s="5445"/>
      <c r="F94" s="5445"/>
      <c r="G94" s="5445"/>
      <c r="H94" s="5445"/>
      <c r="I94" s="5445"/>
      <c r="J94" s="5445"/>
      <c r="K94" s="5445"/>
      <c r="L94" s="5445"/>
      <c r="M94" s="5445"/>
      <c r="N94" s="5445"/>
      <c r="O94" s="5445"/>
      <c r="P94" s="5445"/>
      <c r="Q94" s="5446"/>
      <c r="R94" s="1143"/>
      <c r="S94" s="1137"/>
      <c r="T94" s="1137"/>
      <c r="U94" s="2108"/>
      <c r="V94" s="5444"/>
      <c r="W94" s="5445"/>
      <c r="X94" s="5445"/>
      <c r="Y94" s="5445"/>
      <c r="Z94" s="5445"/>
      <c r="AA94" s="5445"/>
      <c r="AB94" s="5445"/>
      <c r="AC94" s="5445"/>
      <c r="AD94" s="5445"/>
      <c r="AE94" s="5445"/>
      <c r="AF94" s="5445"/>
      <c r="AG94" s="5445"/>
      <c r="AH94" s="5445"/>
      <c r="AI94" s="5445"/>
      <c r="AJ94" s="5446"/>
      <c r="AK94" s="1143"/>
      <c r="AL94" s="1137"/>
      <c r="AM94" s="1137"/>
      <c r="AN94" s="2122"/>
      <c r="AO94" s="5444"/>
      <c r="AP94" s="5445"/>
      <c r="AQ94" s="5445"/>
      <c r="AR94" s="5445"/>
      <c r="AS94" s="5445"/>
      <c r="AT94" s="5445"/>
      <c r="AU94" s="5445"/>
      <c r="AV94" s="5445"/>
      <c r="AW94" s="5445"/>
      <c r="AX94" s="5445"/>
      <c r="AY94" s="5445"/>
      <c r="AZ94" s="5445"/>
      <c r="BA94" s="5445"/>
      <c r="BB94" s="5445"/>
      <c r="BC94" s="5446"/>
      <c r="BD94" s="1143"/>
      <c r="BE94" s="1137"/>
      <c r="BF94" s="1137"/>
      <c r="BG94" s="2122"/>
      <c r="BH94" s="5444"/>
      <c r="BI94" s="5445"/>
      <c r="BJ94" s="5445"/>
      <c r="BK94" s="5445"/>
      <c r="BL94" s="5445"/>
      <c r="BM94" s="5445"/>
      <c r="BN94" s="5445"/>
      <c r="BO94" s="5445"/>
      <c r="BP94" s="5445"/>
      <c r="BQ94" s="5445"/>
      <c r="BR94" s="5445"/>
      <c r="BS94" s="5445"/>
      <c r="BT94" s="5445"/>
      <c r="BU94" s="5445"/>
      <c r="BV94" s="5446"/>
      <c r="BW94" s="1143"/>
      <c r="BX94" s="1137"/>
      <c r="BY94" s="1137"/>
      <c r="BZ94" s="2122"/>
      <c r="CA94" s="5444"/>
      <c r="CB94" s="5445"/>
      <c r="CC94" s="5445"/>
      <c r="CD94" s="5445"/>
      <c r="CE94" s="5445"/>
      <c r="CF94" s="5445"/>
      <c r="CG94" s="5445"/>
      <c r="CH94" s="5445"/>
      <c r="CI94" s="5445"/>
      <c r="CJ94" s="5445"/>
      <c r="CK94" s="5445"/>
      <c r="CL94" s="5445"/>
      <c r="CM94" s="5445"/>
      <c r="CN94" s="5445"/>
      <c r="CO94" s="5446"/>
      <c r="CP94" s="1143"/>
      <c r="CQ94" s="1137"/>
    </row>
    <row r="95" spans="1:95" ht="12" customHeight="1" thickBot="1" x14ac:dyDescent="0.25">
      <c r="A95" s="1137"/>
      <c r="B95" s="2108"/>
      <c r="C95" s="5447"/>
      <c r="D95" s="5448"/>
      <c r="E95" s="5448"/>
      <c r="F95" s="5448"/>
      <c r="G95" s="5448"/>
      <c r="H95" s="5448"/>
      <c r="I95" s="5448"/>
      <c r="J95" s="5448"/>
      <c r="K95" s="5448"/>
      <c r="L95" s="5448"/>
      <c r="M95" s="5448"/>
      <c r="N95" s="5448"/>
      <c r="O95" s="5448"/>
      <c r="P95" s="5448"/>
      <c r="Q95" s="5449"/>
      <c r="R95" s="1143"/>
      <c r="S95" s="1137"/>
      <c r="T95" s="1137"/>
      <c r="U95" s="2108"/>
      <c r="V95" s="5447"/>
      <c r="W95" s="5448"/>
      <c r="X95" s="5448"/>
      <c r="Y95" s="5448"/>
      <c r="Z95" s="5448"/>
      <c r="AA95" s="5448"/>
      <c r="AB95" s="5448"/>
      <c r="AC95" s="5448"/>
      <c r="AD95" s="5448"/>
      <c r="AE95" s="5448"/>
      <c r="AF95" s="5448"/>
      <c r="AG95" s="5448"/>
      <c r="AH95" s="5448"/>
      <c r="AI95" s="5448"/>
      <c r="AJ95" s="5449"/>
      <c r="AK95" s="1143"/>
      <c r="AL95" s="1137"/>
      <c r="AM95" s="1137"/>
      <c r="AN95" s="2122"/>
      <c r="AO95" s="5447"/>
      <c r="AP95" s="5448"/>
      <c r="AQ95" s="5448"/>
      <c r="AR95" s="5448"/>
      <c r="AS95" s="5448"/>
      <c r="AT95" s="5448"/>
      <c r="AU95" s="5448"/>
      <c r="AV95" s="5448"/>
      <c r="AW95" s="5448"/>
      <c r="AX95" s="5448"/>
      <c r="AY95" s="5448"/>
      <c r="AZ95" s="5448"/>
      <c r="BA95" s="5448"/>
      <c r="BB95" s="5448"/>
      <c r="BC95" s="5449"/>
      <c r="BD95" s="1143"/>
      <c r="BE95" s="1137"/>
      <c r="BF95" s="1137"/>
      <c r="BG95" s="2122"/>
      <c r="BH95" s="5447"/>
      <c r="BI95" s="5448"/>
      <c r="BJ95" s="5448"/>
      <c r="BK95" s="5448"/>
      <c r="BL95" s="5448"/>
      <c r="BM95" s="5448"/>
      <c r="BN95" s="5448"/>
      <c r="BO95" s="5448"/>
      <c r="BP95" s="5448"/>
      <c r="BQ95" s="5448"/>
      <c r="BR95" s="5448"/>
      <c r="BS95" s="5448"/>
      <c r="BT95" s="5448"/>
      <c r="BU95" s="5448"/>
      <c r="BV95" s="5449"/>
      <c r="BW95" s="1143"/>
      <c r="BX95" s="1137"/>
      <c r="BY95" s="1137"/>
      <c r="BZ95" s="2122"/>
      <c r="CA95" s="5447"/>
      <c r="CB95" s="5448"/>
      <c r="CC95" s="5448"/>
      <c r="CD95" s="5448"/>
      <c r="CE95" s="5448"/>
      <c r="CF95" s="5448"/>
      <c r="CG95" s="5448"/>
      <c r="CH95" s="5448"/>
      <c r="CI95" s="5448"/>
      <c r="CJ95" s="5448"/>
      <c r="CK95" s="5448"/>
      <c r="CL95" s="5448"/>
      <c r="CM95" s="5448"/>
      <c r="CN95" s="5448"/>
      <c r="CO95" s="5449"/>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66"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67"/>
      <c r="E97" s="5467"/>
      <c r="F97" s="5467"/>
      <c r="G97" s="5467"/>
      <c r="H97" s="1157" t="s">
        <v>1627</v>
      </c>
      <c r="I97" s="1158">
        <f>B97</f>
        <v>18</v>
      </c>
      <c r="J97" s="5454" t="s">
        <v>7687</v>
      </c>
      <c r="K97" s="5454"/>
      <c r="L97" s="5454"/>
      <c r="M97" s="5455" t="str">
        <f>IF(C97=0,"",VLOOKUP(C97,'Tablas Magia'!$D$6:$Z$680,2,FALSE))</f>
        <v>Luz</v>
      </c>
      <c r="N97" s="5455"/>
      <c r="O97" s="5455"/>
      <c r="P97" s="5455"/>
      <c r="Q97" s="5456"/>
      <c r="R97" s="1143"/>
      <c r="S97" s="1137"/>
      <c r="T97" s="1137"/>
      <c r="U97" s="2108">
        <f>U86+2</f>
        <v>38</v>
      </c>
      <c r="V97" s="5466"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67"/>
      <c r="X97" s="5467"/>
      <c r="Y97" s="5467"/>
      <c r="Z97" s="5467"/>
      <c r="AA97" s="1157" t="s">
        <v>1627</v>
      </c>
      <c r="AB97" s="1158">
        <f>U97</f>
        <v>38</v>
      </c>
      <c r="AC97" s="5454" t="s">
        <v>7687</v>
      </c>
      <c r="AD97" s="5454"/>
      <c r="AE97" s="5454"/>
      <c r="AF97" s="5455" t="str">
        <f>IF(V97=0,"",VLOOKUP(V97,'Tablas Magia'!$D$6:$Z$680,2,FALSE))</f>
        <v>Luz</v>
      </c>
      <c r="AG97" s="5455"/>
      <c r="AH97" s="5455"/>
      <c r="AI97" s="5455"/>
      <c r="AJ97" s="5456"/>
      <c r="AK97" s="1143"/>
      <c r="AL97" s="1137"/>
      <c r="AM97" s="1137"/>
      <c r="AN97" s="2122">
        <f>AN86+2</f>
        <v>58</v>
      </c>
      <c r="AO97" s="5466"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67"/>
      <c r="AQ97" s="5467"/>
      <c r="AR97" s="5467"/>
      <c r="AS97" s="5467"/>
      <c r="AT97" s="1157" t="s">
        <v>1627</v>
      </c>
      <c r="AU97" s="1158">
        <f>AN97</f>
        <v>58</v>
      </c>
      <c r="AV97" s="5454" t="s">
        <v>7687</v>
      </c>
      <c r="AW97" s="5454"/>
      <c r="AX97" s="5454"/>
      <c r="AY97" s="5455" t="str">
        <f>IF(AO97=0,"",VLOOKUP(AO97,'Tablas Magia'!$D$6:$Z$680,2,FALSE))</f>
        <v>Luz</v>
      </c>
      <c r="AZ97" s="5455"/>
      <c r="BA97" s="5455"/>
      <c r="BB97" s="5455"/>
      <c r="BC97" s="5456"/>
      <c r="BD97" s="1143"/>
      <c r="BE97" s="1137"/>
      <c r="BF97" s="1137"/>
      <c r="BG97" s="2122">
        <f>BG86+2</f>
        <v>78</v>
      </c>
      <c r="BH97" s="5466"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67"/>
      <c r="BJ97" s="5467"/>
      <c r="BK97" s="5467"/>
      <c r="BL97" s="5467"/>
      <c r="BM97" s="1157" t="s">
        <v>1627</v>
      </c>
      <c r="BN97" s="1158">
        <f>BG97</f>
        <v>78</v>
      </c>
      <c r="BO97" s="5454" t="s">
        <v>7687</v>
      </c>
      <c r="BP97" s="5454"/>
      <c r="BQ97" s="5454"/>
      <c r="BR97" s="5455" t="str">
        <f>IF(BH97=0,"",VLOOKUP(BH97,'Tablas Magia'!$D$6:$Z$680,2,FALSE))</f>
        <v>Luz</v>
      </c>
      <c r="BS97" s="5455"/>
      <c r="BT97" s="5455"/>
      <c r="BU97" s="5455"/>
      <c r="BV97" s="5456"/>
      <c r="BW97" s="1143"/>
      <c r="BX97" s="1137"/>
      <c r="BY97" s="1137"/>
      <c r="BZ97" s="2122">
        <f>BZ86+2</f>
        <v>98</v>
      </c>
      <c r="CA97" s="5466"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67"/>
      <c r="CC97" s="5467"/>
      <c r="CD97" s="5467"/>
      <c r="CE97" s="5467"/>
      <c r="CF97" s="1157" t="s">
        <v>1627</v>
      </c>
      <c r="CG97" s="1158">
        <f>BZ97</f>
        <v>98</v>
      </c>
      <c r="CH97" s="5454" t="s">
        <v>7687</v>
      </c>
      <c r="CI97" s="5454"/>
      <c r="CJ97" s="5454"/>
      <c r="CK97" s="5455" t="str">
        <f>IF(CA97=0,"",VLOOKUP(CA97,'Tablas Magia'!$D$6:$Z$680,2,FALSE))</f>
        <v>Luz</v>
      </c>
      <c r="CL97" s="5455"/>
      <c r="CM97" s="5455"/>
      <c r="CN97" s="5455"/>
      <c r="CO97" s="5456"/>
      <c r="CP97" s="1143"/>
      <c r="CQ97" s="1137"/>
    </row>
    <row r="98" spans="1:95" ht="12" customHeight="1" x14ac:dyDescent="0.2">
      <c r="A98" s="1137"/>
      <c r="B98" s="2108"/>
      <c r="C98" s="5450" t="s">
        <v>7688</v>
      </c>
      <c r="D98" s="5451"/>
      <c r="E98" s="1159" t="s">
        <v>7689</v>
      </c>
      <c r="F98" s="1159" t="s">
        <v>1820</v>
      </c>
      <c r="G98" s="1159" t="s">
        <v>3334</v>
      </c>
      <c r="H98" s="1160" t="s">
        <v>2165</v>
      </c>
      <c r="I98" s="5424" t="str">
        <f>IF(C97=0,"",VLOOKUP(C97,'Tablas Magia'!$D$6:$Z$680,5,FALSE))</f>
        <v>Efecto</v>
      </c>
      <c r="J98" s="5424"/>
      <c r="K98" s="5423" t="s">
        <v>7690</v>
      </c>
      <c r="L98" s="5423"/>
      <c r="M98" s="5424" t="str">
        <f>IF(C97=0,"",VLOOKUP(C97,'Tablas Magia'!$D$6:$Z$680,6,FALSE))</f>
        <v>Activa</v>
      </c>
      <c r="N98" s="5424"/>
      <c r="O98" s="5425" t="s">
        <v>7691</v>
      </c>
      <c r="P98" s="5425"/>
      <c r="Q98" s="1161" t="str">
        <f>IF(C97=0,"",VLOOKUP(C97,'Tablas Magia'!$D$6:$Z$680,4,FALSE))</f>
        <v>No</v>
      </c>
      <c r="R98" s="1143"/>
      <c r="S98" s="1137"/>
      <c r="T98" s="1137"/>
      <c r="U98" s="2108"/>
      <c r="V98" s="5450" t="s">
        <v>7688</v>
      </c>
      <c r="W98" s="5451"/>
      <c r="X98" s="1159" t="s">
        <v>7689</v>
      </c>
      <c r="Y98" s="1159" t="s">
        <v>1820</v>
      </c>
      <c r="Z98" s="1159" t="s">
        <v>3334</v>
      </c>
      <c r="AA98" s="1160" t="s">
        <v>2165</v>
      </c>
      <c r="AB98" s="5424" t="str">
        <f>IF(V97=0,"",VLOOKUP(V97,'Tablas Magia'!$D$6:$Z$680,5,FALSE))</f>
        <v>Anímico</v>
      </c>
      <c r="AC98" s="5424"/>
      <c r="AD98" s="5423" t="s">
        <v>7690</v>
      </c>
      <c r="AE98" s="5423"/>
      <c r="AF98" s="5424" t="str">
        <f>IF(V97=0,"",VLOOKUP(V97,'Tablas Magia'!$D$6:$Z$680,6,FALSE))</f>
        <v>Activa</v>
      </c>
      <c r="AG98" s="5424"/>
      <c r="AH98" s="5425" t="s">
        <v>7691</v>
      </c>
      <c r="AI98" s="5425"/>
      <c r="AJ98" s="1161" t="str">
        <f>IF(V97=0,"",VLOOKUP(V97,'Tablas Magia'!$D$6:$Z$680,4,FALSE))</f>
        <v>No</v>
      </c>
      <c r="AK98" s="1143"/>
      <c r="AL98" s="1137"/>
      <c r="AM98" s="1137"/>
      <c r="AN98" s="2122"/>
      <c r="AO98" s="5450" t="s">
        <v>7688</v>
      </c>
      <c r="AP98" s="5451"/>
      <c r="AQ98" s="1159" t="s">
        <v>7689</v>
      </c>
      <c r="AR98" s="1159" t="s">
        <v>1820</v>
      </c>
      <c r="AS98" s="1159" t="s">
        <v>3334</v>
      </c>
      <c r="AT98" s="1160" t="s">
        <v>2165</v>
      </c>
      <c r="AU98" s="5424" t="str">
        <f>IF(AO97=0,"",VLOOKUP(AO97,'Tablas Magia'!$D$6:$Z$680,5,FALSE))</f>
        <v>Anímico</v>
      </c>
      <c r="AV98" s="5424"/>
      <c r="AW98" s="5423" t="s">
        <v>7690</v>
      </c>
      <c r="AX98" s="5423"/>
      <c r="AY98" s="5424" t="str">
        <f>IF(AO97=0,"",VLOOKUP(AO97,'Tablas Magia'!$D$6:$Z$680,6,FALSE))</f>
        <v>Activa</v>
      </c>
      <c r="AZ98" s="5424"/>
      <c r="BA98" s="5425" t="s">
        <v>7691</v>
      </c>
      <c r="BB98" s="5425"/>
      <c r="BC98" s="1161" t="str">
        <f>IF(AO97=0,"",VLOOKUP(AO97,'Tablas Magia'!$D$6:$Z$680,4,FALSE))</f>
        <v>Si</v>
      </c>
      <c r="BD98" s="1143"/>
      <c r="BE98" s="1137"/>
      <c r="BF98" s="1137"/>
      <c r="BG98" s="2122"/>
      <c r="BH98" s="5450" t="s">
        <v>7688</v>
      </c>
      <c r="BI98" s="5451"/>
      <c r="BJ98" s="1159" t="s">
        <v>7689</v>
      </c>
      <c r="BK98" s="1159" t="s">
        <v>1820</v>
      </c>
      <c r="BL98" s="1159" t="s">
        <v>3334</v>
      </c>
      <c r="BM98" s="1160" t="s">
        <v>2165</v>
      </c>
      <c r="BN98" s="5424" t="str">
        <f>IF(BH97=0,"",VLOOKUP(BH97,'Tablas Magia'!$D$6:$Z$680,5,FALSE))</f>
        <v>Efecto</v>
      </c>
      <c r="BO98" s="5424"/>
      <c r="BP98" s="5423" t="s">
        <v>7690</v>
      </c>
      <c r="BQ98" s="5423"/>
      <c r="BR98" s="5424" t="str">
        <f>IF(BH97=0,"",VLOOKUP(BH97,'Tablas Magia'!$D$6:$Z$680,6,FALSE))</f>
        <v>Activa</v>
      </c>
      <c r="BS98" s="5424"/>
      <c r="BT98" s="5425" t="s">
        <v>7691</v>
      </c>
      <c r="BU98" s="5425"/>
      <c r="BV98" s="1161" t="str">
        <f>IF(BH97=0,"",VLOOKUP(BH97,'Tablas Magia'!$D$6:$Z$680,4,FALSE))</f>
        <v>No</v>
      </c>
      <c r="BW98" s="1143"/>
      <c r="BX98" s="1137"/>
      <c r="BY98" s="1137"/>
      <c r="BZ98" s="2122"/>
      <c r="CA98" s="5450" t="s">
        <v>7688</v>
      </c>
      <c r="CB98" s="5451"/>
      <c r="CC98" s="1159" t="s">
        <v>7689</v>
      </c>
      <c r="CD98" s="1159" t="s">
        <v>1820</v>
      </c>
      <c r="CE98" s="1159" t="s">
        <v>3334</v>
      </c>
      <c r="CF98" s="1160" t="s">
        <v>2165</v>
      </c>
      <c r="CG98" s="5424" t="str">
        <f>IF(CA97=0,"",VLOOKUP(CA97,'Tablas Magia'!$D$6:$Z$680,5,FALSE))</f>
        <v>Efecto</v>
      </c>
      <c r="CH98" s="5424"/>
      <c r="CI98" s="5423" t="s">
        <v>7690</v>
      </c>
      <c r="CJ98" s="5423"/>
      <c r="CK98" s="5424" t="str">
        <f>IF(CA97=0,"",VLOOKUP(CA97,'Tablas Magia'!$D$6:$Z$680,6,FALSE))</f>
        <v>Activa</v>
      </c>
      <c r="CL98" s="5424"/>
      <c r="CM98" s="5425" t="s">
        <v>7691</v>
      </c>
      <c r="CN98" s="5425"/>
      <c r="CO98" s="1161" t="str">
        <f>IF(CA97=0,"",VLOOKUP(CA97,'Tablas Magia'!$D$6:$Z$680,4,FALSE))</f>
        <v>Si</v>
      </c>
      <c r="CP98" s="1143"/>
      <c r="CQ98" s="1137"/>
    </row>
    <row r="99" spans="1:95" ht="12" customHeight="1" x14ac:dyDescent="0.2">
      <c r="A99" s="1137"/>
      <c r="B99" s="2108"/>
      <c r="C99" s="5426" t="s">
        <v>1674</v>
      </c>
      <c r="D99" s="5427"/>
      <c r="E99" s="1162">
        <f>IF(C97=0,"",VLOOKUP(C97,'Tablas Magia'!$D$6:$Z$680,7,FALSE))</f>
        <v>6</v>
      </c>
      <c r="F99" s="1162">
        <f>IF(C97=0,"",VLOOKUP(C97,'Tablas Magia'!$D$6:$Z$680,11,FALSE))</f>
        <v>60</v>
      </c>
      <c r="G99" s="1163">
        <f>IF(C97=0,"",VLOOKUP(C97,'Tablas Magia'!$D$6:$Z$680,15,FALSE))</f>
        <v>10</v>
      </c>
      <c r="H99" s="5428" t="str">
        <f>IF(C97=0,"",VLOOKUP(C97,'Tablas Magia'!$D$6:$Z$680,19,FALSE))</f>
        <v>10 metros de radio / 140 RM.</v>
      </c>
      <c r="I99" s="5429"/>
      <c r="J99" s="5429"/>
      <c r="K99" s="5429"/>
      <c r="L99" s="5429"/>
      <c r="M99" s="5429"/>
      <c r="N99" s="5429"/>
      <c r="O99" s="5429"/>
      <c r="P99" s="5429"/>
      <c r="Q99" s="5430"/>
      <c r="R99" s="1143"/>
      <c r="S99" s="1137"/>
      <c r="T99" s="1137"/>
      <c r="U99" s="2108"/>
      <c r="V99" s="5426" t="s">
        <v>1674</v>
      </c>
      <c r="W99" s="5427"/>
      <c r="X99" s="1162">
        <f>IF(V97=0,"",VLOOKUP(V97,'Tablas Magia'!$D$6:$Z$680,7,FALSE))</f>
        <v>6</v>
      </c>
      <c r="Y99" s="1162">
        <f>IF(V97=0,"",VLOOKUP(V97,'Tablas Magia'!$D$6:$Z$680,11,FALSE))</f>
        <v>60</v>
      </c>
      <c r="Z99" s="1163">
        <f>IF(V97=0,"",VLOOKUP(V97,'Tablas Magia'!$D$6:$Z$680,15,FALSE))</f>
        <v>10</v>
      </c>
      <c r="AA99" s="5428" t="str">
        <f>IF(V97=0,"",VLOOKUP(V97,'Tablas Magia'!$D$6:$Z$680,19,FALSE))</f>
        <v>RM 80 / 10 metros de radio</v>
      </c>
      <c r="AB99" s="5429"/>
      <c r="AC99" s="5429"/>
      <c r="AD99" s="5429"/>
      <c r="AE99" s="5429"/>
      <c r="AF99" s="5429"/>
      <c r="AG99" s="5429"/>
      <c r="AH99" s="5429"/>
      <c r="AI99" s="5429"/>
      <c r="AJ99" s="5430"/>
      <c r="AK99" s="1143"/>
      <c r="AL99" s="1137"/>
      <c r="AM99" s="1137"/>
      <c r="AN99" s="2122"/>
      <c r="AO99" s="5426" t="s">
        <v>1674</v>
      </c>
      <c r="AP99" s="5427"/>
      <c r="AQ99" s="1162">
        <f>IF(AO97=0,"",VLOOKUP(AO97,'Tablas Magia'!$D$6:$Z$680,7,FALSE))</f>
        <v>8</v>
      </c>
      <c r="AR99" s="1162">
        <f>IF(AO97=0,"",VLOOKUP(AO97,'Tablas Magia'!$D$6:$Z$680,11,FALSE))</f>
        <v>100</v>
      </c>
      <c r="AS99" s="1163">
        <f>IF(AO97=0,"",VLOOKUP(AO97,'Tablas Magia'!$D$6:$Z$680,15,FALSE))</f>
        <v>10</v>
      </c>
      <c r="AT99" s="5428" t="str">
        <f>IF(AO97=0,"",VLOOKUP(AO97,'Tablas Magia'!$D$6:$Z$680,19,FALSE))</f>
        <v>Radio de 20 metros / RM o RP 120.</v>
      </c>
      <c r="AU99" s="5429"/>
      <c r="AV99" s="5429"/>
      <c r="AW99" s="5429"/>
      <c r="AX99" s="5429"/>
      <c r="AY99" s="5429"/>
      <c r="AZ99" s="5429"/>
      <c r="BA99" s="5429"/>
      <c r="BB99" s="5429"/>
      <c r="BC99" s="5430"/>
      <c r="BD99" s="1143"/>
      <c r="BE99" s="1137"/>
      <c r="BF99" s="1137"/>
      <c r="BG99" s="2122"/>
      <c r="BH99" s="5426" t="s">
        <v>1674</v>
      </c>
      <c r="BI99" s="5427"/>
      <c r="BJ99" s="1162">
        <f>IF(BH97=0,"",VLOOKUP(BH97,'Tablas Magia'!$D$6:$Z$680,7,FALSE))</f>
        <v>10</v>
      </c>
      <c r="BK99" s="1162">
        <f>IF(BH97=0,"",VLOOKUP(BH97,'Tablas Magia'!$D$6:$Z$680,11,FALSE))</f>
        <v>250</v>
      </c>
      <c r="BL99" s="1163" t="str">
        <f>IF(BH97=0,"",VLOOKUP(BH97,'Tablas Magia'!$D$6:$Z$680,15,FALSE))</f>
        <v>No</v>
      </c>
      <c r="BM99" s="5428" t="str">
        <f>IF(BH97=0,"",VLOOKUP(BH97,'Tablas Magia'!$D$6:$Z$680,19,FALSE))</f>
        <v>100 kilómetros / 250 de presencia / RM 120</v>
      </c>
      <c r="BN99" s="5429"/>
      <c r="BO99" s="5429"/>
      <c r="BP99" s="5429"/>
      <c r="BQ99" s="5429"/>
      <c r="BR99" s="5429"/>
      <c r="BS99" s="5429"/>
      <c r="BT99" s="5429"/>
      <c r="BU99" s="5429"/>
      <c r="BV99" s="5430"/>
      <c r="BW99" s="1143"/>
      <c r="BX99" s="1137"/>
      <c r="BY99" s="1137"/>
      <c r="BZ99" s="2122"/>
      <c r="CA99" s="5426" t="s">
        <v>1674</v>
      </c>
      <c r="CB99" s="5427"/>
      <c r="CC99" s="1162">
        <f>IF(CA97=0,"",VLOOKUP(CA97,'Tablas Magia'!$D$6:$Z$680,7,FALSE))</f>
        <v>14</v>
      </c>
      <c r="CD99" s="1162">
        <f>IF(CA97=0,"",VLOOKUP(CA97,'Tablas Magia'!$D$6:$Z$680,11,FALSE))</f>
        <v>500</v>
      </c>
      <c r="CE99" s="1163">
        <f>IF(CA97=0,"",VLOOKUP(CA97,'Tablas Magia'!$D$6:$Z$680,15,FALSE))</f>
        <v>30</v>
      </c>
      <c r="CF99" s="5428" t="str">
        <f>IF(CA97=0,"",VLOOKUP(CA97,'Tablas Magia'!$D$6:$Z$680,19,FALSE))</f>
        <v>Gnosis máximo 30</v>
      </c>
      <c r="CG99" s="5429"/>
      <c r="CH99" s="5429"/>
      <c r="CI99" s="5429"/>
      <c r="CJ99" s="5429"/>
      <c r="CK99" s="5429"/>
      <c r="CL99" s="5429"/>
      <c r="CM99" s="5429"/>
      <c r="CN99" s="5429"/>
      <c r="CO99" s="5430"/>
      <c r="CP99" s="1143"/>
      <c r="CQ99" s="1137"/>
    </row>
    <row r="100" spans="1:95" ht="12" customHeight="1" x14ac:dyDescent="0.2">
      <c r="A100" s="1137"/>
      <c r="B100" s="2108"/>
      <c r="C100" s="5431" t="s">
        <v>4572</v>
      </c>
      <c r="D100" s="5432"/>
      <c r="E100" s="1164">
        <f>IF(C97=0,"",VLOOKUP(C97,'Tablas Magia'!$D$6:$Z$680,8,FALSE))</f>
        <v>9</v>
      </c>
      <c r="F100" s="1164">
        <f>IF(C97=0,"",VLOOKUP(C97,'Tablas Magia'!$D$6:$Z$680,12,FALSE))</f>
        <v>100</v>
      </c>
      <c r="G100" s="1165">
        <f>IF(C97=0,"",VLOOKUP(C97,'Tablas Magia'!$D$6:$Z$680,16,FALSE))</f>
        <v>10</v>
      </c>
      <c r="H100" s="5433" t="str">
        <f>IF(C97=0,"",VLOOKUP(C97,'Tablas Magia'!$D$6:$Z$680,20,FALSE))</f>
        <v>100 metros de radio / 180 RM</v>
      </c>
      <c r="I100" s="5434"/>
      <c r="J100" s="5434"/>
      <c r="K100" s="5434"/>
      <c r="L100" s="5434"/>
      <c r="M100" s="5434"/>
      <c r="N100" s="5434"/>
      <c r="O100" s="5434"/>
      <c r="P100" s="5434"/>
      <c r="Q100" s="5435"/>
      <c r="R100" s="1143"/>
      <c r="S100" s="1137"/>
      <c r="T100" s="1137"/>
      <c r="U100" s="2108"/>
      <c r="V100" s="5431" t="s">
        <v>4572</v>
      </c>
      <c r="W100" s="5432"/>
      <c r="X100" s="1164">
        <f>IF(V97=0,"",VLOOKUP(V97,'Tablas Magia'!$D$6:$Z$680,8,FALSE))</f>
        <v>9</v>
      </c>
      <c r="Y100" s="1164">
        <f>IF(V97=0,"",VLOOKUP(V97,'Tablas Magia'!$D$6:$Z$680,12,FALSE))</f>
        <v>90</v>
      </c>
      <c r="Z100" s="1165">
        <f>IF(V97=0,"",VLOOKUP(V97,'Tablas Magia'!$D$6:$Z$680,16,FALSE))</f>
        <v>10</v>
      </c>
      <c r="AA100" s="5433" t="str">
        <f>IF(V97=0,"",VLOOKUP(V97,'Tablas Magia'!$D$6:$Z$680,20,FALSE))</f>
        <v>RM 100 / 50 metros de radio.</v>
      </c>
      <c r="AB100" s="5434"/>
      <c r="AC100" s="5434"/>
      <c r="AD100" s="5434"/>
      <c r="AE100" s="5434"/>
      <c r="AF100" s="5434"/>
      <c r="AG100" s="5434"/>
      <c r="AH100" s="5434"/>
      <c r="AI100" s="5434"/>
      <c r="AJ100" s="5435"/>
      <c r="AK100" s="1143"/>
      <c r="AL100" s="1137"/>
      <c r="AM100" s="1137"/>
      <c r="AN100" s="2122"/>
      <c r="AO100" s="5431" t="s">
        <v>4572</v>
      </c>
      <c r="AP100" s="5432"/>
      <c r="AQ100" s="1164">
        <f>IF(AO97=0,"",VLOOKUP(AO97,'Tablas Magia'!$D$6:$Z$680,8,FALSE))</f>
        <v>10</v>
      </c>
      <c r="AR100" s="1164">
        <f>IF(AO97=0,"",VLOOKUP(AO97,'Tablas Magia'!$D$6:$Z$680,12,FALSE))</f>
        <v>180</v>
      </c>
      <c r="AS100" s="1165">
        <f>IF(AO97=0,"",VLOOKUP(AO97,'Tablas Magia'!$D$6:$Z$680,16,FALSE))</f>
        <v>20</v>
      </c>
      <c r="AT100" s="5433" t="str">
        <f>IF(AO97=0,"",VLOOKUP(AO97,'Tablas Magia'!$D$6:$Z$680,20,FALSE))</f>
        <v>Radio de 100 metros / RM o RP 160</v>
      </c>
      <c r="AU100" s="5434"/>
      <c r="AV100" s="5434"/>
      <c r="AW100" s="5434"/>
      <c r="AX100" s="5434"/>
      <c r="AY100" s="5434"/>
      <c r="AZ100" s="5434"/>
      <c r="BA100" s="5434"/>
      <c r="BB100" s="5434"/>
      <c r="BC100" s="5435"/>
      <c r="BD100" s="1143"/>
      <c r="BE100" s="1137"/>
      <c r="BF100" s="1137"/>
      <c r="BG100" s="2122"/>
      <c r="BH100" s="5431" t="s">
        <v>4572</v>
      </c>
      <c r="BI100" s="5432"/>
      <c r="BJ100" s="1164">
        <f>IF(BH97=0,"",VLOOKUP(BH97,'Tablas Magia'!$D$6:$Z$680,8,FALSE))</f>
        <v>12</v>
      </c>
      <c r="BK100" s="1164">
        <f>IF(BH97=0,"",VLOOKUP(BH97,'Tablas Magia'!$D$6:$Z$680,12,FALSE))</f>
        <v>360</v>
      </c>
      <c r="BL100" s="1165" t="str">
        <f>IF(BH97=0,"",VLOOKUP(BH97,'Tablas Magia'!$D$6:$Z$680,16,FALSE))</f>
        <v>No</v>
      </c>
      <c r="BM100" s="5433" t="str">
        <f>IF(BH97=0,"",VLOOKUP(BH97,'Tablas Magia'!$D$6:$Z$680,20,FALSE))</f>
        <v>1.000 kilómetros / 500 de presencia / RM 140</v>
      </c>
      <c r="BN100" s="5434"/>
      <c r="BO100" s="5434"/>
      <c r="BP100" s="5434"/>
      <c r="BQ100" s="5434"/>
      <c r="BR100" s="5434"/>
      <c r="BS100" s="5434"/>
      <c r="BT100" s="5434"/>
      <c r="BU100" s="5434"/>
      <c r="BV100" s="5435"/>
      <c r="BW100" s="1143"/>
      <c r="BX100" s="1137"/>
      <c r="BY100" s="1137"/>
      <c r="BZ100" s="2122"/>
      <c r="CA100" s="5431" t="s">
        <v>4572</v>
      </c>
      <c r="CB100" s="5432"/>
      <c r="CC100" s="1164">
        <f>IF(CA97=0,"",VLOOKUP(CA97,'Tablas Magia'!$D$6:$Z$680,8,FALSE))</f>
        <v>16</v>
      </c>
      <c r="CD100" s="1164">
        <f>IF(CA97=0,"",VLOOKUP(CA97,'Tablas Magia'!$D$6:$Z$680,12,FALSE))</f>
        <v>1000</v>
      </c>
      <c r="CE100" s="1165">
        <f>IF(CA97=0,"",VLOOKUP(CA97,'Tablas Magia'!$D$6:$Z$680,16,FALSE))</f>
        <v>40</v>
      </c>
      <c r="CF100" s="5433" t="str">
        <f>IF(CA97=0,"",VLOOKUP(CA97,'Tablas Magia'!$D$6:$Z$680,20,FALSE))</f>
        <v>Gnosis máximo 35</v>
      </c>
      <c r="CG100" s="5434"/>
      <c r="CH100" s="5434"/>
      <c r="CI100" s="5434"/>
      <c r="CJ100" s="5434"/>
      <c r="CK100" s="5434"/>
      <c r="CL100" s="5434"/>
      <c r="CM100" s="5434"/>
      <c r="CN100" s="5434"/>
      <c r="CO100" s="5435"/>
      <c r="CP100" s="1143"/>
      <c r="CQ100" s="1137"/>
    </row>
    <row r="101" spans="1:95" ht="12" customHeight="1" x14ac:dyDescent="0.2">
      <c r="A101" s="1137"/>
      <c r="B101" s="2108"/>
      <c r="C101" s="5426" t="s">
        <v>4573</v>
      </c>
      <c r="D101" s="5427"/>
      <c r="E101" s="1162">
        <f>IF(C97=0,"",VLOOKUP(C97,'Tablas Magia'!$D$6:$Z$680,9,FALSE))</f>
        <v>12</v>
      </c>
      <c r="F101" s="1162">
        <f>IF(C97=0,"",VLOOKUP(C97,'Tablas Magia'!$D$6:$Z$680,13,FALSE))</f>
        <v>150</v>
      </c>
      <c r="G101" s="1163">
        <f>IF(C97=0,"",VLOOKUP(C97,'Tablas Magia'!$D$6:$Z$680,17,FALSE))</f>
        <v>15</v>
      </c>
      <c r="H101" s="5428" t="str">
        <f>IF(C97=0,"",VLOOKUP(C97,'Tablas Magia'!$D$6:$Z$680,21,FALSE))</f>
        <v>250 metros de radio / 220 RM.</v>
      </c>
      <c r="I101" s="5429"/>
      <c r="J101" s="5429"/>
      <c r="K101" s="5429"/>
      <c r="L101" s="5429"/>
      <c r="M101" s="5429"/>
      <c r="N101" s="5429"/>
      <c r="O101" s="5429"/>
      <c r="P101" s="5429"/>
      <c r="Q101" s="5430"/>
      <c r="R101" s="1143"/>
      <c r="S101" s="1137"/>
      <c r="T101" s="1137"/>
      <c r="U101" s="2108"/>
      <c r="V101" s="5426" t="s">
        <v>4573</v>
      </c>
      <c r="W101" s="5427"/>
      <c r="X101" s="1162">
        <f>IF(V97=0,"",VLOOKUP(V97,'Tablas Magia'!$D$6:$Z$680,9,FALSE))</f>
        <v>12</v>
      </c>
      <c r="Y101" s="1162">
        <f>IF(V97=0,"",VLOOKUP(V97,'Tablas Magia'!$D$6:$Z$680,13,FALSE))</f>
        <v>120</v>
      </c>
      <c r="Z101" s="1163">
        <f>IF(V97=0,"",VLOOKUP(V97,'Tablas Magia'!$D$6:$Z$680,17,FALSE))</f>
        <v>15</v>
      </c>
      <c r="AA101" s="5428" t="str">
        <f>IF(V97=0,"",VLOOKUP(V97,'Tablas Magia'!$D$6:$Z$680,21,FALSE))</f>
        <v>RM 120 / 100 metros de radio.</v>
      </c>
      <c r="AB101" s="5429"/>
      <c r="AC101" s="5429"/>
      <c r="AD101" s="5429"/>
      <c r="AE101" s="5429"/>
      <c r="AF101" s="5429"/>
      <c r="AG101" s="5429"/>
      <c r="AH101" s="5429"/>
      <c r="AI101" s="5429"/>
      <c r="AJ101" s="5430"/>
      <c r="AK101" s="1143"/>
      <c r="AL101" s="1137"/>
      <c r="AM101" s="1137"/>
      <c r="AN101" s="2122"/>
      <c r="AO101" s="5426" t="s">
        <v>4573</v>
      </c>
      <c r="AP101" s="5427"/>
      <c r="AQ101" s="1162">
        <f>IF(AO97=0,"",VLOOKUP(AO97,'Tablas Magia'!$D$6:$Z$680,9,FALSE))</f>
        <v>12</v>
      </c>
      <c r="AR101" s="1162">
        <f>IF(AO97=0,"",VLOOKUP(AO97,'Tablas Magia'!$D$6:$Z$680,13,FALSE))</f>
        <v>240</v>
      </c>
      <c r="AS101" s="1163">
        <f>IF(AO97=0,"",VLOOKUP(AO97,'Tablas Magia'!$D$6:$Z$680,17,FALSE))</f>
        <v>25</v>
      </c>
      <c r="AT101" s="5428" t="str">
        <f>IF(AO97=0,"",VLOOKUP(AO97,'Tablas Magia'!$D$6:$Z$680,21,FALSE))</f>
        <v>Radio de 250 metros / RM o RP 180.</v>
      </c>
      <c r="AU101" s="5429"/>
      <c r="AV101" s="5429"/>
      <c r="AW101" s="5429"/>
      <c r="AX101" s="5429"/>
      <c r="AY101" s="5429"/>
      <c r="AZ101" s="5429"/>
      <c r="BA101" s="5429"/>
      <c r="BB101" s="5429"/>
      <c r="BC101" s="5430"/>
      <c r="BD101" s="1143"/>
      <c r="BE101" s="1137"/>
      <c r="BF101" s="1137"/>
      <c r="BG101" s="2122"/>
      <c r="BH101" s="5426" t="s">
        <v>4573</v>
      </c>
      <c r="BI101" s="5427"/>
      <c r="BJ101" s="1162">
        <f>IF(BH97=0,"",VLOOKUP(BH97,'Tablas Magia'!$D$6:$Z$680,9,FALSE))</f>
        <v>14</v>
      </c>
      <c r="BK101" s="1162">
        <f>IF(BH97=0,"",VLOOKUP(BH97,'Tablas Magia'!$D$6:$Z$680,13,FALSE))</f>
        <v>450</v>
      </c>
      <c r="BL101" s="1163" t="str">
        <f>IF(BH97=0,"",VLOOKUP(BH97,'Tablas Magia'!$D$6:$Z$680,17,FALSE))</f>
        <v>No</v>
      </c>
      <c r="BM101" s="5428" t="str">
        <f>IF(BH97=0,"",VLOOKUP(BH97,'Tablas Magia'!$D$6:$Z$680,21,FALSE))</f>
        <v>5.000 kilómetros / 1.000 de presencia / RM 180</v>
      </c>
      <c r="BN101" s="5429"/>
      <c r="BO101" s="5429"/>
      <c r="BP101" s="5429"/>
      <c r="BQ101" s="5429"/>
      <c r="BR101" s="5429"/>
      <c r="BS101" s="5429"/>
      <c r="BT101" s="5429"/>
      <c r="BU101" s="5429"/>
      <c r="BV101" s="5430"/>
      <c r="BW101" s="1143"/>
      <c r="BX101" s="1137"/>
      <c r="BY101" s="1137"/>
      <c r="BZ101" s="2122"/>
      <c r="CA101" s="5426" t="s">
        <v>4573</v>
      </c>
      <c r="CB101" s="5427"/>
      <c r="CC101" s="1162">
        <f>IF(CA97=0,"",VLOOKUP(CA97,'Tablas Magia'!$D$6:$Z$680,9,FALSE))</f>
        <v>18</v>
      </c>
      <c r="CD101" s="1162">
        <f>IF(CA97=0,"",VLOOKUP(CA97,'Tablas Magia'!$D$6:$Z$680,13,FALSE))</f>
        <v>2000</v>
      </c>
      <c r="CE101" s="1163">
        <f>IF(CA97=0,"",VLOOKUP(CA97,'Tablas Magia'!$D$6:$Z$680,17,FALSE))</f>
        <v>45</v>
      </c>
      <c r="CF101" s="5428" t="str">
        <f>IF(CA97=0,"",VLOOKUP(CA97,'Tablas Magia'!$D$6:$Z$680,21,FALSE))</f>
        <v>Gnosis máximo 40</v>
      </c>
      <c r="CG101" s="5429"/>
      <c r="CH101" s="5429"/>
      <c r="CI101" s="5429"/>
      <c r="CJ101" s="5429"/>
      <c r="CK101" s="5429"/>
      <c r="CL101" s="5429"/>
      <c r="CM101" s="5429"/>
      <c r="CN101" s="5429"/>
      <c r="CO101" s="5430"/>
      <c r="CP101" s="1143"/>
      <c r="CQ101" s="1137"/>
    </row>
    <row r="102" spans="1:95" ht="12" customHeight="1" thickBot="1" x14ac:dyDescent="0.25">
      <c r="A102" s="1137"/>
      <c r="B102" s="2108"/>
      <c r="C102" s="5436" t="s">
        <v>4574</v>
      </c>
      <c r="D102" s="5437"/>
      <c r="E102" s="1166">
        <f>IF(C97=0,"",VLOOKUP(C97,'Tablas Magia'!$D$6:$Z$680,10,FALSE))</f>
        <v>15</v>
      </c>
      <c r="F102" s="1166">
        <f>IF(C97=0,"",VLOOKUP(C97,'Tablas Magia'!$D$6:$Z$680,14,FALSE))</f>
        <v>250</v>
      </c>
      <c r="G102" s="1167">
        <f>IF(C97=0,"",VLOOKUP(C97,'Tablas Magia'!$D$6:$Z$680,18,FALSE))</f>
        <v>25</v>
      </c>
      <c r="H102" s="5438" t="str">
        <f>IF(C97=0,"",VLOOKUP(C97,'Tablas Magia'!$D$6:$Z$680,22,FALSE))</f>
        <v>500 metros de radio / 280 RM</v>
      </c>
      <c r="I102" s="5439"/>
      <c r="J102" s="5439"/>
      <c r="K102" s="5439"/>
      <c r="L102" s="5439"/>
      <c r="M102" s="5439"/>
      <c r="N102" s="5439"/>
      <c r="O102" s="5439"/>
      <c r="P102" s="5439"/>
      <c r="Q102" s="5440"/>
      <c r="R102" s="1143"/>
      <c r="S102" s="1137"/>
      <c r="T102" s="1137"/>
      <c r="U102" s="2108"/>
      <c r="V102" s="5436" t="s">
        <v>4574</v>
      </c>
      <c r="W102" s="5437"/>
      <c r="X102" s="1166">
        <f>IF(V97=0,"",VLOOKUP(V97,'Tablas Magia'!$D$6:$Z$680,10,FALSE))</f>
        <v>15</v>
      </c>
      <c r="Y102" s="1166">
        <f>IF(V97=0,"",VLOOKUP(V97,'Tablas Magia'!$D$6:$Z$680,14,FALSE))</f>
        <v>150</v>
      </c>
      <c r="Z102" s="1167">
        <f>IF(V97=0,"",VLOOKUP(V97,'Tablas Magia'!$D$6:$Z$680,18,FALSE))</f>
        <v>15</v>
      </c>
      <c r="AA102" s="5438" t="str">
        <f>IF(V97=0,"",VLOOKUP(V97,'Tablas Magia'!$D$6:$Z$680,22,FALSE))</f>
        <v>RM 160 / 250 metros de radio</v>
      </c>
      <c r="AB102" s="5439"/>
      <c r="AC102" s="5439"/>
      <c r="AD102" s="5439"/>
      <c r="AE102" s="5439"/>
      <c r="AF102" s="5439"/>
      <c r="AG102" s="5439"/>
      <c r="AH102" s="5439"/>
      <c r="AI102" s="5439"/>
      <c r="AJ102" s="5440"/>
      <c r="AK102" s="1143"/>
      <c r="AL102" s="1137"/>
      <c r="AM102" s="1137"/>
      <c r="AN102" s="2122"/>
      <c r="AO102" s="5436" t="s">
        <v>4574</v>
      </c>
      <c r="AP102" s="5437"/>
      <c r="AQ102" s="1166">
        <f>IF(AO97=0,"",VLOOKUP(AO97,'Tablas Magia'!$D$6:$Z$680,10,FALSE))</f>
        <v>15</v>
      </c>
      <c r="AR102" s="1166">
        <f>IF(AO97=0,"",VLOOKUP(AO97,'Tablas Magia'!$D$6:$Z$680,14,FALSE))</f>
        <v>300</v>
      </c>
      <c r="AS102" s="1167">
        <f>IF(AO97=0,"",VLOOKUP(AO97,'Tablas Magia'!$D$6:$Z$680,18,FALSE))</f>
        <v>30</v>
      </c>
      <c r="AT102" s="5438" t="str">
        <f>IF(AO97=0,"",VLOOKUP(AO97,'Tablas Magia'!$D$6:$Z$680,22,FALSE))</f>
        <v>Radio de 500 metros / RM o RP 220</v>
      </c>
      <c r="AU102" s="5439"/>
      <c r="AV102" s="5439"/>
      <c r="AW102" s="5439"/>
      <c r="AX102" s="5439"/>
      <c r="AY102" s="5439"/>
      <c r="AZ102" s="5439"/>
      <c r="BA102" s="5439"/>
      <c r="BB102" s="5439"/>
      <c r="BC102" s="5440"/>
      <c r="BD102" s="1143"/>
      <c r="BE102" s="1137"/>
      <c r="BF102" s="1137"/>
      <c r="BG102" s="2122"/>
      <c r="BH102" s="5436" t="s">
        <v>4574</v>
      </c>
      <c r="BI102" s="5437"/>
      <c r="BJ102" s="1166">
        <f>IF(BH97=0,"",VLOOKUP(BH97,'Tablas Magia'!$D$6:$Z$680,10,FALSE))</f>
        <v>16</v>
      </c>
      <c r="BK102" s="1166">
        <f>IF(BH97=0,"",VLOOKUP(BH97,'Tablas Magia'!$D$6:$Z$680,14,FALSE))</f>
        <v>600</v>
      </c>
      <c r="BL102" s="1167" t="str">
        <f>IF(BH97=0,"",VLOOKUP(BH97,'Tablas Magia'!$D$6:$Z$680,18,FALSE))</f>
        <v>No</v>
      </c>
      <c r="BM102" s="5438" t="str">
        <f>IF(BH97=0,"",VLOOKUP(BH97,'Tablas Magia'!$D$6:$Z$680,22,FALSE))</f>
        <v>15.000 kilómetros / 2.000 de presencia / RM contra 200</v>
      </c>
      <c r="BN102" s="5439"/>
      <c r="BO102" s="5439"/>
      <c r="BP102" s="5439"/>
      <c r="BQ102" s="5439"/>
      <c r="BR102" s="5439"/>
      <c r="BS102" s="5439"/>
      <c r="BT102" s="5439"/>
      <c r="BU102" s="5439"/>
      <c r="BV102" s="5440"/>
      <c r="BW102" s="1143"/>
      <c r="BX102" s="1137"/>
      <c r="BY102" s="1137"/>
      <c r="BZ102" s="2122"/>
      <c r="CA102" s="5436" t="s">
        <v>4574</v>
      </c>
      <c r="CB102" s="5437"/>
      <c r="CC102" s="1166">
        <f>IF(CA97=0,"",VLOOKUP(CA97,'Tablas Magia'!$D$6:$Z$680,10,FALSE))</f>
        <v>20</v>
      </c>
      <c r="CD102" s="1166">
        <f>IF(CA97=0,"",VLOOKUP(CA97,'Tablas Magia'!$D$6:$Z$680,14,FALSE))</f>
        <v>5000</v>
      </c>
      <c r="CE102" s="1167">
        <f>IF(CA97=0,"",VLOOKUP(CA97,'Tablas Magia'!$D$6:$Z$680,18,FALSE))</f>
        <v>50</v>
      </c>
      <c r="CF102" s="5438" t="str">
        <f>IF(CA97=0,"",VLOOKUP(CA97,'Tablas Magia'!$D$6:$Z$680,22,FALSE))</f>
        <v>Gnosis máximo 45.</v>
      </c>
      <c r="CG102" s="5439"/>
      <c r="CH102" s="5439"/>
      <c r="CI102" s="5439"/>
      <c r="CJ102" s="5439"/>
      <c r="CK102" s="5439"/>
      <c r="CL102" s="5439"/>
      <c r="CM102" s="5439"/>
      <c r="CN102" s="5439"/>
      <c r="CO102" s="5440"/>
      <c r="CP102" s="1143"/>
      <c r="CQ102" s="1137"/>
    </row>
    <row r="103" spans="1:95" ht="12" customHeight="1" x14ac:dyDescent="0.2">
      <c r="A103" s="1137"/>
      <c r="B103" s="2108"/>
      <c r="C103" s="5441"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42"/>
      <c r="E103" s="5442"/>
      <c r="F103" s="5442"/>
      <c r="G103" s="5442"/>
      <c r="H103" s="5442"/>
      <c r="I103" s="5442"/>
      <c r="J103" s="5442"/>
      <c r="K103" s="5442"/>
      <c r="L103" s="5442"/>
      <c r="M103" s="5442"/>
      <c r="N103" s="5442"/>
      <c r="O103" s="5442"/>
      <c r="P103" s="5442"/>
      <c r="Q103" s="5443"/>
      <c r="R103" s="1143"/>
      <c r="S103" s="1137"/>
      <c r="T103" s="1137"/>
      <c r="U103" s="2108"/>
      <c r="V103" s="5441"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42"/>
      <c r="X103" s="5442"/>
      <c r="Y103" s="5442"/>
      <c r="Z103" s="5442"/>
      <c r="AA103" s="5442"/>
      <c r="AB103" s="5442"/>
      <c r="AC103" s="5442"/>
      <c r="AD103" s="5442"/>
      <c r="AE103" s="5442"/>
      <c r="AF103" s="5442"/>
      <c r="AG103" s="5442"/>
      <c r="AH103" s="5442"/>
      <c r="AI103" s="5442"/>
      <c r="AJ103" s="5443"/>
      <c r="AK103" s="1143"/>
      <c r="AL103" s="1137"/>
      <c r="AM103" s="1137"/>
      <c r="AN103" s="2122"/>
      <c r="AO103" s="5441" t="str">
        <f>IF(AO97=0,"",VLOOKUP(AO97,'Tablas Magia'!$D$6:$Z$680,23,FALSE))</f>
        <v>Introduce algún tipo de sentimiento positivo, como amor, placer o amistad, en los individuos designados por el hechicero que fallen la RM del conjuro. El afectado puede repetir el control una vez al día</v>
      </c>
      <c r="AP103" s="5442"/>
      <c r="AQ103" s="5442"/>
      <c r="AR103" s="5442"/>
      <c r="AS103" s="5442"/>
      <c r="AT103" s="5442"/>
      <c r="AU103" s="5442"/>
      <c r="AV103" s="5442"/>
      <c r="AW103" s="5442"/>
      <c r="AX103" s="5442"/>
      <c r="AY103" s="5442"/>
      <c r="AZ103" s="5442"/>
      <c r="BA103" s="5442"/>
      <c r="BB103" s="5442"/>
      <c r="BC103" s="5443"/>
      <c r="BD103" s="1143"/>
      <c r="BE103" s="1137"/>
      <c r="BF103" s="1137"/>
      <c r="BG103" s="2122"/>
      <c r="BH103" s="5441"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42"/>
      <c r="BJ103" s="5442"/>
      <c r="BK103" s="5442"/>
      <c r="BL103" s="5442"/>
      <c r="BM103" s="5442"/>
      <c r="BN103" s="5442"/>
      <c r="BO103" s="5442"/>
      <c r="BP103" s="5442"/>
      <c r="BQ103" s="5442"/>
      <c r="BR103" s="5442"/>
      <c r="BS103" s="5442"/>
      <c r="BT103" s="5442"/>
      <c r="BU103" s="5442"/>
      <c r="BV103" s="5443"/>
      <c r="BW103" s="1143"/>
      <c r="BX103" s="1137"/>
      <c r="BY103" s="1137"/>
      <c r="BZ103" s="2122"/>
      <c r="CA103" s="5441"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42"/>
      <c r="CC103" s="5442"/>
      <c r="CD103" s="5442"/>
      <c r="CE103" s="5442"/>
      <c r="CF103" s="5442"/>
      <c r="CG103" s="5442"/>
      <c r="CH103" s="5442"/>
      <c r="CI103" s="5442"/>
      <c r="CJ103" s="5442"/>
      <c r="CK103" s="5442"/>
      <c r="CL103" s="5442"/>
      <c r="CM103" s="5442"/>
      <c r="CN103" s="5442"/>
      <c r="CO103" s="5443"/>
      <c r="CP103" s="1143"/>
      <c r="CQ103" s="1137"/>
    </row>
    <row r="104" spans="1:95" ht="12" customHeight="1" x14ac:dyDescent="0.2">
      <c r="A104" s="1137"/>
      <c r="B104" s="2108"/>
      <c r="C104" s="5444"/>
      <c r="D104" s="5445"/>
      <c r="E104" s="5445"/>
      <c r="F104" s="5445"/>
      <c r="G104" s="5445"/>
      <c r="H104" s="5445"/>
      <c r="I104" s="5445"/>
      <c r="J104" s="5445"/>
      <c r="K104" s="5445"/>
      <c r="L104" s="5445"/>
      <c r="M104" s="5445"/>
      <c r="N104" s="5445"/>
      <c r="O104" s="5445"/>
      <c r="P104" s="5445"/>
      <c r="Q104" s="5446"/>
      <c r="R104" s="1143"/>
      <c r="S104" s="1137"/>
      <c r="T104" s="1137"/>
      <c r="U104" s="2108"/>
      <c r="V104" s="5444"/>
      <c r="W104" s="5445"/>
      <c r="X104" s="5445"/>
      <c r="Y104" s="5445"/>
      <c r="Z104" s="5445"/>
      <c r="AA104" s="5445"/>
      <c r="AB104" s="5445"/>
      <c r="AC104" s="5445"/>
      <c r="AD104" s="5445"/>
      <c r="AE104" s="5445"/>
      <c r="AF104" s="5445"/>
      <c r="AG104" s="5445"/>
      <c r="AH104" s="5445"/>
      <c r="AI104" s="5445"/>
      <c r="AJ104" s="5446"/>
      <c r="AK104" s="1143"/>
      <c r="AL104" s="1137"/>
      <c r="AM104" s="1137"/>
      <c r="AN104" s="2122"/>
      <c r="AO104" s="5444"/>
      <c r="AP104" s="5445"/>
      <c r="AQ104" s="5445"/>
      <c r="AR104" s="5445"/>
      <c r="AS104" s="5445"/>
      <c r="AT104" s="5445"/>
      <c r="AU104" s="5445"/>
      <c r="AV104" s="5445"/>
      <c r="AW104" s="5445"/>
      <c r="AX104" s="5445"/>
      <c r="AY104" s="5445"/>
      <c r="AZ104" s="5445"/>
      <c r="BA104" s="5445"/>
      <c r="BB104" s="5445"/>
      <c r="BC104" s="5446"/>
      <c r="BD104" s="1143"/>
      <c r="BE104" s="1137"/>
      <c r="BF104" s="1137"/>
      <c r="BG104" s="2122"/>
      <c r="BH104" s="5444"/>
      <c r="BI104" s="5445"/>
      <c r="BJ104" s="5445"/>
      <c r="BK104" s="5445"/>
      <c r="BL104" s="5445"/>
      <c r="BM104" s="5445"/>
      <c r="BN104" s="5445"/>
      <c r="BO104" s="5445"/>
      <c r="BP104" s="5445"/>
      <c r="BQ104" s="5445"/>
      <c r="BR104" s="5445"/>
      <c r="BS104" s="5445"/>
      <c r="BT104" s="5445"/>
      <c r="BU104" s="5445"/>
      <c r="BV104" s="5446"/>
      <c r="BW104" s="1143"/>
      <c r="BX104" s="1137"/>
      <c r="BY104" s="1137"/>
      <c r="BZ104" s="2122"/>
      <c r="CA104" s="5444"/>
      <c r="CB104" s="5445"/>
      <c r="CC104" s="5445"/>
      <c r="CD104" s="5445"/>
      <c r="CE104" s="5445"/>
      <c r="CF104" s="5445"/>
      <c r="CG104" s="5445"/>
      <c r="CH104" s="5445"/>
      <c r="CI104" s="5445"/>
      <c r="CJ104" s="5445"/>
      <c r="CK104" s="5445"/>
      <c r="CL104" s="5445"/>
      <c r="CM104" s="5445"/>
      <c r="CN104" s="5445"/>
      <c r="CO104" s="5446"/>
      <c r="CP104" s="1143"/>
      <c r="CQ104" s="1137"/>
    </row>
    <row r="105" spans="1:95" ht="12" customHeight="1" x14ac:dyDescent="0.2">
      <c r="A105" s="1137"/>
      <c r="B105" s="2108"/>
      <c r="C105" s="5444"/>
      <c r="D105" s="5445"/>
      <c r="E105" s="5445"/>
      <c r="F105" s="5445"/>
      <c r="G105" s="5445"/>
      <c r="H105" s="5445"/>
      <c r="I105" s="5445"/>
      <c r="J105" s="5445"/>
      <c r="K105" s="5445"/>
      <c r="L105" s="5445"/>
      <c r="M105" s="5445"/>
      <c r="N105" s="5445"/>
      <c r="O105" s="5445"/>
      <c r="P105" s="5445"/>
      <c r="Q105" s="5446"/>
      <c r="R105" s="1143"/>
      <c r="S105" s="1137"/>
      <c r="T105" s="1137"/>
      <c r="U105" s="2108"/>
      <c r="V105" s="5444"/>
      <c r="W105" s="5445"/>
      <c r="X105" s="5445"/>
      <c r="Y105" s="5445"/>
      <c r="Z105" s="5445"/>
      <c r="AA105" s="5445"/>
      <c r="AB105" s="5445"/>
      <c r="AC105" s="5445"/>
      <c r="AD105" s="5445"/>
      <c r="AE105" s="5445"/>
      <c r="AF105" s="5445"/>
      <c r="AG105" s="5445"/>
      <c r="AH105" s="5445"/>
      <c r="AI105" s="5445"/>
      <c r="AJ105" s="5446"/>
      <c r="AK105" s="1143"/>
      <c r="AL105" s="1137"/>
      <c r="AM105" s="1137"/>
      <c r="AN105" s="2122"/>
      <c r="AO105" s="5444"/>
      <c r="AP105" s="5445"/>
      <c r="AQ105" s="5445"/>
      <c r="AR105" s="5445"/>
      <c r="AS105" s="5445"/>
      <c r="AT105" s="5445"/>
      <c r="AU105" s="5445"/>
      <c r="AV105" s="5445"/>
      <c r="AW105" s="5445"/>
      <c r="AX105" s="5445"/>
      <c r="AY105" s="5445"/>
      <c r="AZ105" s="5445"/>
      <c r="BA105" s="5445"/>
      <c r="BB105" s="5445"/>
      <c r="BC105" s="5446"/>
      <c r="BD105" s="1143"/>
      <c r="BE105" s="1137"/>
      <c r="BF105" s="1137"/>
      <c r="BG105" s="2122"/>
      <c r="BH105" s="5444"/>
      <c r="BI105" s="5445"/>
      <c r="BJ105" s="5445"/>
      <c r="BK105" s="5445"/>
      <c r="BL105" s="5445"/>
      <c r="BM105" s="5445"/>
      <c r="BN105" s="5445"/>
      <c r="BO105" s="5445"/>
      <c r="BP105" s="5445"/>
      <c r="BQ105" s="5445"/>
      <c r="BR105" s="5445"/>
      <c r="BS105" s="5445"/>
      <c r="BT105" s="5445"/>
      <c r="BU105" s="5445"/>
      <c r="BV105" s="5446"/>
      <c r="BW105" s="1143"/>
      <c r="BX105" s="1137"/>
      <c r="BY105" s="1137"/>
      <c r="BZ105" s="2122"/>
      <c r="CA105" s="5444"/>
      <c r="CB105" s="5445"/>
      <c r="CC105" s="5445"/>
      <c r="CD105" s="5445"/>
      <c r="CE105" s="5445"/>
      <c r="CF105" s="5445"/>
      <c r="CG105" s="5445"/>
      <c r="CH105" s="5445"/>
      <c r="CI105" s="5445"/>
      <c r="CJ105" s="5445"/>
      <c r="CK105" s="5445"/>
      <c r="CL105" s="5445"/>
      <c r="CM105" s="5445"/>
      <c r="CN105" s="5445"/>
      <c r="CO105" s="5446"/>
      <c r="CP105" s="1143"/>
      <c r="CQ105" s="1137"/>
    </row>
    <row r="106" spans="1:95" ht="13.5" thickBot="1" x14ac:dyDescent="0.25">
      <c r="A106" s="1137"/>
      <c r="B106" s="2108"/>
      <c r="C106" s="5447"/>
      <c r="D106" s="5448"/>
      <c r="E106" s="5448"/>
      <c r="F106" s="5448"/>
      <c r="G106" s="5448"/>
      <c r="H106" s="5448"/>
      <c r="I106" s="5448"/>
      <c r="J106" s="5448"/>
      <c r="K106" s="5448"/>
      <c r="L106" s="5448"/>
      <c r="M106" s="5448"/>
      <c r="N106" s="5448"/>
      <c r="O106" s="5448"/>
      <c r="P106" s="5448"/>
      <c r="Q106" s="5449"/>
      <c r="R106" s="1143"/>
      <c r="S106" s="1137"/>
      <c r="T106" s="1137"/>
      <c r="U106" s="2108"/>
      <c r="V106" s="5447"/>
      <c r="W106" s="5448"/>
      <c r="X106" s="5448"/>
      <c r="Y106" s="5448"/>
      <c r="Z106" s="5448"/>
      <c r="AA106" s="5448"/>
      <c r="AB106" s="5448"/>
      <c r="AC106" s="5448"/>
      <c r="AD106" s="5448"/>
      <c r="AE106" s="5448"/>
      <c r="AF106" s="5448"/>
      <c r="AG106" s="5448"/>
      <c r="AH106" s="5448"/>
      <c r="AI106" s="5448"/>
      <c r="AJ106" s="5449"/>
      <c r="AK106" s="1143"/>
      <c r="AL106" s="1137"/>
      <c r="AM106" s="1137"/>
      <c r="AN106" s="2122"/>
      <c r="AO106" s="5447"/>
      <c r="AP106" s="5448"/>
      <c r="AQ106" s="5448"/>
      <c r="AR106" s="5448"/>
      <c r="AS106" s="5448"/>
      <c r="AT106" s="5448"/>
      <c r="AU106" s="5448"/>
      <c r="AV106" s="5448"/>
      <c r="AW106" s="5448"/>
      <c r="AX106" s="5448"/>
      <c r="AY106" s="5448"/>
      <c r="AZ106" s="5448"/>
      <c r="BA106" s="5448"/>
      <c r="BB106" s="5448"/>
      <c r="BC106" s="5449"/>
      <c r="BD106" s="1143"/>
      <c r="BE106" s="1137"/>
      <c r="BF106" s="1137"/>
      <c r="BG106" s="2122"/>
      <c r="BH106" s="5447"/>
      <c r="BI106" s="5448"/>
      <c r="BJ106" s="5448"/>
      <c r="BK106" s="5448"/>
      <c r="BL106" s="5448"/>
      <c r="BM106" s="5448"/>
      <c r="BN106" s="5448"/>
      <c r="BO106" s="5448"/>
      <c r="BP106" s="5448"/>
      <c r="BQ106" s="5448"/>
      <c r="BR106" s="5448"/>
      <c r="BS106" s="5448"/>
      <c r="BT106" s="5448"/>
      <c r="BU106" s="5448"/>
      <c r="BV106" s="5449"/>
      <c r="BW106" s="1143"/>
      <c r="BX106" s="1137"/>
      <c r="BY106" s="1137"/>
      <c r="BZ106" s="2122"/>
      <c r="CA106" s="5447"/>
      <c r="CB106" s="5448"/>
      <c r="CC106" s="5448"/>
      <c r="CD106" s="5448"/>
      <c r="CE106" s="5448"/>
      <c r="CF106" s="5448"/>
      <c r="CG106" s="5448"/>
      <c r="CH106" s="5448"/>
      <c r="CI106" s="5448"/>
      <c r="CJ106" s="5448"/>
      <c r="CK106" s="5448"/>
      <c r="CL106" s="5448"/>
      <c r="CM106" s="5448"/>
      <c r="CN106" s="5448"/>
      <c r="CO106" s="5449"/>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66"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67"/>
      <c r="E108" s="5467"/>
      <c r="F108" s="5467"/>
      <c r="G108" s="5467"/>
      <c r="H108" s="1157" t="s">
        <v>1627</v>
      </c>
      <c r="I108" s="1158">
        <f>B108</f>
        <v>20</v>
      </c>
      <c r="J108" s="5454" t="s">
        <v>7687</v>
      </c>
      <c r="K108" s="5454"/>
      <c r="L108" s="5454"/>
      <c r="M108" s="5455" t="str">
        <f>IF(C108=0,"",VLOOKUP(C108,'Tablas Magia'!$D$6:$Z$680,2,FALSE))</f>
        <v>Luz</v>
      </c>
      <c r="N108" s="5455"/>
      <c r="O108" s="5455"/>
      <c r="P108" s="5455"/>
      <c r="Q108" s="5456"/>
      <c r="R108" s="1143"/>
      <c r="S108" s="1137"/>
      <c r="T108" s="1137"/>
      <c r="U108" s="2108">
        <f>U97+2</f>
        <v>40</v>
      </c>
      <c r="V108" s="5466"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67"/>
      <c r="X108" s="5467"/>
      <c r="Y108" s="5467"/>
      <c r="Z108" s="5467"/>
      <c r="AA108" s="1157" t="s">
        <v>1627</v>
      </c>
      <c r="AB108" s="1158">
        <f>U108</f>
        <v>40</v>
      </c>
      <c r="AC108" s="5454" t="s">
        <v>7687</v>
      </c>
      <c r="AD108" s="5454"/>
      <c r="AE108" s="5454"/>
      <c r="AF108" s="5455" t="str">
        <f>IF(V108=0,"",VLOOKUP(V108,'Tablas Magia'!$D$6:$Z$680,2,FALSE))</f>
        <v>Luz</v>
      </c>
      <c r="AG108" s="5455"/>
      <c r="AH108" s="5455"/>
      <c r="AI108" s="5455"/>
      <c r="AJ108" s="5456"/>
      <c r="AK108" s="1143"/>
      <c r="AL108" s="1137"/>
      <c r="AM108" s="1137"/>
      <c r="AN108" s="2122">
        <f>AN97+2</f>
        <v>60</v>
      </c>
      <c r="AO108" s="5466"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67"/>
      <c r="AQ108" s="5467"/>
      <c r="AR108" s="5467"/>
      <c r="AS108" s="5467"/>
      <c r="AT108" s="1157" t="s">
        <v>1627</v>
      </c>
      <c r="AU108" s="1158">
        <f>AN108</f>
        <v>60</v>
      </c>
      <c r="AV108" s="5454" t="s">
        <v>7687</v>
      </c>
      <c r="AW108" s="5454"/>
      <c r="AX108" s="5454"/>
      <c r="AY108" s="5455" t="str">
        <f>IF(AO108=0,"",VLOOKUP(AO108,'Tablas Magia'!$D$6:$Z$680,2,FALSE))</f>
        <v>Luz</v>
      </c>
      <c r="AZ108" s="5455"/>
      <c r="BA108" s="5455"/>
      <c r="BB108" s="5455"/>
      <c r="BC108" s="5456"/>
      <c r="BD108" s="1143"/>
      <c r="BE108" s="1137"/>
      <c r="BF108" s="1137"/>
      <c r="BG108" s="2122">
        <f>BG97+2</f>
        <v>80</v>
      </c>
      <c r="BH108" s="5466"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67"/>
      <c r="BJ108" s="5467"/>
      <c r="BK108" s="5467"/>
      <c r="BL108" s="5467"/>
      <c r="BM108" s="1157" t="s">
        <v>1627</v>
      </c>
      <c r="BN108" s="1158">
        <f>BG108</f>
        <v>80</v>
      </c>
      <c r="BO108" s="5454" t="s">
        <v>7687</v>
      </c>
      <c r="BP108" s="5454"/>
      <c r="BQ108" s="5454"/>
      <c r="BR108" s="5455" t="str">
        <f>IF(BH108=0,"",VLOOKUP(BH108,'Tablas Magia'!$D$6:$Z$680,2,FALSE))</f>
        <v>Luz</v>
      </c>
      <c r="BS108" s="5455"/>
      <c r="BT108" s="5455"/>
      <c r="BU108" s="5455"/>
      <c r="BV108" s="5456"/>
      <c r="BW108" s="1143"/>
      <c r="BX108" s="1137"/>
      <c r="BY108" s="1137"/>
      <c r="BZ108" s="2122">
        <f>BZ97+2</f>
        <v>100</v>
      </c>
      <c r="CA108" s="5466"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67"/>
      <c r="CC108" s="5467"/>
      <c r="CD108" s="5467"/>
      <c r="CE108" s="5467"/>
      <c r="CF108" s="1157" t="s">
        <v>1627</v>
      </c>
      <c r="CG108" s="1158">
        <f>BZ108</f>
        <v>100</v>
      </c>
      <c r="CH108" s="5454" t="s">
        <v>7687</v>
      </c>
      <c r="CI108" s="5454"/>
      <c r="CJ108" s="5454"/>
      <c r="CK108" s="5455" t="str">
        <f>IF(CA108=0,"",VLOOKUP(CA108,'Tablas Magia'!$D$6:$Z$680,2,FALSE))</f>
        <v>Luz</v>
      </c>
      <c r="CL108" s="5455"/>
      <c r="CM108" s="5455"/>
      <c r="CN108" s="5455"/>
      <c r="CO108" s="5456"/>
      <c r="CP108" s="1143"/>
      <c r="CQ108" s="1137"/>
    </row>
    <row r="109" spans="1:95" ht="12.75" customHeight="1" x14ac:dyDescent="0.2">
      <c r="A109" s="1137"/>
      <c r="B109" s="2108"/>
      <c r="C109" s="5450" t="s">
        <v>7688</v>
      </c>
      <c r="D109" s="5451"/>
      <c r="E109" s="1159" t="s">
        <v>7689</v>
      </c>
      <c r="F109" s="1159" t="s">
        <v>1820</v>
      </c>
      <c r="G109" s="1159" t="s">
        <v>3334</v>
      </c>
      <c r="H109" s="1160" t="s">
        <v>2165</v>
      </c>
      <c r="I109" s="5424" t="str">
        <f>IF(C108=0,"",VLOOKUP(C108,'Tablas Magia'!$D$6:$Z$680,5,FALSE))</f>
        <v>Detección</v>
      </c>
      <c r="J109" s="5424"/>
      <c r="K109" s="5423" t="s">
        <v>7690</v>
      </c>
      <c r="L109" s="5423"/>
      <c r="M109" s="5424" t="str">
        <f>IF(C108=0,"",VLOOKUP(C108,'Tablas Magia'!$D$6:$Z$680,6,FALSE))</f>
        <v>Activa</v>
      </c>
      <c r="N109" s="5424"/>
      <c r="O109" s="5425" t="s">
        <v>7691</v>
      </c>
      <c r="P109" s="5425"/>
      <c r="Q109" s="1161" t="str">
        <f>IF(C108=0,"",VLOOKUP(C108,'Tablas Magia'!$D$6:$Z$680,4,FALSE))</f>
        <v>No</v>
      </c>
      <c r="R109" s="1143"/>
      <c r="S109" s="1137"/>
      <c r="T109" s="1137"/>
      <c r="U109" s="2108"/>
      <c r="V109" s="5450" t="s">
        <v>7688</v>
      </c>
      <c r="W109" s="5451"/>
      <c r="X109" s="1159" t="s">
        <v>7689</v>
      </c>
      <c r="Y109" s="1159" t="s">
        <v>1820</v>
      </c>
      <c r="Z109" s="1159" t="s">
        <v>3334</v>
      </c>
      <c r="AA109" s="1160" t="s">
        <v>2165</v>
      </c>
      <c r="AB109" s="5424" t="str">
        <f>IF(V108=0,"",VLOOKUP(V108,'Tablas Magia'!$D$6:$Z$680,5,FALSE))</f>
        <v>Anímico</v>
      </c>
      <c r="AC109" s="5424"/>
      <c r="AD109" s="5423" t="s">
        <v>7690</v>
      </c>
      <c r="AE109" s="5423"/>
      <c r="AF109" s="5424" t="str">
        <f>IF(V108=0,"",VLOOKUP(V108,'Tablas Magia'!$D$6:$Z$680,6,FALSE))</f>
        <v>Activa</v>
      </c>
      <c r="AG109" s="5424"/>
      <c r="AH109" s="5425" t="s">
        <v>7691</v>
      </c>
      <c r="AI109" s="5425"/>
      <c r="AJ109" s="1161" t="str">
        <f>IF(V108=0,"",VLOOKUP(V108,'Tablas Magia'!$D$6:$Z$680,4,FALSE))</f>
        <v>No</v>
      </c>
      <c r="AK109" s="1143"/>
      <c r="AL109" s="1137"/>
      <c r="AM109" s="1137"/>
      <c r="AN109" s="2122"/>
      <c r="AO109" s="5450" t="s">
        <v>7688</v>
      </c>
      <c r="AP109" s="5451"/>
      <c r="AQ109" s="1159" t="s">
        <v>7689</v>
      </c>
      <c r="AR109" s="1159" t="s">
        <v>1820</v>
      </c>
      <c r="AS109" s="1159" t="s">
        <v>3334</v>
      </c>
      <c r="AT109" s="1160" t="s">
        <v>2165</v>
      </c>
      <c r="AU109" s="5424" t="str">
        <f>IF(AO108=0,"",VLOOKUP(AO108,'Tablas Magia'!$D$6:$Z$680,5,FALSE))</f>
        <v>Efecto</v>
      </c>
      <c r="AV109" s="5424"/>
      <c r="AW109" s="5423" t="s">
        <v>7690</v>
      </c>
      <c r="AX109" s="5423"/>
      <c r="AY109" s="5424" t="str">
        <f>IF(AO108=0,"",VLOOKUP(AO108,'Tablas Magia'!$D$6:$Z$680,6,FALSE))</f>
        <v>Activa</v>
      </c>
      <c r="AZ109" s="5424"/>
      <c r="BA109" s="5425" t="s">
        <v>7691</v>
      </c>
      <c r="BB109" s="5425"/>
      <c r="BC109" s="1161" t="str">
        <f>IF(AO108=0,"",VLOOKUP(AO108,'Tablas Magia'!$D$6:$Z$680,4,FALSE))</f>
        <v>Si</v>
      </c>
      <c r="BD109" s="1143"/>
      <c r="BE109" s="1137"/>
      <c r="BF109" s="1137"/>
      <c r="BG109" s="2122"/>
      <c r="BH109" s="5450" t="s">
        <v>7688</v>
      </c>
      <c r="BI109" s="5451"/>
      <c r="BJ109" s="1159" t="s">
        <v>7689</v>
      </c>
      <c r="BK109" s="1159" t="s">
        <v>1820</v>
      </c>
      <c r="BL109" s="1159" t="s">
        <v>3334</v>
      </c>
      <c r="BM109" s="1160" t="s">
        <v>2165</v>
      </c>
      <c r="BN109" s="5424" t="str">
        <f>IF(BH108=0,"",VLOOKUP(BH108,'Tablas Magia'!$D$6:$Z$680,5,FALSE))</f>
        <v>Animíco</v>
      </c>
      <c r="BO109" s="5424"/>
      <c r="BP109" s="5423" t="s">
        <v>7690</v>
      </c>
      <c r="BQ109" s="5423"/>
      <c r="BR109" s="5424" t="str">
        <f>IF(BH108=0,"",VLOOKUP(BH108,'Tablas Magia'!$D$6:$Z$680,6,FALSE))</f>
        <v>Activa</v>
      </c>
      <c r="BS109" s="5424"/>
      <c r="BT109" s="5425" t="s">
        <v>7691</v>
      </c>
      <c r="BU109" s="5425"/>
      <c r="BV109" s="1161" t="str">
        <f>IF(BH108=0,"",VLOOKUP(BH108,'Tablas Magia'!$D$6:$Z$680,4,FALSE))</f>
        <v>Si</v>
      </c>
      <c r="BW109" s="1143"/>
      <c r="BX109" s="1137"/>
      <c r="BY109" s="1137"/>
      <c r="BZ109" s="2122"/>
      <c r="CA109" s="5450" t="s">
        <v>7688</v>
      </c>
      <c r="CB109" s="5451"/>
      <c r="CC109" s="1159" t="s">
        <v>7689</v>
      </c>
      <c r="CD109" s="1159" t="s">
        <v>1820</v>
      </c>
      <c r="CE109" s="1159" t="s">
        <v>3334</v>
      </c>
      <c r="CF109" s="1160" t="s">
        <v>2165</v>
      </c>
      <c r="CG109" s="5424" t="str">
        <f>IF(CA108=0,"",VLOOKUP(CA108,'Tablas Magia'!$D$6:$Z$680,5,FALSE))</f>
        <v>Ataque</v>
      </c>
      <c r="CH109" s="5424"/>
      <c r="CI109" s="5423" t="s">
        <v>7690</v>
      </c>
      <c r="CJ109" s="5423"/>
      <c r="CK109" s="5424" t="str">
        <f>IF(CA108=0,"",VLOOKUP(CA108,'Tablas Magia'!$D$6:$Z$680,6,FALSE))</f>
        <v>Activa</v>
      </c>
      <c r="CL109" s="5424"/>
      <c r="CM109" s="5425" t="s">
        <v>7691</v>
      </c>
      <c r="CN109" s="5425"/>
      <c r="CO109" s="1161" t="str">
        <f>IF(CA108=0,"",VLOOKUP(CA108,'Tablas Magia'!$D$6:$Z$680,4,FALSE))</f>
        <v>No</v>
      </c>
      <c r="CP109" s="1143"/>
      <c r="CQ109" s="1137"/>
    </row>
    <row r="110" spans="1:95" ht="12.75" customHeight="1" x14ac:dyDescent="0.2">
      <c r="A110" s="1137"/>
      <c r="B110" s="2108"/>
      <c r="C110" s="5426" t="s">
        <v>1674</v>
      </c>
      <c r="D110" s="5427"/>
      <c r="E110" s="1162">
        <f>IF(C108=0,"",VLOOKUP(C108,'Tablas Magia'!$D$6:$Z$680,7,FALSE))</f>
        <v>6</v>
      </c>
      <c r="F110" s="1162">
        <f>IF(C108=0,"",VLOOKUP(C108,'Tablas Magia'!$D$6:$Z$680,11,FALSE))</f>
        <v>50</v>
      </c>
      <c r="G110" s="1163">
        <f>IF(C108=0,"",VLOOKUP(C108,'Tablas Magia'!$D$6:$Z$680,15,FALSE))</f>
        <v>5</v>
      </c>
      <c r="H110" s="5428" t="str">
        <f>IF(C108=0,"",VLOOKUP(C108,'Tablas Magia'!$D$6:$Z$680,19,FALSE))</f>
        <v>25 metros de radio / 80 RM para resistirse.</v>
      </c>
      <c r="I110" s="5429"/>
      <c r="J110" s="5429"/>
      <c r="K110" s="5429"/>
      <c r="L110" s="5429"/>
      <c r="M110" s="5429"/>
      <c r="N110" s="5429"/>
      <c r="O110" s="5429"/>
      <c r="P110" s="5429"/>
      <c r="Q110" s="5430"/>
      <c r="R110" s="1143"/>
      <c r="S110" s="1137"/>
      <c r="T110" s="1137"/>
      <c r="U110" s="2108"/>
      <c r="V110" s="5426" t="s">
        <v>1674</v>
      </c>
      <c r="W110" s="5427"/>
      <c r="X110" s="1162">
        <f>IF(V108=0,"",VLOOKUP(V108,'Tablas Magia'!$D$6:$Z$680,7,FALSE))</f>
        <v>6</v>
      </c>
      <c r="Y110" s="1162">
        <f>IF(V108=0,"",VLOOKUP(V108,'Tablas Magia'!$D$6:$Z$680,11,FALSE))</f>
        <v>80</v>
      </c>
      <c r="Z110" s="1163" t="str">
        <f>IF(V108=0,"",VLOOKUP(V108,'Tablas Magia'!$D$6:$Z$680,15,FALSE))</f>
        <v>No</v>
      </c>
      <c r="AA110" s="5428" t="str">
        <f>IF(V108=0,"",VLOOKUP(V108,'Tablas Magia'!$D$6:$Z$680,19,FALSE))</f>
        <v>RM o RP 100 / 100 metros de radio</v>
      </c>
      <c r="AB110" s="5429"/>
      <c r="AC110" s="5429"/>
      <c r="AD110" s="5429"/>
      <c r="AE110" s="5429"/>
      <c r="AF110" s="5429"/>
      <c r="AG110" s="5429"/>
      <c r="AH110" s="5429"/>
      <c r="AI110" s="5429"/>
      <c r="AJ110" s="5430"/>
      <c r="AK110" s="1143"/>
      <c r="AL110" s="1137"/>
      <c r="AM110" s="1137"/>
      <c r="AN110" s="2122"/>
      <c r="AO110" s="5426" t="s">
        <v>1674</v>
      </c>
      <c r="AP110" s="5427"/>
      <c r="AQ110" s="1162">
        <f>IF(AO108=0,"",VLOOKUP(AO108,'Tablas Magia'!$D$6:$Z$680,7,FALSE))</f>
        <v>8</v>
      </c>
      <c r="AR110" s="1162">
        <f>IF(AO108=0,"",VLOOKUP(AO108,'Tablas Magia'!$D$6:$Z$680,11,FALSE))</f>
        <v>100</v>
      </c>
      <c r="AS110" s="1163">
        <f>IF(AO108=0,"",VLOOKUP(AO108,'Tablas Magia'!$D$6:$Z$680,15,FALSE))</f>
        <v>10</v>
      </c>
      <c r="AT110" s="5428" t="str">
        <f>IF(AO108=0,"",VLOOKUP(AO108,'Tablas Magia'!$D$6:$Z$680,19,FALSE))</f>
        <v>Verá magia, matrices psíquicas y seres invisibles / +50 RM contra Ilusiónes.</v>
      </c>
      <c r="AU110" s="5429"/>
      <c r="AV110" s="5429"/>
      <c r="AW110" s="5429"/>
      <c r="AX110" s="5429"/>
      <c r="AY110" s="5429"/>
      <c r="AZ110" s="5429"/>
      <c r="BA110" s="5429"/>
      <c r="BB110" s="5429"/>
      <c r="BC110" s="5430"/>
      <c r="BD110" s="1143"/>
      <c r="BE110" s="1137"/>
      <c r="BF110" s="1137"/>
      <c r="BG110" s="2122"/>
      <c r="BH110" s="5426" t="s">
        <v>1674</v>
      </c>
      <c r="BI110" s="5427"/>
      <c r="BJ110" s="1162">
        <f>IF(BH108=0,"",VLOOKUP(BH108,'Tablas Magia'!$D$6:$Z$680,7,FALSE))</f>
        <v>12</v>
      </c>
      <c r="BK110" s="1162">
        <f>IF(BH108=0,"",VLOOKUP(BH108,'Tablas Magia'!$D$6:$Z$680,11,FALSE))</f>
        <v>300</v>
      </c>
      <c r="BL110" s="1163">
        <f>IF(BH108=0,"",VLOOKUP(BH108,'Tablas Magia'!$D$6:$Z$680,15,FALSE))</f>
        <v>60</v>
      </c>
      <c r="BM110" s="5428" t="str">
        <f>IF(BH108=0,"",VLOOKUP(BH108,'Tablas Magia'!$D$6:$Z$680,19,FALSE))</f>
        <v>RM 140.</v>
      </c>
      <c r="BN110" s="5429"/>
      <c r="BO110" s="5429"/>
      <c r="BP110" s="5429"/>
      <c r="BQ110" s="5429"/>
      <c r="BR110" s="5429"/>
      <c r="BS110" s="5429"/>
      <c r="BT110" s="5429"/>
      <c r="BU110" s="5429"/>
      <c r="BV110" s="5430"/>
      <c r="BW110" s="1143"/>
      <c r="BX110" s="1137"/>
      <c r="BY110" s="1137"/>
      <c r="BZ110" s="2122"/>
      <c r="CA110" s="5426" t="s">
        <v>1674</v>
      </c>
      <c r="CB110" s="5427"/>
      <c r="CC110" s="1162">
        <f>IF(CA108=0,"",VLOOKUP(CA108,'Tablas Magia'!$D$6:$Z$680,7,FALSE))</f>
        <v>14</v>
      </c>
      <c r="CD110" s="1162">
        <f>IF(CA108=0,"",VLOOKUP(CA108,'Tablas Magia'!$D$6:$Z$680,11,FALSE))</f>
        <v>600</v>
      </c>
      <c r="CE110" s="1163" t="str">
        <f>IF(CA108=0,"",VLOOKUP(CA108,'Tablas Magia'!$D$6:$Z$680,15,FALSE))</f>
        <v>No</v>
      </c>
      <c r="CF110" s="5428" t="str">
        <f>IF(CA108=0,"",VLOOKUP(CA108,'Tablas Magia'!$D$6:$Z$680,19,FALSE))</f>
        <v>Daño 350 / 100 metros de radio</v>
      </c>
      <c r="CG110" s="5429"/>
      <c r="CH110" s="5429"/>
      <c r="CI110" s="5429"/>
      <c r="CJ110" s="5429"/>
      <c r="CK110" s="5429"/>
      <c r="CL110" s="5429"/>
      <c r="CM110" s="5429"/>
      <c r="CN110" s="5429"/>
      <c r="CO110" s="5430"/>
      <c r="CP110" s="1143"/>
      <c r="CQ110" s="1137"/>
    </row>
    <row r="111" spans="1:95" x14ac:dyDescent="0.2">
      <c r="A111" s="1137"/>
      <c r="B111" s="2108"/>
      <c r="C111" s="5431" t="s">
        <v>4572</v>
      </c>
      <c r="D111" s="5432"/>
      <c r="E111" s="1164">
        <f>IF(C108=0,"",VLOOKUP(C108,'Tablas Magia'!$D$6:$Z$680,8,FALSE))</f>
        <v>9</v>
      </c>
      <c r="F111" s="1164">
        <f>IF(C108=0,"",VLOOKUP(C108,'Tablas Magia'!$D$6:$Z$680,12,FALSE))</f>
        <v>100</v>
      </c>
      <c r="G111" s="1165">
        <f>IF(C108=0,"",VLOOKUP(C108,'Tablas Magia'!$D$6:$Z$680,16,FALSE))</f>
        <v>10</v>
      </c>
      <c r="H111" s="5433" t="str">
        <f>IF(C108=0,"",VLOOKUP(C108,'Tablas Magia'!$D$6:$Z$680,20,FALSE))</f>
        <v>150 metros de radio / 140 RM para resistirse</v>
      </c>
      <c r="I111" s="5434"/>
      <c r="J111" s="5434"/>
      <c r="K111" s="5434"/>
      <c r="L111" s="5434"/>
      <c r="M111" s="5434"/>
      <c r="N111" s="5434"/>
      <c r="O111" s="5434"/>
      <c r="P111" s="5434"/>
      <c r="Q111" s="5435"/>
      <c r="R111" s="1143"/>
      <c r="S111" s="1137"/>
      <c r="T111" s="1137"/>
      <c r="U111" s="2108"/>
      <c r="V111" s="5431" t="s">
        <v>4572</v>
      </c>
      <c r="W111" s="5432"/>
      <c r="X111" s="1164">
        <f>IF(V108=0,"",VLOOKUP(V108,'Tablas Magia'!$D$6:$Z$680,8,FALSE))</f>
        <v>9</v>
      </c>
      <c r="Y111" s="1164">
        <f>IF(V108=0,"",VLOOKUP(V108,'Tablas Magia'!$D$6:$Z$680,12,FALSE))</f>
        <v>180</v>
      </c>
      <c r="Z111" s="1165" t="str">
        <f>IF(V108=0,"",VLOOKUP(V108,'Tablas Magia'!$D$6:$Z$680,16,FALSE))</f>
        <v>No</v>
      </c>
      <c r="AA111" s="5433" t="str">
        <f>IF(V108=0,"",VLOOKUP(V108,'Tablas Magia'!$D$6:$Z$680,20,FALSE))</f>
        <v>RM o RP 150 / 500 metros de radio</v>
      </c>
      <c r="AB111" s="5434"/>
      <c r="AC111" s="5434"/>
      <c r="AD111" s="5434"/>
      <c r="AE111" s="5434"/>
      <c r="AF111" s="5434"/>
      <c r="AG111" s="5434"/>
      <c r="AH111" s="5434"/>
      <c r="AI111" s="5434"/>
      <c r="AJ111" s="5435"/>
      <c r="AK111" s="1143"/>
      <c r="AL111" s="1137"/>
      <c r="AM111" s="1137"/>
      <c r="AN111" s="2122"/>
      <c r="AO111" s="5431" t="s">
        <v>4572</v>
      </c>
      <c r="AP111" s="5432"/>
      <c r="AQ111" s="1164">
        <f>IF(AO108=0,"",VLOOKUP(AO108,'Tablas Magia'!$D$6:$Z$680,8,FALSE))</f>
        <v>12</v>
      </c>
      <c r="AR111" s="1164">
        <f>IF(AO108=0,"",VLOOKUP(AO108,'Tablas Magia'!$D$6:$Z$680,12,FALSE))</f>
        <v>120</v>
      </c>
      <c r="AS111" s="1165">
        <f>IF(AO108=0,"",VLOOKUP(AO108,'Tablas Magia'!$D$6:$Z$680,16,FALSE))</f>
        <v>15</v>
      </c>
      <c r="AT111" s="5433" t="str">
        <f>IF(AO108=0,"",VLOOKUP(AO108,'Tablas Magia'!$D$6:$Z$680,20,FALSE))</f>
        <v>Como en Base, pero permite ver también seres espirituales</v>
      </c>
      <c r="AU111" s="5434"/>
      <c r="AV111" s="5434"/>
      <c r="AW111" s="5434"/>
      <c r="AX111" s="5434"/>
      <c r="AY111" s="5434"/>
      <c r="AZ111" s="5434"/>
      <c r="BA111" s="5434"/>
      <c r="BB111" s="5434"/>
      <c r="BC111" s="5435"/>
      <c r="BD111" s="1143"/>
      <c r="BE111" s="1137"/>
      <c r="BF111" s="1137"/>
      <c r="BG111" s="2122"/>
      <c r="BH111" s="5431" t="s">
        <v>4572</v>
      </c>
      <c r="BI111" s="5432"/>
      <c r="BJ111" s="1164">
        <f>IF(BH108=0,"",VLOOKUP(BH108,'Tablas Magia'!$D$6:$Z$680,8,FALSE))</f>
        <v>14</v>
      </c>
      <c r="BK111" s="1164">
        <f>IF(BH108=0,"",VLOOKUP(BH108,'Tablas Magia'!$D$6:$Z$680,12,FALSE))</f>
        <v>400</v>
      </c>
      <c r="BL111" s="1165">
        <f>IF(BH108=0,"",VLOOKUP(BH108,'Tablas Magia'!$D$6:$Z$680,16,FALSE))</f>
        <v>65</v>
      </c>
      <c r="BM111" s="5433" t="str">
        <f>IF(BH108=0,"",VLOOKUP(BH108,'Tablas Magia'!$D$6:$Z$680,20,FALSE))</f>
        <v>RM 150 / En Vigilia, obtiene Gnosis 40. En zona neutra, 30.</v>
      </c>
      <c r="BN111" s="5434"/>
      <c r="BO111" s="5434"/>
      <c r="BP111" s="5434"/>
      <c r="BQ111" s="5434"/>
      <c r="BR111" s="5434"/>
      <c r="BS111" s="5434"/>
      <c r="BT111" s="5434"/>
      <c r="BU111" s="5434"/>
      <c r="BV111" s="5435"/>
      <c r="BW111" s="1143"/>
      <c r="BX111" s="1137"/>
      <c r="BY111" s="1137"/>
      <c r="BZ111" s="2122"/>
      <c r="CA111" s="5431" t="s">
        <v>4572</v>
      </c>
      <c r="CB111" s="5432"/>
      <c r="CC111" s="1164">
        <f>IF(CA108=0,"",VLOOKUP(CA108,'Tablas Magia'!$D$6:$Z$680,8,FALSE))</f>
        <v>16</v>
      </c>
      <c r="CD111" s="1164">
        <f>IF(CA108=0,"",VLOOKUP(CA108,'Tablas Magia'!$D$6:$Z$680,12,FALSE))</f>
        <v>1000</v>
      </c>
      <c r="CE111" s="1165" t="str">
        <f>IF(CA108=0,"",VLOOKUP(CA108,'Tablas Magia'!$D$6:$Z$680,16,FALSE))</f>
        <v>No</v>
      </c>
      <c r="CF111" s="5433" t="str">
        <f>IF(CA108=0,"",VLOOKUP(CA108,'Tablas Magia'!$D$6:$Z$680,20,FALSE))</f>
        <v>Daño 500 / 100 kilómetros de radio</v>
      </c>
      <c r="CG111" s="5434"/>
      <c r="CH111" s="5434"/>
      <c r="CI111" s="5434"/>
      <c r="CJ111" s="5434"/>
      <c r="CK111" s="5434"/>
      <c r="CL111" s="5434"/>
      <c r="CM111" s="5434"/>
      <c r="CN111" s="5434"/>
      <c r="CO111" s="5435"/>
      <c r="CP111" s="1143"/>
      <c r="CQ111" s="1137"/>
    </row>
    <row r="112" spans="1:95" x14ac:dyDescent="0.2">
      <c r="A112" s="1137"/>
      <c r="B112" s="2108"/>
      <c r="C112" s="5426" t="s">
        <v>4573</v>
      </c>
      <c r="D112" s="5427"/>
      <c r="E112" s="1162">
        <f>IF(C108=0,"",VLOOKUP(C108,'Tablas Magia'!$D$6:$Z$680,9,FALSE))</f>
        <v>12</v>
      </c>
      <c r="F112" s="1162">
        <f>IF(C108=0,"",VLOOKUP(C108,'Tablas Magia'!$D$6:$Z$680,13,FALSE))</f>
        <v>160</v>
      </c>
      <c r="G112" s="1163">
        <f>IF(C108=0,"",VLOOKUP(C108,'Tablas Magia'!$D$6:$Z$680,17,FALSE))</f>
        <v>20</v>
      </c>
      <c r="H112" s="5428" t="str">
        <f>IF(C108=0,"",VLOOKUP(C108,'Tablas Magia'!$D$6:$Z$680,21,FALSE))</f>
        <v>500 metros de radio / 160 RM para resistirse.</v>
      </c>
      <c r="I112" s="5429"/>
      <c r="J112" s="5429"/>
      <c r="K112" s="5429"/>
      <c r="L112" s="5429"/>
      <c r="M112" s="5429"/>
      <c r="N112" s="5429"/>
      <c r="O112" s="5429"/>
      <c r="P112" s="5429"/>
      <c r="Q112" s="5430"/>
      <c r="R112" s="1143"/>
      <c r="S112" s="1137"/>
      <c r="T112" s="1137"/>
      <c r="U112" s="2108"/>
      <c r="V112" s="5426" t="s">
        <v>4573</v>
      </c>
      <c r="W112" s="5427"/>
      <c r="X112" s="1162">
        <f>IF(V108=0,"",VLOOKUP(V108,'Tablas Magia'!$D$6:$Z$680,9,FALSE))</f>
        <v>12</v>
      </c>
      <c r="Y112" s="1162">
        <f>IF(V108=0,"",VLOOKUP(V108,'Tablas Magia'!$D$6:$Z$680,13,FALSE))</f>
        <v>240</v>
      </c>
      <c r="Z112" s="1163" t="str">
        <f>IF(V108=0,"",VLOOKUP(V108,'Tablas Magia'!$D$6:$Z$680,17,FALSE))</f>
        <v>No</v>
      </c>
      <c r="AA112" s="5428" t="str">
        <f>IF(V108=0,"",VLOOKUP(V108,'Tablas Magia'!$D$6:$Z$680,21,FALSE))</f>
        <v>RM o RP 180 / 1 kilómetro de radio</v>
      </c>
      <c r="AB112" s="5429"/>
      <c r="AC112" s="5429"/>
      <c r="AD112" s="5429"/>
      <c r="AE112" s="5429"/>
      <c r="AF112" s="5429"/>
      <c r="AG112" s="5429"/>
      <c r="AH112" s="5429"/>
      <c r="AI112" s="5429"/>
      <c r="AJ112" s="5430"/>
      <c r="AK112" s="1143"/>
      <c r="AL112" s="1137"/>
      <c r="AM112" s="1137"/>
      <c r="AN112" s="2122"/>
      <c r="AO112" s="5426" t="s">
        <v>4573</v>
      </c>
      <c r="AP112" s="5427"/>
      <c r="AQ112" s="1162">
        <f>IF(AO108=0,"",VLOOKUP(AO108,'Tablas Magia'!$D$6:$Z$680,9,FALSE))</f>
        <v>14</v>
      </c>
      <c r="AR112" s="1162">
        <f>IF(AO108=0,"",VLOOKUP(AO108,'Tablas Magia'!$D$6:$Z$680,13,FALSE))</f>
        <v>180</v>
      </c>
      <c r="AS112" s="1163">
        <f>IF(AO108=0,"",VLOOKUP(AO108,'Tablas Magia'!$D$6:$Z$680,17,FALSE))</f>
        <v>15</v>
      </c>
      <c r="AT112" s="5428" t="str">
        <f>IF(AO108=0,"",VLOOKUP(AO108,'Tablas Magia'!$D$6:$Z$680,21,FALSE))</f>
        <v>Como en Intermedio, pero obtiene un +75 RM contra Ilusiónes.</v>
      </c>
      <c r="AU112" s="5429"/>
      <c r="AV112" s="5429"/>
      <c r="AW112" s="5429"/>
      <c r="AX112" s="5429"/>
      <c r="AY112" s="5429"/>
      <c r="AZ112" s="5429"/>
      <c r="BA112" s="5429"/>
      <c r="BB112" s="5429"/>
      <c r="BC112" s="5430"/>
      <c r="BD112" s="1143"/>
      <c r="BE112" s="1137"/>
      <c r="BF112" s="1137"/>
      <c r="BG112" s="2122"/>
      <c r="BH112" s="5426" t="s">
        <v>4573</v>
      </c>
      <c r="BI112" s="5427"/>
      <c r="BJ112" s="1162">
        <f>IF(BH108=0,"",VLOOKUP(BH108,'Tablas Magia'!$D$6:$Z$680,9,FALSE))</f>
        <v>16</v>
      </c>
      <c r="BK112" s="1162">
        <f>IF(BH108=0,"",VLOOKUP(BH108,'Tablas Magia'!$D$6:$Z$680,13,FALSE))</f>
        <v>500</v>
      </c>
      <c r="BL112" s="1163">
        <f>IF(BH108=0,"",VLOOKUP(BH108,'Tablas Magia'!$D$6:$Z$680,17,FALSE))</f>
        <v>70</v>
      </c>
      <c r="BM112" s="5428" t="str">
        <f>IF(BH108=0,"",VLOOKUP(BH108,'Tablas Magia'!$D$6:$Z$680,21,FALSE))</f>
        <v>RM 160 / como intermedio, pero el Gnosis en zonas neutras es de 35.</v>
      </c>
      <c r="BN112" s="5429"/>
      <c r="BO112" s="5429"/>
      <c r="BP112" s="5429"/>
      <c r="BQ112" s="5429"/>
      <c r="BR112" s="5429"/>
      <c r="BS112" s="5429"/>
      <c r="BT112" s="5429"/>
      <c r="BU112" s="5429"/>
      <c r="BV112" s="5430"/>
      <c r="BW112" s="1143"/>
      <c r="BX112" s="1137"/>
      <c r="BY112" s="1137"/>
      <c r="BZ112" s="2122"/>
      <c r="CA112" s="5426" t="s">
        <v>4573</v>
      </c>
      <c r="CB112" s="5427"/>
      <c r="CC112" s="1162">
        <f>IF(CA108=0,"",VLOOKUP(CA108,'Tablas Magia'!$D$6:$Z$680,9,FALSE))</f>
        <v>18</v>
      </c>
      <c r="CD112" s="1162">
        <f>IF(CA108=0,"",VLOOKUP(CA108,'Tablas Magia'!$D$6:$Z$680,13,FALSE))</f>
        <v>2500</v>
      </c>
      <c r="CE112" s="1163" t="str">
        <f>IF(CA108=0,"",VLOOKUP(CA108,'Tablas Magia'!$D$6:$Z$680,17,FALSE))</f>
        <v>No</v>
      </c>
      <c r="CF112" s="5428" t="str">
        <f>IF(CA108=0,"",VLOOKUP(CA108,'Tablas Magia'!$D$6:$Z$680,21,FALSE))</f>
        <v>Daño 800 / 10.000 kilómetros de radio</v>
      </c>
      <c r="CG112" s="5429"/>
      <c r="CH112" s="5429"/>
      <c r="CI112" s="5429"/>
      <c r="CJ112" s="5429"/>
      <c r="CK112" s="5429"/>
      <c r="CL112" s="5429"/>
      <c r="CM112" s="5429"/>
      <c r="CN112" s="5429"/>
      <c r="CO112" s="5430"/>
      <c r="CP112" s="1143"/>
      <c r="CQ112" s="1137"/>
    </row>
    <row r="113" spans="1:95" ht="13.5" thickBot="1" x14ac:dyDescent="0.25">
      <c r="A113" s="1137"/>
      <c r="B113" s="2108"/>
      <c r="C113" s="5436" t="s">
        <v>4574</v>
      </c>
      <c r="D113" s="5437"/>
      <c r="E113" s="1166">
        <f>IF(C108=0,"",VLOOKUP(C108,'Tablas Magia'!$D$6:$Z$680,10,FALSE))</f>
        <v>15</v>
      </c>
      <c r="F113" s="1166">
        <f>IF(C108=0,"",VLOOKUP(C108,'Tablas Magia'!$D$6:$Z$680,14,FALSE))</f>
        <v>280</v>
      </c>
      <c r="G113" s="1167">
        <f>IF(C108=0,"",VLOOKUP(C108,'Tablas Magia'!$D$6:$Z$680,18,FALSE))</f>
        <v>30</v>
      </c>
      <c r="H113" s="5438" t="str">
        <f>IF(C108=0,"",VLOOKUP(C108,'Tablas Magia'!$D$6:$Z$680,22,FALSE))</f>
        <v>1 kilómetro de radio / 200 RM para resistirse</v>
      </c>
      <c r="I113" s="5439"/>
      <c r="J113" s="5439"/>
      <c r="K113" s="5439"/>
      <c r="L113" s="5439"/>
      <c r="M113" s="5439"/>
      <c r="N113" s="5439"/>
      <c r="O113" s="5439"/>
      <c r="P113" s="5439"/>
      <c r="Q113" s="5440"/>
      <c r="R113" s="1143"/>
      <c r="S113" s="1137"/>
      <c r="T113" s="1137"/>
      <c r="U113" s="2108"/>
      <c r="V113" s="5436" t="s">
        <v>4574</v>
      </c>
      <c r="W113" s="5437"/>
      <c r="X113" s="1166">
        <f>IF(V108=0,"",VLOOKUP(V108,'Tablas Magia'!$D$6:$Z$680,10,FALSE))</f>
        <v>15</v>
      </c>
      <c r="Y113" s="1166">
        <f>IF(V108=0,"",VLOOKUP(V108,'Tablas Magia'!$D$6:$Z$680,14,FALSE))</f>
        <v>350</v>
      </c>
      <c r="Z113" s="1167" t="str">
        <f>IF(V108=0,"",VLOOKUP(V108,'Tablas Magia'!$D$6:$Z$680,18,FALSE))</f>
        <v>No</v>
      </c>
      <c r="AA113" s="5438" t="str">
        <f>IF(V108=0,"",VLOOKUP(V108,'Tablas Magia'!$D$6:$Z$680,22,FALSE))</f>
        <v>RM o RP 220 / 5 Kilómetros de radio</v>
      </c>
      <c r="AB113" s="5439"/>
      <c r="AC113" s="5439"/>
      <c r="AD113" s="5439"/>
      <c r="AE113" s="5439"/>
      <c r="AF113" s="5439"/>
      <c r="AG113" s="5439"/>
      <c r="AH113" s="5439"/>
      <c r="AI113" s="5439"/>
      <c r="AJ113" s="5440"/>
      <c r="AK113" s="1143"/>
      <c r="AL113" s="1137"/>
      <c r="AM113" s="1137"/>
      <c r="AN113" s="2122"/>
      <c r="AO113" s="5436" t="s">
        <v>4574</v>
      </c>
      <c r="AP113" s="5437"/>
      <c r="AQ113" s="1166">
        <f>IF(AO108=0,"",VLOOKUP(AO108,'Tablas Magia'!$D$6:$Z$680,10,FALSE))</f>
        <v>16</v>
      </c>
      <c r="AR113" s="1166">
        <f>IF(AO108=0,"",VLOOKUP(AO108,'Tablas Magia'!$D$6:$Z$680,14,FALSE))</f>
        <v>250</v>
      </c>
      <c r="AS113" s="1167">
        <f>IF(AO108=0,"",VLOOKUP(AO108,'Tablas Magia'!$D$6:$Z$680,18,FALSE))</f>
        <v>25</v>
      </c>
      <c r="AT113" s="5438" t="str">
        <f>IF(AO108=0,"",VLOOKUP(AO108,'Tablas Magia'!$D$6:$Z$680,22,FALSE))</f>
        <v>Como avanzado, pero obtiene un +100 RM contra Ilusiónes</v>
      </c>
      <c r="AU113" s="5439"/>
      <c r="AV113" s="5439"/>
      <c r="AW113" s="5439"/>
      <c r="AX113" s="5439"/>
      <c r="AY113" s="5439"/>
      <c r="AZ113" s="5439"/>
      <c r="BA113" s="5439"/>
      <c r="BB113" s="5439"/>
      <c r="BC113" s="5440"/>
      <c r="BD113" s="1143"/>
      <c r="BE113" s="1137"/>
      <c r="BF113" s="1137"/>
      <c r="BG113" s="2122"/>
      <c r="BH113" s="5436" t="s">
        <v>4574</v>
      </c>
      <c r="BI113" s="5437"/>
      <c r="BJ113" s="1166">
        <f>IF(BH108=0,"",VLOOKUP(BH108,'Tablas Magia'!$D$6:$Z$680,10,FALSE))</f>
        <v>18</v>
      </c>
      <c r="BK113" s="1166">
        <f>IF(BH108=0,"",VLOOKUP(BH108,'Tablas Magia'!$D$6:$Z$680,14,FALSE))</f>
        <v>750</v>
      </c>
      <c r="BL113" s="1167">
        <f>IF(BH108=0,"",VLOOKUP(BH108,'Tablas Magia'!$D$6:$Z$680,18,FALSE))</f>
        <v>80</v>
      </c>
      <c r="BM113" s="5438" t="str">
        <f>IF(BH108=0,"",VLOOKUP(BH108,'Tablas Magia'!$D$6:$Z$680,22,FALSE))</f>
        <v>RM 180 / Como Avanzado, sin límites espacial.</v>
      </c>
      <c r="BN113" s="5439"/>
      <c r="BO113" s="5439"/>
      <c r="BP113" s="5439"/>
      <c r="BQ113" s="5439"/>
      <c r="BR113" s="5439"/>
      <c r="BS113" s="5439"/>
      <c r="BT113" s="5439"/>
      <c r="BU113" s="5439"/>
      <c r="BV113" s="5440"/>
      <c r="BW113" s="1143"/>
      <c r="BX113" s="1137"/>
      <c r="BY113" s="1137"/>
      <c r="BZ113" s="2122"/>
      <c r="CA113" s="5436" t="s">
        <v>4574</v>
      </c>
      <c r="CB113" s="5437"/>
      <c r="CC113" s="1166">
        <f>IF(CA108=0,"",VLOOKUP(CA108,'Tablas Magia'!$D$6:$Z$680,10,FALSE))</f>
        <v>20</v>
      </c>
      <c r="CD113" s="1166">
        <f>IF(CA108=0,"",VLOOKUP(CA108,'Tablas Magia'!$D$6:$Z$680,14,FALSE))</f>
        <v>10000</v>
      </c>
      <c r="CE113" s="1167" t="str">
        <f>IF(CA108=0,"",VLOOKUP(CA108,'Tablas Magia'!$D$6:$Z$680,18,FALSE))</f>
        <v>No</v>
      </c>
      <c r="CF113" s="5438" t="str">
        <f>IF(CA108=0,"",VLOOKUP(CA108,'Tablas Magia'!$D$6:$Z$680,22,FALSE))</f>
        <v>Daño 1.000 / 1 ua de radio</v>
      </c>
      <c r="CG113" s="5439"/>
      <c r="CH113" s="5439"/>
      <c r="CI113" s="5439"/>
      <c r="CJ113" s="5439"/>
      <c r="CK113" s="5439"/>
      <c r="CL113" s="5439"/>
      <c r="CM113" s="5439"/>
      <c r="CN113" s="5439"/>
      <c r="CO113" s="5440"/>
      <c r="CP113" s="1143"/>
      <c r="CQ113" s="1137"/>
    </row>
    <row r="114" spans="1:95" ht="12.75" customHeight="1" x14ac:dyDescent="0.2">
      <c r="A114" s="1137"/>
      <c r="B114" s="2108"/>
      <c r="C114" s="5441"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42"/>
      <c r="E114" s="5442"/>
      <c r="F114" s="5442"/>
      <c r="G114" s="5442"/>
      <c r="H114" s="5442"/>
      <c r="I114" s="5442"/>
      <c r="J114" s="5442"/>
      <c r="K114" s="5442"/>
      <c r="L114" s="5442"/>
      <c r="M114" s="5442"/>
      <c r="N114" s="5442"/>
      <c r="O114" s="5442"/>
      <c r="P114" s="5442"/>
      <c r="Q114" s="5443"/>
      <c r="R114" s="1143"/>
      <c r="S114" s="1137"/>
      <c r="T114" s="1137"/>
      <c r="U114" s="2108"/>
      <c r="V114" s="5441" t="str">
        <f>IF(V108=0,"",VLOOKUP(V108,'Tablas Magia'!$D$6:$Z$680,23,FALSE))</f>
        <v>Destruye temporalmente cualquier sentimiento negativo, como odio, miedo o ira, de aquellos individuos que se encuentren alrededor del hechicero y no superen la RM del conjuro.</v>
      </c>
      <c r="W114" s="5442"/>
      <c r="X114" s="5442"/>
      <c r="Y114" s="5442"/>
      <c r="Z114" s="5442"/>
      <c r="AA114" s="5442"/>
      <c r="AB114" s="5442"/>
      <c r="AC114" s="5442"/>
      <c r="AD114" s="5442"/>
      <c r="AE114" s="5442"/>
      <c r="AF114" s="5442"/>
      <c r="AG114" s="5442"/>
      <c r="AH114" s="5442"/>
      <c r="AI114" s="5442"/>
      <c r="AJ114" s="5443"/>
      <c r="AK114" s="1143"/>
      <c r="AL114" s="1137"/>
      <c r="AM114" s="1137"/>
      <c r="AN114" s="2122"/>
      <c r="AO114" s="5441"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42"/>
      <c r="AQ114" s="5442"/>
      <c r="AR114" s="5442"/>
      <c r="AS114" s="5442"/>
      <c r="AT114" s="5442"/>
      <c r="AU114" s="5442"/>
      <c r="AV114" s="5442"/>
      <c r="AW114" s="5442"/>
      <c r="AX114" s="5442"/>
      <c r="AY114" s="5442"/>
      <c r="AZ114" s="5442"/>
      <c r="BA114" s="5442"/>
      <c r="BB114" s="5442"/>
      <c r="BC114" s="5443"/>
      <c r="BD114" s="1143"/>
      <c r="BE114" s="1137"/>
      <c r="BF114" s="1137"/>
      <c r="BG114" s="2122"/>
      <c r="BH114" s="5441"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42"/>
      <c r="BJ114" s="5442"/>
      <c r="BK114" s="5442"/>
      <c r="BL114" s="5442"/>
      <c r="BM114" s="5442"/>
      <c r="BN114" s="5442"/>
      <c r="BO114" s="5442"/>
      <c r="BP114" s="5442"/>
      <c r="BQ114" s="5442"/>
      <c r="BR114" s="5442"/>
      <c r="BS114" s="5442"/>
      <c r="BT114" s="5442"/>
      <c r="BU114" s="5442"/>
      <c r="BV114" s="5443"/>
      <c r="BW114" s="1143"/>
      <c r="BX114" s="1137"/>
      <c r="BY114" s="1137"/>
      <c r="BZ114" s="2122"/>
      <c r="CA114" s="5441"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42"/>
      <c r="CC114" s="5442"/>
      <c r="CD114" s="5442"/>
      <c r="CE114" s="5442"/>
      <c r="CF114" s="5442"/>
      <c r="CG114" s="5442"/>
      <c r="CH114" s="5442"/>
      <c r="CI114" s="5442"/>
      <c r="CJ114" s="5442"/>
      <c r="CK114" s="5442"/>
      <c r="CL114" s="5442"/>
      <c r="CM114" s="5442"/>
      <c r="CN114" s="5442"/>
      <c r="CO114" s="5443"/>
      <c r="CP114" s="1143"/>
      <c r="CQ114" s="1137"/>
    </row>
    <row r="115" spans="1:95" x14ac:dyDescent="0.2">
      <c r="A115" s="1137"/>
      <c r="B115" s="2108"/>
      <c r="C115" s="5444"/>
      <c r="D115" s="5445"/>
      <c r="E115" s="5445"/>
      <c r="F115" s="5445"/>
      <c r="G115" s="5445"/>
      <c r="H115" s="5445"/>
      <c r="I115" s="5445"/>
      <c r="J115" s="5445"/>
      <c r="K115" s="5445"/>
      <c r="L115" s="5445"/>
      <c r="M115" s="5445"/>
      <c r="N115" s="5445"/>
      <c r="O115" s="5445"/>
      <c r="P115" s="5445"/>
      <c r="Q115" s="5446"/>
      <c r="R115" s="1143"/>
      <c r="S115" s="1137"/>
      <c r="T115" s="1137"/>
      <c r="U115" s="2108"/>
      <c r="V115" s="5444"/>
      <c r="W115" s="5445"/>
      <c r="X115" s="5445"/>
      <c r="Y115" s="5445"/>
      <c r="Z115" s="5445"/>
      <c r="AA115" s="5445"/>
      <c r="AB115" s="5445"/>
      <c r="AC115" s="5445"/>
      <c r="AD115" s="5445"/>
      <c r="AE115" s="5445"/>
      <c r="AF115" s="5445"/>
      <c r="AG115" s="5445"/>
      <c r="AH115" s="5445"/>
      <c r="AI115" s="5445"/>
      <c r="AJ115" s="5446"/>
      <c r="AK115" s="1143"/>
      <c r="AL115" s="1137"/>
      <c r="AM115" s="1137"/>
      <c r="AN115" s="2122"/>
      <c r="AO115" s="5444"/>
      <c r="AP115" s="5445"/>
      <c r="AQ115" s="5445"/>
      <c r="AR115" s="5445"/>
      <c r="AS115" s="5445"/>
      <c r="AT115" s="5445"/>
      <c r="AU115" s="5445"/>
      <c r="AV115" s="5445"/>
      <c r="AW115" s="5445"/>
      <c r="AX115" s="5445"/>
      <c r="AY115" s="5445"/>
      <c r="AZ115" s="5445"/>
      <c r="BA115" s="5445"/>
      <c r="BB115" s="5445"/>
      <c r="BC115" s="5446"/>
      <c r="BD115" s="1143"/>
      <c r="BE115" s="1137"/>
      <c r="BF115" s="1137"/>
      <c r="BG115" s="2122"/>
      <c r="BH115" s="5444"/>
      <c r="BI115" s="5445"/>
      <c r="BJ115" s="5445"/>
      <c r="BK115" s="5445"/>
      <c r="BL115" s="5445"/>
      <c r="BM115" s="5445"/>
      <c r="BN115" s="5445"/>
      <c r="BO115" s="5445"/>
      <c r="BP115" s="5445"/>
      <c r="BQ115" s="5445"/>
      <c r="BR115" s="5445"/>
      <c r="BS115" s="5445"/>
      <c r="BT115" s="5445"/>
      <c r="BU115" s="5445"/>
      <c r="BV115" s="5446"/>
      <c r="BW115" s="1143"/>
      <c r="BX115" s="1137"/>
      <c r="BY115" s="1137"/>
      <c r="BZ115" s="2122"/>
      <c r="CA115" s="5444"/>
      <c r="CB115" s="5445"/>
      <c r="CC115" s="5445"/>
      <c r="CD115" s="5445"/>
      <c r="CE115" s="5445"/>
      <c r="CF115" s="5445"/>
      <c r="CG115" s="5445"/>
      <c r="CH115" s="5445"/>
      <c r="CI115" s="5445"/>
      <c r="CJ115" s="5445"/>
      <c r="CK115" s="5445"/>
      <c r="CL115" s="5445"/>
      <c r="CM115" s="5445"/>
      <c r="CN115" s="5445"/>
      <c r="CO115" s="5446"/>
      <c r="CP115" s="1143"/>
      <c r="CQ115" s="1137"/>
    </row>
    <row r="116" spans="1:95" x14ac:dyDescent="0.2">
      <c r="A116" s="1137"/>
      <c r="B116" s="2108"/>
      <c r="C116" s="5444"/>
      <c r="D116" s="5445"/>
      <c r="E116" s="5445"/>
      <c r="F116" s="5445"/>
      <c r="G116" s="5445"/>
      <c r="H116" s="5445"/>
      <c r="I116" s="5445"/>
      <c r="J116" s="5445"/>
      <c r="K116" s="5445"/>
      <c r="L116" s="5445"/>
      <c r="M116" s="5445"/>
      <c r="N116" s="5445"/>
      <c r="O116" s="5445"/>
      <c r="P116" s="5445"/>
      <c r="Q116" s="5446"/>
      <c r="R116" s="1143"/>
      <c r="S116" s="1137"/>
      <c r="T116" s="1137"/>
      <c r="U116" s="2108"/>
      <c r="V116" s="5444"/>
      <c r="W116" s="5445"/>
      <c r="X116" s="5445"/>
      <c r="Y116" s="5445"/>
      <c r="Z116" s="5445"/>
      <c r="AA116" s="5445"/>
      <c r="AB116" s="5445"/>
      <c r="AC116" s="5445"/>
      <c r="AD116" s="5445"/>
      <c r="AE116" s="5445"/>
      <c r="AF116" s="5445"/>
      <c r="AG116" s="5445"/>
      <c r="AH116" s="5445"/>
      <c r="AI116" s="5445"/>
      <c r="AJ116" s="5446"/>
      <c r="AK116" s="1143"/>
      <c r="AL116" s="1137"/>
      <c r="AM116" s="1137"/>
      <c r="AN116" s="2122"/>
      <c r="AO116" s="5444"/>
      <c r="AP116" s="5445"/>
      <c r="AQ116" s="5445"/>
      <c r="AR116" s="5445"/>
      <c r="AS116" s="5445"/>
      <c r="AT116" s="5445"/>
      <c r="AU116" s="5445"/>
      <c r="AV116" s="5445"/>
      <c r="AW116" s="5445"/>
      <c r="AX116" s="5445"/>
      <c r="AY116" s="5445"/>
      <c r="AZ116" s="5445"/>
      <c r="BA116" s="5445"/>
      <c r="BB116" s="5445"/>
      <c r="BC116" s="5446"/>
      <c r="BD116" s="1143"/>
      <c r="BE116" s="1137"/>
      <c r="BF116" s="1137"/>
      <c r="BG116" s="2122"/>
      <c r="BH116" s="5444"/>
      <c r="BI116" s="5445"/>
      <c r="BJ116" s="5445"/>
      <c r="BK116" s="5445"/>
      <c r="BL116" s="5445"/>
      <c r="BM116" s="5445"/>
      <c r="BN116" s="5445"/>
      <c r="BO116" s="5445"/>
      <c r="BP116" s="5445"/>
      <c r="BQ116" s="5445"/>
      <c r="BR116" s="5445"/>
      <c r="BS116" s="5445"/>
      <c r="BT116" s="5445"/>
      <c r="BU116" s="5445"/>
      <c r="BV116" s="5446"/>
      <c r="BW116" s="1143"/>
      <c r="BX116" s="1137"/>
      <c r="BY116" s="1137"/>
      <c r="BZ116" s="2122"/>
      <c r="CA116" s="5444"/>
      <c r="CB116" s="5445"/>
      <c r="CC116" s="5445"/>
      <c r="CD116" s="5445"/>
      <c r="CE116" s="5445"/>
      <c r="CF116" s="5445"/>
      <c r="CG116" s="5445"/>
      <c r="CH116" s="5445"/>
      <c r="CI116" s="5445"/>
      <c r="CJ116" s="5445"/>
      <c r="CK116" s="5445"/>
      <c r="CL116" s="5445"/>
      <c r="CM116" s="5445"/>
      <c r="CN116" s="5445"/>
      <c r="CO116" s="5446"/>
      <c r="CP116" s="1143"/>
      <c r="CQ116" s="1137"/>
    </row>
    <row r="117" spans="1:95" ht="13.5" thickBot="1" x14ac:dyDescent="0.25">
      <c r="A117" s="1137"/>
      <c r="B117" s="2108"/>
      <c r="C117" s="5447"/>
      <c r="D117" s="5448"/>
      <c r="E117" s="5448"/>
      <c r="F117" s="5448"/>
      <c r="G117" s="5448"/>
      <c r="H117" s="5448"/>
      <c r="I117" s="5448"/>
      <c r="J117" s="5448"/>
      <c r="K117" s="5448"/>
      <c r="L117" s="5448"/>
      <c r="M117" s="5448"/>
      <c r="N117" s="5448"/>
      <c r="O117" s="5448"/>
      <c r="P117" s="5448"/>
      <c r="Q117" s="5449"/>
      <c r="R117" s="1143"/>
      <c r="S117" s="1137"/>
      <c r="T117" s="1137"/>
      <c r="U117" s="2108"/>
      <c r="V117" s="5447"/>
      <c r="W117" s="5448"/>
      <c r="X117" s="5448"/>
      <c r="Y117" s="5448"/>
      <c r="Z117" s="5448"/>
      <c r="AA117" s="5448"/>
      <c r="AB117" s="5448"/>
      <c r="AC117" s="5448"/>
      <c r="AD117" s="5448"/>
      <c r="AE117" s="5448"/>
      <c r="AF117" s="5448"/>
      <c r="AG117" s="5448"/>
      <c r="AH117" s="5448"/>
      <c r="AI117" s="5448"/>
      <c r="AJ117" s="5449"/>
      <c r="AK117" s="1143"/>
      <c r="AL117" s="1137"/>
      <c r="AM117" s="1137"/>
      <c r="AN117" s="2122"/>
      <c r="AO117" s="5447"/>
      <c r="AP117" s="5448"/>
      <c r="AQ117" s="5448"/>
      <c r="AR117" s="5448"/>
      <c r="AS117" s="5448"/>
      <c r="AT117" s="5448"/>
      <c r="AU117" s="5448"/>
      <c r="AV117" s="5448"/>
      <c r="AW117" s="5448"/>
      <c r="AX117" s="5448"/>
      <c r="AY117" s="5448"/>
      <c r="AZ117" s="5448"/>
      <c r="BA117" s="5448"/>
      <c r="BB117" s="5448"/>
      <c r="BC117" s="5449"/>
      <c r="BD117" s="1143"/>
      <c r="BE117" s="1137"/>
      <c r="BF117" s="1137"/>
      <c r="BG117" s="2122"/>
      <c r="BH117" s="5447"/>
      <c r="BI117" s="5448"/>
      <c r="BJ117" s="5448"/>
      <c r="BK117" s="5448"/>
      <c r="BL117" s="5448"/>
      <c r="BM117" s="5448"/>
      <c r="BN117" s="5448"/>
      <c r="BO117" s="5448"/>
      <c r="BP117" s="5448"/>
      <c r="BQ117" s="5448"/>
      <c r="BR117" s="5448"/>
      <c r="BS117" s="5448"/>
      <c r="BT117" s="5448"/>
      <c r="BU117" s="5448"/>
      <c r="BV117" s="5449"/>
      <c r="BW117" s="1143"/>
      <c r="BX117" s="1137"/>
      <c r="BY117" s="1137"/>
      <c r="BZ117" s="2122"/>
      <c r="CA117" s="5447"/>
      <c r="CB117" s="5448"/>
      <c r="CC117" s="5448"/>
      <c r="CD117" s="5448"/>
      <c r="CE117" s="5448"/>
      <c r="CF117" s="5448"/>
      <c r="CG117" s="5448"/>
      <c r="CH117" s="5448"/>
      <c r="CI117" s="5448"/>
      <c r="CJ117" s="5448"/>
      <c r="CK117" s="5448"/>
      <c r="CL117" s="5448"/>
      <c r="CM117" s="5448"/>
      <c r="CN117" s="5448"/>
      <c r="CO117" s="5449"/>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515"/>
      <c r="X3" s="5516"/>
      <c r="Y3" s="5516"/>
      <c r="Z3" s="5516"/>
      <c r="AA3" s="5516"/>
      <c r="AB3" s="5516"/>
      <c r="AC3" s="1268"/>
      <c r="AD3" s="1268"/>
      <c r="AE3" s="1268"/>
      <c r="AF3" s="1268"/>
      <c r="AG3" s="1268"/>
      <c r="AH3" s="1268"/>
      <c r="AI3" s="1268"/>
      <c r="AJ3" s="1268"/>
      <c r="AK3" s="1268"/>
      <c r="AL3" s="738"/>
      <c r="AM3" s="737"/>
      <c r="AN3" s="707"/>
      <c r="AO3" s="896"/>
    </row>
    <row r="4" spans="1:41" ht="12" customHeight="1" x14ac:dyDescent="0.2">
      <c r="A4" s="705"/>
      <c r="B4" s="1274"/>
      <c r="C4" s="746"/>
      <c r="D4" s="5512" t="s">
        <v>3319</v>
      </c>
      <c r="E4" s="5512"/>
      <c r="F4" s="5512"/>
      <c r="G4" s="5512"/>
      <c r="H4" s="5521" t="str">
        <f>Principal!L4</f>
        <v/>
      </c>
      <c r="I4" s="5521"/>
      <c r="J4" s="5521"/>
      <c r="K4" s="5521"/>
      <c r="L4" s="5521"/>
      <c r="M4" s="5522" t="s">
        <v>7704</v>
      </c>
      <c r="N4" s="5522"/>
      <c r="O4" s="5522"/>
      <c r="P4" s="5522"/>
      <c r="Q4" s="5522"/>
      <c r="R4" s="747"/>
      <c r="S4" s="737"/>
      <c r="T4" s="705"/>
      <c r="U4" s="706"/>
      <c r="V4" s="1274"/>
      <c r="W4" s="5517"/>
      <c r="X4" s="5518"/>
      <c r="Y4" s="5518"/>
      <c r="Z4" s="5518"/>
      <c r="AA4" s="5518"/>
      <c r="AB4" s="5518"/>
      <c r="AC4" s="1269"/>
      <c r="AD4" s="5523" t="s">
        <v>7704</v>
      </c>
      <c r="AE4" s="5523"/>
      <c r="AF4" s="5523"/>
      <c r="AG4" s="5523"/>
      <c r="AH4" s="5523"/>
      <c r="AI4" s="5523"/>
      <c r="AJ4" s="5523"/>
      <c r="AK4" s="5523"/>
      <c r="AL4" s="748"/>
      <c r="AM4" s="737"/>
      <c r="AN4" s="707"/>
      <c r="AO4" s="896"/>
    </row>
    <row r="5" spans="1:41" ht="12" customHeight="1" x14ac:dyDescent="0.2">
      <c r="A5" s="705"/>
      <c r="B5" s="1274"/>
      <c r="C5" s="5524"/>
      <c r="D5" s="5514"/>
      <c r="E5" s="5514"/>
      <c r="F5" s="5514"/>
      <c r="G5" s="5514"/>
      <c r="H5" s="5514"/>
      <c r="I5" s="5525"/>
      <c r="J5" s="5525"/>
      <c r="K5" s="5525"/>
      <c r="L5" s="5525"/>
      <c r="M5" s="5522"/>
      <c r="N5" s="5522"/>
      <c r="O5" s="5522"/>
      <c r="P5" s="5522"/>
      <c r="Q5" s="5522"/>
      <c r="R5" s="764"/>
      <c r="S5" s="737"/>
      <c r="T5" s="705"/>
      <c r="U5" s="706"/>
      <c r="V5" s="1274"/>
      <c r="W5" s="5517"/>
      <c r="X5" s="5518"/>
      <c r="Y5" s="5518"/>
      <c r="Z5" s="5518"/>
      <c r="AA5" s="5518"/>
      <c r="AB5" s="5518"/>
      <c r="AC5" s="1269"/>
      <c r="AD5" s="5523"/>
      <c r="AE5" s="5523"/>
      <c r="AF5" s="5523"/>
      <c r="AG5" s="5523"/>
      <c r="AH5" s="5523"/>
      <c r="AI5" s="5523"/>
      <c r="AJ5" s="5523"/>
      <c r="AK5" s="5523"/>
      <c r="AL5" s="748"/>
      <c r="AM5" s="737"/>
      <c r="AN5" s="707"/>
      <c r="AO5" s="896"/>
    </row>
    <row r="6" spans="1:41" ht="12" customHeight="1" x14ac:dyDescent="0.2">
      <c r="A6" s="705"/>
      <c r="B6" s="1274"/>
      <c r="C6" s="746"/>
      <c r="D6" s="5513" t="s">
        <v>3326</v>
      </c>
      <c r="E6" s="5513"/>
      <c r="F6" s="5514" t="str">
        <f>Principal!L5</f>
        <v/>
      </c>
      <c r="G6" s="5514"/>
      <c r="H6" s="5514"/>
      <c r="I6" s="767"/>
      <c r="J6" s="767"/>
      <c r="K6" s="5513"/>
      <c r="L6" s="5513"/>
      <c r="M6" s="1265"/>
      <c r="N6" s="1263"/>
      <c r="O6" s="5511"/>
      <c r="P6" s="5511"/>
      <c r="Q6" s="768"/>
      <c r="R6" s="764"/>
      <c r="S6" s="737"/>
      <c r="T6" s="705"/>
      <c r="U6" s="706"/>
      <c r="V6" s="1274"/>
      <c r="W6" s="5517"/>
      <c r="X6" s="5518"/>
      <c r="Y6" s="5518"/>
      <c r="Z6" s="5518"/>
      <c r="AA6" s="5518"/>
      <c r="AB6" s="5518"/>
      <c r="AC6" s="1269"/>
      <c r="AD6" s="5512"/>
      <c r="AE6" s="5512"/>
      <c r="AF6" s="5512"/>
      <c r="AG6" s="5512"/>
      <c r="AH6" s="5512"/>
      <c r="AI6" s="5512"/>
      <c r="AJ6" s="5512"/>
      <c r="AK6" s="5512"/>
      <c r="AL6" s="748"/>
      <c r="AM6" s="737"/>
      <c r="AN6" s="707"/>
      <c r="AO6" s="896"/>
    </row>
    <row r="7" spans="1:41" ht="12" customHeight="1" x14ac:dyDescent="0.2">
      <c r="A7" s="705"/>
      <c r="B7" s="1274"/>
      <c r="C7" s="746"/>
      <c r="D7" s="5513" t="s">
        <v>1627</v>
      </c>
      <c r="E7" s="5513"/>
      <c r="F7" s="5514" t="str">
        <f>Principal!P5</f>
        <v>0</v>
      </c>
      <c r="G7" s="5514"/>
      <c r="H7" s="5514"/>
      <c r="I7" s="771"/>
      <c r="J7" s="771"/>
      <c r="K7" s="771"/>
      <c r="L7" s="771"/>
      <c r="M7" s="5513"/>
      <c r="N7" s="5513"/>
      <c r="O7" s="772"/>
      <c r="P7" s="1263"/>
      <c r="Q7" s="1263"/>
      <c r="R7" s="764"/>
      <c r="S7" s="737"/>
      <c r="T7" s="705"/>
      <c r="U7" s="706"/>
      <c r="V7" s="1274"/>
      <c r="W7" s="5517"/>
      <c r="X7" s="5518"/>
      <c r="Y7" s="5518"/>
      <c r="Z7" s="5518"/>
      <c r="AA7" s="5518"/>
      <c r="AB7" s="5518"/>
      <c r="AC7" s="1269"/>
      <c r="AD7" s="5514" t="str">
        <f>IF(C5&lt;1,"",C5)</f>
        <v/>
      </c>
      <c r="AE7" s="5514"/>
      <c r="AF7" s="5514"/>
      <c r="AG7" s="5514"/>
      <c r="AH7" s="5514"/>
      <c r="AI7" s="5514"/>
      <c r="AJ7" s="5514"/>
      <c r="AK7" s="5514"/>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519"/>
      <c r="X8" s="5520"/>
      <c r="Y8" s="5520"/>
      <c r="Z8" s="5520"/>
      <c r="AA8" s="5520"/>
      <c r="AB8" s="5520"/>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502" t="s">
        <v>7702</v>
      </c>
      <c r="D11" s="5503"/>
      <c r="E11" s="5503"/>
      <c r="F11" s="5503"/>
      <c r="G11" s="5503"/>
      <c r="H11" s="5503"/>
      <c r="I11" s="5503"/>
      <c r="J11" s="5503"/>
      <c r="K11" s="5503"/>
      <c r="L11" s="5503"/>
      <c r="M11" s="5503"/>
      <c r="N11" s="5503"/>
      <c r="O11" s="5503"/>
      <c r="P11" s="5503"/>
      <c r="Q11" s="5504"/>
      <c r="R11" s="5505">
        <f>IF(C11="","",IF(ISNA(VLOOKUP(C11,'Tablas Técnicas'!$AD$6:$AJ$188,3,FALSE)),"-",VLOOKUP(C11,'Tablas Técnicas'!$AD$6:$AJ$188,3,FALSE)))</f>
        <v>0</v>
      </c>
      <c r="S11" s="792"/>
      <c r="T11" s="705"/>
      <c r="U11" s="705"/>
      <c r="V11" s="1271">
        <v>6</v>
      </c>
      <c r="W11" s="5502" t="s">
        <v>7702</v>
      </c>
      <c r="X11" s="5503"/>
      <c r="Y11" s="5503"/>
      <c r="Z11" s="5503"/>
      <c r="AA11" s="5503"/>
      <c r="AB11" s="5503"/>
      <c r="AC11" s="5503"/>
      <c r="AD11" s="5503"/>
      <c r="AE11" s="5503"/>
      <c r="AF11" s="5503"/>
      <c r="AG11" s="5503"/>
      <c r="AH11" s="5503"/>
      <c r="AI11" s="5503"/>
      <c r="AJ11" s="5503"/>
      <c r="AK11" s="5504"/>
      <c r="AL11" s="5505">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507"/>
      <c r="G12" s="5507"/>
      <c r="H12" s="5507"/>
      <c r="I12" s="5508" t="s">
        <v>3347</v>
      </c>
      <c r="J12" s="5508"/>
      <c r="K12" s="5508"/>
      <c r="L12" s="5509" t="str">
        <f>IF(C11="","",IF(ISNA(VLOOKUP(C11,'Tablas Técnicas'!$AD$6:$AJ$188,7,FALSE)),"-",VLOOKUP(C11,'Tablas Técnicas'!$AD$6:$AJ$188,7,FALSE)))</f>
        <v/>
      </c>
      <c r="M12" s="5509"/>
      <c r="N12" s="5509"/>
      <c r="O12" s="5509"/>
      <c r="P12" s="5509"/>
      <c r="Q12" s="5510"/>
      <c r="R12" s="5506"/>
      <c r="S12" s="737"/>
      <c r="T12" s="705"/>
      <c r="U12" s="705"/>
      <c r="V12" s="1271"/>
      <c r="W12" s="798" t="s">
        <v>1627</v>
      </c>
      <c r="X12" s="799">
        <f>IF(W11="","",IF(ISNA(VLOOKUP(W11,'Tablas Técnicas'!$AD$6:$AJ$188,2,FALSE)),"-",VLOOKUP(W11,'Tablas Técnicas'!$AD$6:$AJ$188,2,FALSE)))</f>
        <v>1</v>
      </c>
      <c r="Y12" s="800" t="s">
        <v>2165</v>
      </c>
      <c r="Z12" s="5507"/>
      <c r="AA12" s="5507"/>
      <c r="AB12" s="5507"/>
      <c r="AC12" s="5508" t="s">
        <v>3347</v>
      </c>
      <c r="AD12" s="5508"/>
      <c r="AE12" s="5508"/>
      <c r="AF12" s="5509" t="str">
        <f>IF(W11="","",IF(ISNA(VLOOKUP(W11,'Tablas Técnicas'!$AD$6:$AJ$188,7,FALSE)),"-",VLOOKUP(W11,'Tablas Técnicas'!$AD$6:$AJ$188,7,FALSE)))</f>
        <v/>
      </c>
      <c r="AG12" s="5509"/>
      <c r="AH12" s="5509"/>
      <c r="AI12" s="5509"/>
      <c r="AJ12" s="5509"/>
      <c r="AK12" s="5510"/>
      <c r="AL12" s="5506"/>
      <c r="AM12" s="737"/>
      <c r="AN12" s="707"/>
      <c r="AO12" s="896"/>
    </row>
    <row r="13" spans="1:41" ht="12" customHeight="1" x14ac:dyDescent="0.2">
      <c r="A13" s="705"/>
      <c r="B13" s="1271"/>
      <c r="C13" s="5471" t="str">
        <f>IF(C11="","",IF(ISNA(VLOOKUP(C11,'Tablas Técnicas'!$AD$6:$AJ$188,5,FALSE)),"-",VLOOKUP(C11,'Tablas Técnicas'!$AD$6:$AJ$188,5,FALSE)))</f>
        <v/>
      </c>
      <c r="D13" s="5472"/>
      <c r="E13" s="5472"/>
      <c r="F13" s="5472"/>
      <c r="G13" s="5472"/>
      <c r="H13" s="5472"/>
      <c r="I13" s="5472"/>
      <c r="J13" s="5472"/>
      <c r="K13" s="5472"/>
      <c r="L13" s="5472"/>
      <c r="M13" s="5472"/>
      <c r="N13" s="5472"/>
      <c r="O13" s="5472"/>
      <c r="P13" s="5472"/>
      <c r="Q13" s="5472"/>
      <c r="R13" s="5473"/>
      <c r="S13" s="805"/>
      <c r="T13" s="804"/>
      <c r="U13" s="705"/>
      <c r="V13" s="1271"/>
      <c r="W13" s="5471" t="str">
        <f>IF(W11="","",IF(ISNA(VLOOKUP(W11,'Tablas Técnicas'!$AD$6:$AJ$188,5,FALSE)),"-",VLOOKUP(W11,'Tablas Técnicas'!$AD$6:$AJ$188,5,FALSE)))</f>
        <v/>
      </c>
      <c r="X13" s="5472"/>
      <c r="Y13" s="5472"/>
      <c r="Z13" s="5472"/>
      <c r="AA13" s="5472"/>
      <c r="AB13" s="5472"/>
      <c r="AC13" s="5472"/>
      <c r="AD13" s="5472"/>
      <c r="AE13" s="5472"/>
      <c r="AF13" s="5472"/>
      <c r="AG13" s="5472"/>
      <c r="AH13" s="5472"/>
      <c r="AI13" s="5472"/>
      <c r="AJ13" s="5472"/>
      <c r="AK13" s="5472"/>
      <c r="AL13" s="5473"/>
      <c r="AM13" s="805"/>
      <c r="AN13" s="707"/>
      <c r="AO13" s="896"/>
    </row>
    <row r="14" spans="1:41" ht="12" customHeight="1" x14ac:dyDescent="0.2">
      <c r="A14" s="705"/>
      <c r="B14" s="1271"/>
      <c r="C14" s="5474"/>
      <c r="D14" s="5475"/>
      <c r="E14" s="5475"/>
      <c r="F14" s="5475"/>
      <c r="G14" s="5475"/>
      <c r="H14" s="5475"/>
      <c r="I14" s="5475"/>
      <c r="J14" s="5475"/>
      <c r="K14" s="5475"/>
      <c r="L14" s="5475"/>
      <c r="M14" s="5475"/>
      <c r="N14" s="5475"/>
      <c r="O14" s="5475"/>
      <c r="P14" s="5475"/>
      <c r="Q14" s="5475"/>
      <c r="R14" s="5476"/>
      <c r="S14" s="814"/>
      <c r="T14" s="804"/>
      <c r="U14" s="705"/>
      <c r="V14" s="1271"/>
      <c r="W14" s="5474"/>
      <c r="X14" s="5475"/>
      <c r="Y14" s="5475"/>
      <c r="Z14" s="5475"/>
      <c r="AA14" s="5475"/>
      <c r="AB14" s="5475"/>
      <c r="AC14" s="5475"/>
      <c r="AD14" s="5475"/>
      <c r="AE14" s="5475"/>
      <c r="AF14" s="5475"/>
      <c r="AG14" s="5475"/>
      <c r="AH14" s="5475"/>
      <c r="AI14" s="5475"/>
      <c r="AJ14" s="5475"/>
      <c r="AK14" s="5475"/>
      <c r="AL14" s="5476"/>
      <c r="AM14" s="814"/>
      <c r="AN14" s="707"/>
      <c r="AO14" s="896"/>
    </row>
    <row r="15" spans="1:41" ht="12" customHeight="1" x14ac:dyDescent="0.2">
      <c r="A15" s="705"/>
      <c r="B15" s="1271"/>
      <c r="C15" s="5474"/>
      <c r="D15" s="5475"/>
      <c r="E15" s="5475"/>
      <c r="F15" s="5475"/>
      <c r="G15" s="5475"/>
      <c r="H15" s="5475"/>
      <c r="I15" s="5475"/>
      <c r="J15" s="5475"/>
      <c r="K15" s="5475"/>
      <c r="L15" s="5475"/>
      <c r="M15" s="5475"/>
      <c r="N15" s="5475"/>
      <c r="O15" s="5475"/>
      <c r="P15" s="5475"/>
      <c r="Q15" s="5475"/>
      <c r="R15" s="5476"/>
      <c r="S15" s="814"/>
      <c r="T15" s="804"/>
      <c r="U15" s="705"/>
      <c r="V15" s="1271"/>
      <c r="W15" s="5474"/>
      <c r="X15" s="5475"/>
      <c r="Y15" s="5475"/>
      <c r="Z15" s="5475"/>
      <c r="AA15" s="5475"/>
      <c r="AB15" s="5475"/>
      <c r="AC15" s="5475"/>
      <c r="AD15" s="5475"/>
      <c r="AE15" s="5475"/>
      <c r="AF15" s="5475"/>
      <c r="AG15" s="5475"/>
      <c r="AH15" s="5475"/>
      <c r="AI15" s="5475"/>
      <c r="AJ15" s="5475"/>
      <c r="AK15" s="5475"/>
      <c r="AL15" s="5476"/>
      <c r="AM15" s="814"/>
      <c r="AN15" s="707"/>
      <c r="AO15" s="896"/>
    </row>
    <row r="16" spans="1:41" ht="12" customHeight="1" x14ac:dyDescent="0.2">
      <c r="A16" s="705"/>
      <c r="B16" s="1271"/>
      <c r="C16" s="5477"/>
      <c r="D16" s="5478"/>
      <c r="E16" s="5478"/>
      <c r="F16" s="5478"/>
      <c r="G16" s="5478"/>
      <c r="H16" s="5478"/>
      <c r="I16" s="5478"/>
      <c r="J16" s="5478"/>
      <c r="K16" s="5478"/>
      <c r="L16" s="5478"/>
      <c r="M16" s="5478"/>
      <c r="N16" s="5478"/>
      <c r="O16" s="5478"/>
      <c r="P16" s="5478"/>
      <c r="Q16" s="5478"/>
      <c r="R16" s="5479"/>
      <c r="S16" s="814"/>
      <c r="T16" s="804"/>
      <c r="U16" s="705"/>
      <c r="V16" s="1271"/>
      <c r="W16" s="5477"/>
      <c r="X16" s="5478"/>
      <c r="Y16" s="5478"/>
      <c r="Z16" s="5478"/>
      <c r="AA16" s="5478"/>
      <c r="AB16" s="5478"/>
      <c r="AC16" s="5478"/>
      <c r="AD16" s="5478"/>
      <c r="AE16" s="5478"/>
      <c r="AF16" s="5478"/>
      <c r="AG16" s="5478"/>
      <c r="AH16" s="5478"/>
      <c r="AI16" s="5478"/>
      <c r="AJ16" s="5478"/>
      <c r="AK16" s="5478"/>
      <c r="AL16" s="5479"/>
      <c r="AM16" s="814"/>
      <c r="AN16" s="707"/>
      <c r="AO16" s="896"/>
    </row>
    <row r="17" spans="1:43" ht="12" customHeight="1" x14ac:dyDescent="0.2">
      <c r="A17" s="705"/>
      <c r="B17" s="1275"/>
      <c r="C17" s="5480" t="str">
        <f>"Desventajas: "&amp;IF(C11="","",IF(ISNA(VLOOKUP(C11,'Tablas Técnicas'!$AD$6:$AJ$188,6,FALSE)),"-",VLOOKUP(C11,'Tablas Técnicas'!$AD$6:$AJ$188,6,FALSE)))</f>
        <v xml:space="preserve">Desventajas: </v>
      </c>
      <c r="D17" s="5481"/>
      <c r="E17" s="5481"/>
      <c r="F17" s="5481"/>
      <c r="G17" s="5481"/>
      <c r="H17" s="5481"/>
      <c r="I17" s="5481"/>
      <c r="J17" s="5481"/>
      <c r="K17" s="5481"/>
      <c r="L17" s="5481"/>
      <c r="M17" s="5481"/>
      <c r="N17" s="5482"/>
      <c r="O17" s="5486" t="s">
        <v>3367</v>
      </c>
      <c r="P17" s="5487"/>
      <c r="Q17" s="5487"/>
      <c r="R17" s="5488"/>
      <c r="S17" s="737"/>
      <c r="T17" s="705"/>
      <c r="U17" s="705"/>
      <c r="V17" s="1275"/>
      <c r="W17" s="5480" t="str">
        <f>"Desventajas: "&amp;IF(W11="","",IF(ISNA(VLOOKUP(W11,'Tablas Técnicas'!$AD$6:$AJ$188,6,FALSE)),"-",VLOOKUP(W11,'Tablas Técnicas'!$AD$6:$AJ$188,6,FALSE)))</f>
        <v xml:space="preserve">Desventajas: </v>
      </c>
      <c r="X17" s="5481"/>
      <c r="Y17" s="5481"/>
      <c r="Z17" s="5481"/>
      <c r="AA17" s="5481"/>
      <c r="AB17" s="5481"/>
      <c r="AC17" s="5481"/>
      <c r="AD17" s="5481"/>
      <c r="AE17" s="5481"/>
      <c r="AF17" s="5481"/>
      <c r="AG17" s="5481"/>
      <c r="AH17" s="5482"/>
      <c r="AI17" s="5486" t="s">
        <v>3367</v>
      </c>
      <c r="AJ17" s="5487"/>
      <c r="AK17" s="5487"/>
      <c r="AL17" s="5488"/>
      <c r="AM17" s="737"/>
      <c r="AN17" s="707"/>
      <c r="AO17" s="896"/>
      <c r="AQ17" s="1386"/>
    </row>
    <row r="18" spans="1:43" ht="12" customHeight="1" x14ac:dyDescent="0.2">
      <c r="A18" s="705"/>
      <c r="B18" s="1271"/>
      <c r="C18" s="5483"/>
      <c r="D18" s="5484"/>
      <c r="E18" s="5484"/>
      <c r="F18" s="5484"/>
      <c r="G18" s="5484"/>
      <c r="H18" s="5484"/>
      <c r="I18" s="5484"/>
      <c r="J18" s="5484"/>
      <c r="K18" s="5484"/>
      <c r="L18" s="5484"/>
      <c r="M18" s="5484"/>
      <c r="N18" s="5485"/>
      <c r="O18" s="5489"/>
      <c r="P18" s="5490"/>
      <c r="Q18" s="5490"/>
      <c r="R18" s="5491"/>
      <c r="S18" s="737"/>
      <c r="T18" s="705"/>
      <c r="U18" s="705"/>
      <c r="V18" s="1271"/>
      <c r="W18" s="5483"/>
      <c r="X18" s="5484"/>
      <c r="Y18" s="5484"/>
      <c r="Z18" s="5484"/>
      <c r="AA18" s="5484"/>
      <c r="AB18" s="5484"/>
      <c r="AC18" s="5484"/>
      <c r="AD18" s="5484"/>
      <c r="AE18" s="5484"/>
      <c r="AF18" s="5484"/>
      <c r="AG18" s="5484"/>
      <c r="AH18" s="5485"/>
      <c r="AI18" s="5489"/>
      <c r="AJ18" s="5490"/>
      <c r="AK18" s="5490"/>
      <c r="AL18" s="5491"/>
      <c r="AM18" s="737"/>
      <c r="AN18" s="707"/>
      <c r="AO18" s="896"/>
    </row>
    <row r="19" spans="1:43" ht="12" customHeight="1" x14ac:dyDescent="0.2">
      <c r="A19" s="705"/>
      <c r="B19" s="1275"/>
      <c r="C19" s="5498" t="str">
        <f>IF(C11="","",IF(ISNA(VLOOKUP(C11,'Tablas Técnicas'!$AD$6:$AJ$188,4,FALSE)),"-",VLOOKUP(C11,'Tablas Técnicas'!$AD$6:$AJ$188,4,FALSE)))</f>
        <v/>
      </c>
      <c r="D19" s="5499"/>
      <c r="E19" s="5499"/>
      <c r="F19" s="5499"/>
      <c r="G19" s="5499"/>
      <c r="H19" s="5499"/>
      <c r="I19" s="5499"/>
      <c r="J19" s="5499"/>
      <c r="K19" s="5499"/>
      <c r="L19" s="5499"/>
      <c r="M19" s="5499"/>
      <c r="N19" s="5499"/>
      <c r="O19" s="5492"/>
      <c r="P19" s="5493"/>
      <c r="Q19" s="5493"/>
      <c r="R19" s="5494"/>
      <c r="S19" s="737"/>
      <c r="T19" s="705"/>
      <c r="U19" s="705"/>
      <c r="V19" s="1275"/>
      <c r="W19" s="5498" t="str">
        <f>IF(W11="","",IF(ISNA(VLOOKUP(W11,'Tablas Técnicas'!$AD$6:$AJ$188,4,FALSE)),"-",VLOOKUP(W11,'Tablas Técnicas'!$AD$6:$AJ$188,4,FALSE)))</f>
        <v/>
      </c>
      <c r="X19" s="5499"/>
      <c r="Y19" s="5499"/>
      <c r="Z19" s="5499"/>
      <c r="AA19" s="5499"/>
      <c r="AB19" s="5499"/>
      <c r="AC19" s="5499"/>
      <c r="AD19" s="5499"/>
      <c r="AE19" s="5499"/>
      <c r="AF19" s="5499"/>
      <c r="AG19" s="5499"/>
      <c r="AH19" s="5499"/>
      <c r="AI19" s="5492"/>
      <c r="AJ19" s="5493"/>
      <c r="AK19" s="5493"/>
      <c r="AL19" s="5494"/>
      <c r="AM19" s="737"/>
      <c r="AN19" s="707"/>
      <c r="AO19" s="896"/>
    </row>
    <row r="20" spans="1:43" ht="12" customHeight="1" thickBot="1" x14ac:dyDescent="0.25">
      <c r="A20" s="705"/>
      <c r="B20" s="1271"/>
      <c r="C20" s="5500"/>
      <c r="D20" s="5501"/>
      <c r="E20" s="5501"/>
      <c r="F20" s="5501"/>
      <c r="G20" s="5501"/>
      <c r="H20" s="5501"/>
      <c r="I20" s="5501"/>
      <c r="J20" s="5501"/>
      <c r="K20" s="5501"/>
      <c r="L20" s="5501"/>
      <c r="M20" s="5501"/>
      <c r="N20" s="5501"/>
      <c r="O20" s="5495"/>
      <c r="P20" s="5496"/>
      <c r="Q20" s="5496"/>
      <c r="R20" s="5497"/>
      <c r="S20" s="737"/>
      <c r="T20" s="705"/>
      <c r="U20" s="705"/>
      <c r="V20" s="1271"/>
      <c r="W20" s="5500"/>
      <c r="X20" s="5501"/>
      <c r="Y20" s="5501"/>
      <c r="Z20" s="5501"/>
      <c r="AA20" s="5501"/>
      <c r="AB20" s="5501"/>
      <c r="AC20" s="5501"/>
      <c r="AD20" s="5501"/>
      <c r="AE20" s="5501"/>
      <c r="AF20" s="5501"/>
      <c r="AG20" s="5501"/>
      <c r="AH20" s="5501"/>
      <c r="AI20" s="5495"/>
      <c r="AJ20" s="5496"/>
      <c r="AK20" s="5496"/>
      <c r="AL20" s="5497"/>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502" t="s">
        <v>7702</v>
      </c>
      <c r="D22" s="5503"/>
      <c r="E22" s="5503"/>
      <c r="F22" s="5503"/>
      <c r="G22" s="5503"/>
      <c r="H22" s="5503"/>
      <c r="I22" s="5503"/>
      <c r="J22" s="5503"/>
      <c r="K22" s="5503"/>
      <c r="L22" s="5503"/>
      <c r="M22" s="5503"/>
      <c r="N22" s="5503"/>
      <c r="O22" s="5503"/>
      <c r="P22" s="5503"/>
      <c r="Q22" s="5504"/>
      <c r="R22" s="5505">
        <f>IF(C22="","",IF(ISNA(VLOOKUP(C22,'Tablas Técnicas'!$AD$6:$AJ$188,3,FALSE)),"-",VLOOKUP(C22,'Tablas Técnicas'!$AD$6:$AJ$188,3,FALSE)))</f>
        <v>0</v>
      </c>
      <c r="S22" s="792"/>
      <c r="T22" s="705"/>
      <c r="U22" s="705"/>
      <c r="V22" s="1271">
        <v>7</v>
      </c>
      <c r="W22" s="5502" t="s">
        <v>7702</v>
      </c>
      <c r="X22" s="5503"/>
      <c r="Y22" s="5503"/>
      <c r="Z22" s="5503"/>
      <c r="AA22" s="5503"/>
      <c r="AB22" s="5503"/>
      <c r="AC22" s="5503"/>
      <c r="AD22" s="5503"/>
      <c r="AE22" s="5503"/>
      <c r="AF22" s="5503"/>
      <c r="AG22" s="5503"/>
      <c r="AH22" s="5503"/>
      <c r="AI22" s="5503"/>
      <c r="AJ22" s="5503"/>
      <c r="AK22" s="5504"/>
      <c r="AL22" s="5505">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507"/>
      <c r="G23" s="5507"/>
      <c r="H23" s="5507"/>
      <c r="I23" s="5508" t="s">
        <v>3347</v>
      </c>
      <c r="J23" s="5508"/>
      <c r="K23" s="5508"/>
      <c r="L23" s="5509" t="str">
        <f>IF(C22="","",IF(ISNA(VLOOKUP(C22,'Tablas Técnicas'!$AD$6:$AJ$188,7,FALSE)),"-",VLOOKUP(C22,'Tablas Técnicas'!$AD$6:$AJ$188,7,FALSE)))</f>
        <v/>
      </c>
      <c r="M23" s="5509"/>
      <c r="N23" s="5509"/>
      <c r="O23" s="5509"/>
      <c r="P23" s="5509"/>
      <c r="Q23" s="5510"/>
      <c r="R23" s="5506"/>
      <c r="S23" s="737"/>
      <c r="T23" s="705"/>
      <c r="U23" s="705"/>
      <c r="V23" s="1271"/>
      <c r="W23" s="798" t="s">
        <v>1627</v>
      </c>
      <c r="X23" s="799">
        <f>IF(W22="","",IF(ISNA(VLOOKUP(W22,'Tablas Técnicas'!$AD$6:$AJ$188,2,FALSE)),"-",VLOOKUP(W22,'Tablas Técnicas'!$AD$6:$AJ$188,2,FALSE)))</f>
        <v>1</v>
      </c>
      <c r="Y23" s="800" t="s">
        <v>2165</v>
      </c>
      <c r="Z23" s="5507"/>
      <c r="AA23" s="5507"/>
      <c r="AB23" s="5507"/>
      <c r="AC23" s="5508" t="s">
        <v>3347</v>
      </c>
      <c r="AD23" s="5508"/>
      <c r="AE23" s="5508"/>
      <c r="AF23" s="5509" t="str">
        <f>IF(W22="","",IF(ISNA(VLOOKUP(W22,'Tablas Técnicas'!$AD$6:$AJ$188,7,FALSE)),"-",VLOOKUP(W22,'Tablas Técnicas'!$AD$6:$AJ$188,7,FALSE)))</f>
        <v/>
      </c>
      <c r="AG23" s="5509"/>
      <c r="AH23" s="5509"/>
      <c r="AI23" s="5509"/>
      <c r="AJ23" s="5509"/>
      <c r="AK23" s="5510"/>
      <c r="AL23" s="5506"/>
      <c r="AM23" s="737"/>
      <c r="AN23" s="707"/>
      <c r="AO23" s="896"/>
    </row>
    <row r="24" spans="1:43" ht="12" customHeight="1" x14ac:dyDescent="0.2">
      <c r="A24" s="705"/>
      <c r="B24" s="1271"/>
      <c r="C24" s="5471" t="str">
        <f>IF(C22="","",IF(ISNA(VLOOKUP(C22,'Tablas Técnicas'!$AD$6:$AJ$188,5,FALSE)),"-",VLOOKUP(C22,'Tablas Técnicas'!$AD$6:$AJ$188,5,FALSE)))</f>
        <v/>
      </c>
      <c r="D24" s="5472"/>
      <c r="E24" s="5472"/>
      <c r="F24" s="5472"/>
      <c r="G24" s="5472"/>
      <c r="H24" s="5472"/>
      <c r="I24" s="5472"/>
      <c r="J24" s="5472"/>
      <c r="K24" s="5472"/>
      <c r="L24" s="5472"/>
      <c r="M24" s="5472"/>
      <c r="N24" s="5472"/>
      <c r="O24" s="5472"/>
      <c r="P24" s="5472"/>
      <c r="Q24" s="5472"/>
      <c r="R24" s="5473"/>
      <c r="S24" s="805"/>
      <c r="T24" s="804"/>
      <c r="U24" s="705"/>
      <c r="V24" s="1271"/>
      <c r="W24" s="5471" t="str">
        <f>IF(W22="","",IF(ISNA(VLOOKUP(W22,'Tablas Técnicas'!$AD$6:$AJ$188,5,FALSE)),"-",VLOOKUP(W22,'Tablas Técnicas'!$AD$6:$AJ$188,5,FALSE)))</f>
        <v/>
      </c>
      <c r="X24" s="5472"/>
      <c r="Y24" s="5472"/>
      <c r="Z24" s="5472"/>
      <c r="AA24" s="5472"/>
      <c r="AB24" s="5472"/>
      <c r="AC24" s="5472"/>
      <c r="AD24" s="5472"/>
      <c r="AE24" s="5472"/>
      <c r="AF24" s="5472"/>
      <c r="AG24" s="5472"/>
      <c r="AH24" s="5472"/>
      <c r="AI24" s="5472"/>
      <c r="AJ24" s="5472"/>
      <c r="AK24" s="5472"/>
      <c r="AL24" s="5473"/>
      <c r="AM24" s="805"/>
      <c r="AN24" s="707"/>
      <c r="AO24" s="896"/>
    </row>
    <row r="25" spans="1:43" ht="12" customHeight="1" x14ac:dyDescent="0.2">
      <c r="A25" s="705"/>
      <c r="B25" s="1271"/>
      <c r="C25" s="5474"/>
      <c r="D25" s="5475"/>
      <c r="E25" s="5475"/>
      <c r="F25" s="5475"/>
      <c r="G25" s="5475"/>
      <c r="H25" s="5475"/>
      <c r="I25" s="5475"/>
      <c r="J25" s="5475"/>
      <c r="K25" s="5475"/>
      <c r="L25" s="5475"/>
      <c r="M25" s="5475"/>
      <c r="N25" s="5475"/>
      <c r="O25" s="5475"/>
      <c r="P25" s="5475"/>
      <c r="Q25" s="5475"/>
      <c r="R25" s="5476"/>
      <c r="S25" s="814"/>
      <c r="T25" s="804"/>
      <c r="U25" s="705"/>
      <c r="V25" s="1271"/>
      <c r="W25" s="5474"/>
      <c r="X25" s="5475"/>
      <c r="Y25" s="5475"/>
      <c r="Z25" s="5475"/>
      <c r="AA25" s="5475"/>
      <c r="AB25" s="5475"/>
      <c r="AC25" s="5475"/>
      <c r="AD25" s="5475"/>
      <c r="AE25" s="5475"/>
      <c r="AF25" s="5475"/>
      <c r="AG25" s="5475"/>
      <c r="AH25" s="5475"/>
      <c r="AI25" s="5475"/>
      <c r="AJ25" s="5475"/>
      <c r="AK25" s="5475"/>
      <c r="AL25" s="5476"/>
      <c r="AM25" s="814"/>
      <c r="AN25" s="707"/>
      <c r="AO25" s="896"/>
    </row>
    <row r="26" spans="1:43" ht="12" customHeight="1" x14ac:dyDescent="0.2">
      <c r="A26" s="705"/>
      <c r="B26" s="1271"/>
      <c r="C26" s="5474"/>
      <c r="D26" s="5475"/>
      <c r="E26" s="5475"/>
      <c r="F26" s="5475"/>
      <c r="G26" s="5475"/>
      <c r="H26" s="5475"/>
      <c r="I26" s="5475"/>
      <c r="J26" s="5475"/>
      <c r="K26" s="5475"/>
      <c r="L26" s="5475"/>
      <c r="M26" s="5475"/>
      <c r="N26" s="5475"/>
      <c r="O26" s="5475"/>
      <c r="P26" s="5475"/>
      <c r="Q26" s="5475"/>
      <c r="R26" s="5476"/>
      <c r="S26" s="814"/>
      <c r="T26" s="804"/>
      <c r="U26" s="705"/>
      <c r="V26" s="1271"/>
      <c r="W26" s="5474"/>
      <c r="X26" s="5475"/>
      <c r="Y26" s="5475"/>
      <c r="Z26" s="5475"/>
      <c r="AA26" s="5475"/>
      <c r="AB26" s="5475"/>
      <c r="AC26" s="5475"/>
      <c r="AD26" s="5475"/>
      <c r="AE26" s="5475"/>
      <c r="AF26" s="5475"/>
      <c r="AG26" s="5475"/>
      <c r="AH26" s="5475"/>
      <c r="AI26" s="5475"/>
      <c r="AJ26" s="5475"/>
      <c r="AK26" s="5475"/>
      <c r="AL26" s="5476"/>
      <c r="AM26" s="814"/>
      <c r="AN26" s="707"/>
      <c r="AO26" s="896"/>
    </row>
    <row r="27" spans="1:43" ht="12" customHeight="1" x14ac:dyDescent="0.2">
      <c r="A27" s="705"/>
      <c r="B27" s="1271"/>
      <c r="C27" s="5477"/>
      <c r="D27" s="5478"/>
      <c r="E27" s="5478"/>
      <c r="F27" s="5478"/>
      <c r="G27" s="5478"/>
      <c r="H27" s="5478"/>
      <c r="I27" s="5478"/>
      <c r="J27" s="5478"/>
      <c r="K27" s="5478"/>
      <c r="L27" s="5478"/>
      <c r="M27" s="5478"/>
      <c r="N27" s="5478"/>
      <c r="O27" s="5478"/>
      <c r="P27" s="5478"/>
      <c r="Q27" s="5478"/>
      <c r="R27" s="5479"/>
      <c r="S27" s="814"/>
      <c r="T27" s="804"/>
      <c r="U27" s="705"/>
      <c r="V27" s="1271"/>
      <c r="W27" s="5477"/>
      <c r="X27" s="5478"/>
      <c r="Y27" s="5478"/>
      <c r="Z27" s="5478"/>
      <c r="AA27" s="5478"/>
      <c r="AB27" s="5478"/>
      <c r="AC27" s="5478"/>
      <c r="AD27" s="5478"/>
      <c r="AE27" s="5478"/>
      <c r="AF27" s="5478"/>
      <c r="AG27" s="5478"/>
      <c r="AH27" s="5478"/>
      <c r="AI27" s="5478"/>
      <c r="AJ27" s="5478"/>
      <c r="AK27" s="5478"/>
      <c r="AL27" s="5479"/>
      <c r="AM27" s="814"/>
      <c r="AN27" s="707"/>
      <c r="AO27" s="896"/>
    </row>
    <row r="28" spans="1:43" ht="12" customHeight="1" x14ac:dyDescent="0.2">
      <c r="A28" s="705"/>
      <c r="B28" s="1275"/>
      <c r="C28" s="5480" t="str">
        <f>"Desventajas: "&amp;IF(C22="","",IF(ISNA(VLOOKUP(C22,'Tablas Técnicas'!$AD$6:$AJ$188,6,FALSE)),"-",VLOOKUP(C22,'Tablas Técnicas'!$AD$6:$AJ$188,6,FALSE)))</f>
        <v xml:space="preserve">Desventajas: </v>
      </c>
      <c r="D28" s="5481"/>
      <c r="E28" s="5481"/>
      <c r="F28" s="5481"/>
      <c r="G28" s="5481"/>
      <c r="H28" s="5481"/>
      <c r="I28" s="5481"/>
      <c r="J28" s="5481"/>
      <c r="K28" s="5481"/>
      <c r="L28" s="5481"/>
      <c r="M28" s="5481"/>
      <c r="N28" s="5482"/>
      <c r="O28" s="5486" t="s">
        <v>3367</v>
      </c>
      <c r="P28" s="5487"/>
      <c r="Q28" s="5487"/>
      <c r="R28" s="5488"/>
      <c r="S28" s="737"/>
      <c r="T28" s="705"/>
      <c r="U28" s="705"/>
      <c r="V28" s="1275"/>
      <c r="W28" s="5480" t="str">
        <f>"Desventajas: "&amp;IF(W22="","",IF(ISNA(VLOOKUP(W22,'Tablas Técnicas'!$AD$6:$AJ$188,6,FALSE)),"-",VLOOKUP(W22,'Tablas Técnicas'!$AD$6:$AJ$188,6,FALSE)))</f>
        <v xml:space="preserve">Desventajas: </v>
      </c>
      <c r="X28" s="5481"/>
      <c r="Y28" s="5481"/>
      <c r="Z28" s="5481"/>
      <c r="AA28" s="5481"/>
      <c r="AB28" s="5481"/>
      <c r="AC28" s="5481"/>
      <c r="AD28" s="5481"/>
      <c r="AE28" s="5481"/>
      <c r="AF28" s="5481"/>
      <c r="AG28" s="5481"/>
      <c r="AH28" s="5482"/>
      <c r="AI28" s="5486" t="s">
        <v>3367</v>
      </c>
      <c r="AJ28" s="5487"/>
      <c r="AK28" s="5487"/>
      <c r="AL28" s="5488"/>
      <c r="AM28" s="737"/>
      <c r="AN28" s="707"/>
      <c r="AO28" s="896"/>
    </row>
    <row r="29" spans="1:43" ht="12" customHeight="1" x14ac:dyDescent="0.2">
      <c r="A29" s="705"/>
      <c r="B29" s="1271"/>
      <c r="C29" s="5483"/>
      <c r="D29" s="5484"/>
      <c r="E29" s="5484"/>
      <c r="F29" s="5484"/>
      <c r="G29" s="5484"/>
      <c r="H29" s="5484"/>
      <c r="I29" s="5484"/>
      <c r="J29" s="5484"/>
      <c r="K29" s="5484"/>
      <c r="L29" s="5484"/>
      <c r="M29" s="5484"/>
      <c r="N29" s="5485"/>
      <c r="O29" s="5489"/>
      <c r="P29" s="5490"/>
      <c r="Q29" s="5490"/>
      <c r="R29" s="5491"/>
      <c r="S29" s="737"/>
      <c r="T29" s="705"/>
      <c r="U29" s="705"/>
      <c r="V29" s="1271"/>
      <c r="W29" s="5483"/>
      <c r="X29" s="5484"/>
      <c r="Y29" s="5484"/>
      <c r="Z29" s="5484"/>
      <c r="AA29" s="5484"/>
      <c r="AB29" s="5484"/>
      <c r="AC29" s="5484"/>
      <c r="AD29" s="5484"/>
      <c r="AE29" s="5484"/>
      <c r="AF29" s="5484"/>
      <c r="AG29" s="5484"/>
      <c r="AH29" s="5485"/>
      <c r="AI29" s="5489"/>
      <c r="AJ29" s="5490"/>
      <c r="AK29" s="5490"/>
      <c r="AL29" s="5491"/>
      <c r="AM29" s="737"/>
      <c r="AN29" s="707"/>
      <c r="AO29" s="896"/>
    </row>
    <row r="30" spans="1:43" ht="12" customHeight="1" x14ac:dyDescent="0.2">
      <c r="A30" s="705"/>
      <c r="B30" s="1275"/>
      <c r="C30" s="5498" t="str">
        <f>IF(C22="","",IF(ISNA(VLOOKUP(C22,'Tablas Técnicas'!$AD$6:$AJ$188,4,FALSE)),"-",VLOOKUP(C22,'Tablas Técnicas'!$AD$6:$AJ$188,4,FALSE)))</f>
        <v/>
      </c>
      <c r="D30" s="5499"/>
      <c r="E30" s="5499"/>
      <c r="F30" s="5499"/>
      <c r="G30" s="5499"/>
      <c r="H30" s="5499"/>
      <c r="I30" s="5499"/>
      <c r="J30" s="5499"/>
      <c r="K30" s="5499"/>
      <c r="L30" s="5499"/>
      <c r="M30" s="5499"/>
      <c r="N30" s="5499"/>
      <c r="O30" s="5492"/>
      <c r="P30" s="5493"/>
      <c r="Q30" s="5493"/>
      <c r="R30" s="5494"/>
      <c r="S30" s="737"/>
      <c r="T30" s="705"/>
      <c r="U30" s="705"/>
      <c r="V30" s="1275"/>
      <c r="W30" s="5498" t="str">
        <f>IF(W22="","",IF(ISNA(VLOOKUP(W22,'Tablas Técnicas'!$AD$6:$AJ$188,4,FALSE)),"-",VLOOKUP(W22,'Tablas Técnicas'!$AD$6:$AJ$188,4,FALSE)))</f>
        <v/>
      </c>
      <c r="X30" s="5499"/>
      <c r="Y30" s="5499"/>
      <c r="Z30" s="5499"/>
      <c r="AA30" s="5499"/>
      <c r="AB30" s="5499"/>
      <c r="AC30" s="5499"/>
      <c r="AD30" s="5499"/>
      <c r="AE30" s="5499"/>
      <c r="AF30" s="5499"/>
      <c r="AG30" s="5499"/>
      <c r="AH30" s="5499"/>
      <c r="AI30" s="5492"/>
      <c r="AJ30" s="5493"/>
      <c r="AK30" s="5493"/>
      <c r="AL30" s="5494"/>
      <c r="AM30" s="737"/>
      <c r="AN30" s="707"/>
      <c r="AO30" s="896"/>
    </row>
    <row r="31" spans="1:43" ht="12" customHeight="1" thickBot="1" x14ac:dyDescent="0.25">
      <c r="A31" s="705"/>
      <c r="B31" s="1271"/>
      <c r="C31" s="5500"/>
      <c r="D31" s="5501"/>
      <c r="E31" s="5501"/>
      <c r="F31" s="5501"/>
      <c r="G31" s="5501"/>
      <c r="H31" s="5501"/>
      <c r="I31" s="5501"/>
      <c r="J31" s="5501"/>
      <c r="K31" s="5501"/>
      <c r="L31" s="5501"/>
      <c r="M31" s="5501"/>
      <c r="N31" s="5501"/>
      <c r="O31" s="5495"/>
      <c r="P31" s="5496"/>
      <c r="Q31" s="5496"/>
      <c r="R31" s="5497"/>
      <c r="S31" s="737"/>
      <c r="T31" s="705"/>
      <c r="U31" s="705"/>
      <c r="V31" s="1271"/>
      <c r="W31" s="5500"/>
      <c r="X31" s="5501"/>
      <c r="Y31" s="5501"/>
      <c r="Z31" s="5501"/>
      <c r="AA31" s="5501"/>
      <c r="AB31" s="5501"/>
      <c r="AC31" s="5501"/>
      <c r="AD31" s="5501"/>
      <c r="AE31" s="5501"/>
      <c r="AF31" s="5501"/>
      <c r="AG31" s="5501"/>
      <c r="AH31" s="5501"/>
      <c r="AI31" s="5495"/>
      <c r="AJ31" s="5496"/>
      <c r="AK31" s="5496"/>
      <c r="AL31" s="5497"/>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502" t="s">
        <v>7702</v>
      </c>
      <c r="D33" s="5503"/>
      <c r="E33" s="5503"/>
      <c r="F33" s="5503"/>
      <c r="G33" s="5503"/>
      <c r="H33" s="5503"/>
      <c r="I33" s="5503"/>
      <c r="J33" s="5503"/>
      <c r="K33" s="5503"/>
      <c r="L33" s="5503"/>
      <c r="M33" s="5503"/>
      <c r="N33" s="5503"/>
      <c r="O33" s="5503"/>
      <c r="P33" s="5503"/>
      <c r="Q33" s="5504"/>
      <c r="R33" s="5505">
        <f>IF(C33="","",IF(ISNA(VLOOKUP(C33,'Tablas Técnicas'!$AD$6:$AJ$188,3,FALSE)),"-",VLOOKUP(C33,'Tablas Técnicas'!$AD$6:$AJ$188,3,FALSE)))</f>
        <v>0</v>
      </c>
      <c r="S33" s="792"/>
      <c r="T33" s="705"/>
      <c r="U33" s="705"/>
      <c r="V33" s="1271">
        <v>8</v>
      </c>
      <c r="W33" s="5502" t="s">
        <v>7702</v>
      </c>
      <c r="X33" s="5503"/>
      <c r="Y33" s="5503"/>
      <c r="Z33" s="5503"/>
      <c r="AA33" s="5503"/>
      <c r="AB33" s="5503"/>
      <c r="AC33" s="5503"/>
      <c r="AD33" s="5503"/>
      <c r="AE33" s="5503"/>
      <c r="AF33" s="5503"/>
      <c r="AG33" s="5503"/>
      <c r="AH33" s="5503"/>
      <c r="AI33" s="5503"/>
      <c r="AJ33" s="5503"/>
      <c r="AK33" s="5504"/>
      <c r="AL33" s="5505">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507"/>
      <c r="G34" s="5507"/>
      <c r="H34" s="5507"/>
      <c r="I34" s="5508" t="s">
        <v>3347</v>
      </c>
      <c r="J34" s="5508"/>
      <c r="K34" s="5508"/>
      <c r="L34" s="5509" t="str">
        <f>IF(C33="","",IF(ISNA(VLOOKUP(C33,'Tablas Técnicas'!$AD$6:$AJ$188,7,FALSE)),"-",VLOOKUP(C33,'Tablas Técnicas'!$AD$6:$AJ$188,7,FALSE)))</f>
        <v/>
      </c>
      <c r="M34" s="5509"/>
      <c r="N34" s="5509"/>
      <c r="O34" s="5509"/>
      <c r="P34" s="5509"/>
      <c r="Q34" s="5510"/>
      <c r="R34" s="5506"/>
      <c r="S34" s="737"/>
      <c r="T34" s="705"/>
      <c r="U34" s="705"/>
      <c r="V34" s="1271"/>
      <c r="W34" s="798" t="s">
        <v>1627</v>
      </c>
      <c r="X34" s="799">
        <f>IF(W33="","",IF(ISNA(VLOOKUP(W33,'Tablas Técnicas'!$AD$6:$AJ$188,2,FALSE)),"-",VLOOKUP(W33,'Tablas Técnicas'!$AD$6:$AJ$188,2,FALSE)))</f>
        <v>1</v>
      </c>
      <c r="Y34" s="800" t="s">
        <v>2165</v>
      </c>
      <c r="Z34" s="5507"/>
      <c r="AA34" s="5507"/>
      <c r="AB34" s="5507"/>
      <c r="AC34" s="5508" t="s">
        <v>3347</v>
      </c>
      <c r="AD34" s="5508"/>
      <c r="AE34" s="5508"/>
      <c r="AF34" s="5509" t="str">
        <f>IF(W33="","",IF(ISNA(VLOOKUP(W33,'Tablas Técnicas'!$AD$6:$AJ$188,7,FALSE)),"-",VLOOKUP(W33,'Tablas Técnicas'!$AD$6:$AJ$188,7,FALSE)))</f>
        <v/>
      </c>
      <c r="AG34" s="5509"/>
      <c r="AH34" s="5509"/>
      <c r="AI34" s="5509"/>
      <c r="AJ34" s="5509"/>
      <c r="AK34" s="5510"/>
      <c r="AL34" s="5506"/>
      <c r="AM34" s="737"/>
      <c r="AN34" s="707"/>
      <c r="AO34" s="896"/>
    </row>
    <row r="35" spans="1:41" ht="12" customHeight="1" x14ac:dyDescent="0.2">
      <c r="A35" s="705"/>
      <c r="B35" s="1271"/>
      <c r="C35" s="5471" t="str">
        <f>IF(C33="","",IF(ISNA(VLOOKUP(C33,'Tablas Técnicas'!$AD$6:$AJ$188,5,FALSE)),"-",VLOOKUP(C33,'Tablas Técnicas'!$AD$6:$AJ$188,5,FALSE)))</f>
        <v/>
      </c>
      <c r="D35" s="5472"/>
      <c r="E35" s="5472"/>
      <c r="F35" s="5472"/>
      <c r="G35" s="5472"/>
      <c r="H35" s="5472"/>
      <c r="I35" s="5472"/>
      <c r="J35" s="5472"/>
      <c r="K35" s="5472"/>
      <c r="L35" s="5472"/>
      <c r="M35" s="5472"/>
      <c r="N35" s="5472"/>
      <c r="O35" s="5472"/>
      <c r="P35" s="5472"/>
      <c r="Q35" s="5472"/>
      <c r="R35" s="5473"/>
      <c r="S35" s="805"/>
      <c r="T35" s="804"/>
      <c r="U35" s="705"/>
      <c r="V35" s="1271"/>
      <c r="W35" s="5471" t="str">
        <f>IF(W33="","",IF(ISNA(VLOOKUP(W33,'Tablas Técnicas'!$AD$6:$AJ$188,5,FALSE)),"-",VLOOKUP(W33,'Tablas Técnicas'!$AD$6:$AJ$188,5,FALSE)))</f>
        <v/>
      </c>
      <c r="X35" s="5472"/>
      <c r="Y35" s="5472"/>
      <c r="Z35" s="5472"/>
      <c r="AA35" s="5472"/>
      <c r="AB35" s="5472"/>
      <c r="AC35" s="5472"/>
      <c r="AD35" s="5472"/>
      <c r="AE35" s="5472"/>
      <c r="AF35" s="5472"/>
      <c r="AG35" s="5472"/>
      <c r="AH35" s="5472"/>
      <c r="AI35" s="5472"/>
      <c r="AJ35" s="5472"/>
      <c r="AK35" s="5472"/>
      <c r="AL35" s="5473"/>
      <c r="AM35" s="805"/>
      <c r="AN35" s="707"/>
      <c r="AO35" s="896"/>
    </row>
    <row r="36" spans="1:41" ht="12" customHeight="1" x14ac:dyDescent="0.2">
      <c r="A36" s="705"/>
      <c r="B36" s="1271"/>
      <c r="C36" s="5474"/>
      <c r="D36" s="5475"/>
      <c r="E36" s="5475"/>
      <c r="F36" s="5475"/>
      <c r="G36" s="5475"/>
      <c r="H36" s="5475"/>
      <c r="I36" s="5475"/>
      <c r="J36" s="5475"/>
      <c r="K36" s="5475"/>
      <c r="L36" s="5475"/>
      <c r="M36" s="5475"/>
      <c r="N36" s="5475"/>
      <c r="O36" s="5475"/>
      <c r="P36" s="5475"/>
      <c r="Q36" s="5475"/>
      <c r="R36" s="5476"/>
      <c r="S36" s="814"/>
      <c r="T36" s="804"/>
      <c r="U36" s="705"/>
      <c r="V36" s="1271"/>
      <c r="W36" s="5474"/>
      <c r="X36" s="5475"/>
      <c r="Y36" s="5475"/>
      <c r="Z36" s="5475"/>
      <c r="AA36" s="5475"/>
      <c r="AB36" s="5475"/>
      <c r="AC36" s="5475"/>
      <c r="AD36" s="5475"/>
      <c r="AE36" s="5475"/>
      <c r="AF36" s="5475"/>
      <c r="AG36" s="5475"/>
      <c r="AH36" s="5475"/>
      <c r="AI36" s="5475"/>
      <c r="AJ36" s="5475"/>
      <c r="AK36" s="5475"/>
      <c r="AL36" s="5476"/>
      <c r="AM36" s="814"/>
      <c r="AN36" s="707"/>
      <c r="AO36" s="896"/>
    </row>
    <row r="37" spans="1:41" ht="12" customHeight="1" x14ac:dyDescent="0.2">
      <c r="A37" s="705"/>
      <c r="B37" s="1271"/>
      <c r="C37" s="5474"/>
      <c r="D37" s="5475"/>
      <c r="E37" s="5475"/>
      <c r="F37" s="5475"/>
      <c r="G37" s="5475"/>
      <c r="H37" s="5475"/>
      <c r="I37" s="5475"/>
      <c r="J37" s="5475"/>
      <c r="K37" s="5475"/>
      <c r="L37" s="5475"/>
      <c r="M37" s="5475"/>
      <c r="N37" s="5475"/>
      <c r="O37" s="5475"/>
      <c r="P37" s="5475"/>
      <c r="Q37" s="5475"/>
      <c r="R37" s="5476"/>
      <c r="S37" s="814"/>
      <c r="T37" s="804"/>
      <c r="U37" s="705"/>
      <c r="V37" s="1271"/>
      <c r="W37" s="5474"/>
      <c r="X37" s="5475"/>
      <c r="Y37" s="5475"/>
      <c r="Z37" s="5475"/>
      <c r="AA37" s="5475"/>
      <c r="AB37" s="5475"/>
      <c r="AC37" s="5475"/>
      <c r="AD37" s="5475"/>
      <c r="AE37" s="5475"/>
      <c r="AF37" s="5475"/>
      <c r="AG37" s="5475"/>
      <c r="AH37" s="5475"/>
      <c r="AI37" s="5475"/>
      <c r="AJ37" s="5475"/>
      <c r="AK37" s="5475"/>
      <c r="AL37" s="5476"/>
      <c r="AM37" s="814"/>
      <c r="AN37" s="707"/>
      <c r="AO37" s="896"/>
    </row>
    <row r="38" spans="1:41" ht="12" customHeight="1" x14ac:dyDescent="0.2">
      <c r="A38" s="705"/>
      <c r="B38" s="1271"/>
      <c r="C38" s="5477"/>
      <c r="D38" s="5478"/>
      <c r="E38" s="5478"/>
      <c r="F38" s="5478"/>
      <c r="G38" s="5478"/>
      <c r="H38" s="5478"/>
      <c r="I38" s="5478"/>
      <c r="J38" s="5478"/>
      <c r="K38" s="5478"/>
      <c r="L38" s="5478"/>
      <c r="M38" s="5478"/>
      <c r="N38" s="5478"/>
      <c r="O38" s="5478"/>
      <c r="P38" s="5478"/>
      <c r="Q38" s="5478"/>
      <c r="R38" s="5479"/>
      <c r="S38" s="814"/>
      <c r="T38" s="804"/>
      <c r="U38" s="705"/>
      <c r="V38" s="1271"/>
      <c r="W38" s="5477"/>
      <c r="X38" s="5478"/>
      <c r="Y38" s="5478"/>
      <c r="Z38" s="5478"/>
      <c r="AA38" s="5478"/>
      <c r="AB38" s="5478"/>
      <c r="AC38" s="5478"/>
      <c r="AD38" s="5478"/>
      <c r="AE38" s="5478"/>
      <c r="AF38" s="5478"/>
      <c r="AG38" s="5478"/>
      <c r="AH38" s="5478"/>
      <c r="AI38" s="5478"/>
      <c r="AJ38" s="5478"/>
      <c r="AK38" s="5478"/>
      <c r="AL38" s="5479"/>
      <c r="AM38" s="814"/>
      <c r="AN38" s="707"/>
      <c r="AO38" s="896"/>
    </row>
    <row r="39" spans="1:41" ht="12" customHeight="1" x14ac:dyDescent="0.2">
      <c r="A39" s="705"/>
      <c r="B39" s="1275"/>
      <c r="C39" s="5480" t="str">
        <f>"Desventajas: "&amp;IF(C33="","",IF(ISNA(VLOOKUP(C33,'Tablas Técnicas'!$AD$6:$AJ$188,6,FALSE)),"-",VLOOKUP(C33,'Tablas Técnicas'!$AD$6:$AJ$188,6,FALSE)))</f>
        <v xml:space="preserve">Desventajas: </v>
      </c>
      <c r="D39" s="5481"/>
      <c r="E39" s="5481"/>
      <c r="F39" s="5481"/>
      <c r="G39" s="5481"/>
      <c r="H39" s="5481"/>
      <c r="I39" s="5481"/>
      <c r="J39" s="5481"/>
      <c r="K39" s="5481"/>
      <c r="L39" s="5481"/>
      <c r="M39" s="5481"/>
      <c r="N39" s="5482"/>
      <c r="O39" s="5486" t="s">
        <v>3367</v>
      </c>
      <c r="P39" s="5487"/>
      <c r="Q39" s="5487"/>
      <c r="R39" s="5488"/>
      <c r="S39" s="737"/>
      <c r="T39" s="705"/>
      <c r="U39" s="705"/>
      <c r="V39" s="1275"/>
      <c r="W39" s="5480" t="str">
        <f>"Desventajas: "&amp;IF(W33="","",IF(ISNA(VLOOKUP(W33,'Tablas Técnicas'!$AD$6:$AJ$188,6,FALSE)),"-",VLOOKUP(W33,'Tablas Técnicas'!$AD$6:$AJ$188,6,FALSE)))</f>
        <v xml:space="preserve">Desventajas: </v>
      </c>
      <c r="X39" s="5481"/>
      <c r="Y39" s="5481"/>
      <c r="Z39" s="5481"/>
      <c r="AA39" s="5481"/>
      <c r="AB39" s="5481"/>
      <c r="AC39" s="5481"/>
      <c r="AD39" s="5481"/>
      <c r="AE39" s="5481"/>
      <c r="AF39" s="5481"/>
      <c r="AG39" s="5481"/>
      <c r="AH39" s="5482"/>
      <c r="AI39" s="5486" t="s">
        <v>3367</v>
      </c>
      <c r="AJ39" s="5487"/>
      <c r="AK39" s="5487"/>
      <c r="AL39" s="5488"/>
      <c r="AM39" s="737"/>
      <c r="AN39" s="707"/>
      <c r="AO39" s="896"/>
    </row>
    <row r="40" spans="1:41" ht="12" customHeight="1" x14ac:dyDescent="0.2">
      <c r="A40" s="705"/>
      <c r="B40" s="1271"/>
      <c r="C40" s="5483"/>
      <c r="D40" s="5484"/>
      <c r="E40" s="5484"/>
      <c r="F40" s="5484"/>
      <c r="G40" s="5484"/>
      <c r="H40" s="5484"/>
      <c r="I40" s="5484"/>
      <c r="J40" s="5484"/>
      <c r="K40" s="5484"/>
      <c r="L40" s="5484"/>
      <c r="M40" s="5484"/>
      <c r="N40" s="5485"/>
      <c r="O40" s="5489"/>
      <c r="P40" s="5490"/>
      <c r="Q40" s="5490"/>
      <c r="R40" s="5491"/>
      <c r="S40" s="737"/>
      <c r="T40" s="705"/>
      <c r="U40" s="705"/>
      <c r="V40" s="1271"/>
      <c r="W40" s="5483"/>
      <c r="X40" s="5484"/>
      <c r="Y40" s="5484"/>
      <c r="Z40" s="5484"/>
      <c r="AA40" s="5484"/>
      <c r="AB40" s="5484"/>
      <c r="AC40" s="5484"/>
      <c r="AD40" s="5484"/>
      <c r="AE40" s="5484"/>
      <c r="AF40" s="5484"/>
      <c r="AG40" s="5484"/>
      <c r="AH40" s="5485"/>
      <c r="AI40" s="5489"/>
      <c r="AJ40" s="5490"/>
      <c r="AK40" s="5490"/>
      <c r="AL40" s="5491"/>
      <c r="AM40" s="737"/>
      <c r="AN40" s="707"/>
      <c r="AO40" s="896"/>
    </row>
    <row r="41" spans="1:41" ht="12" customHeight="1" x14ac:dyDescent="0.2">
      <c r="A41" s="705"/>
      <c r="B41" s="1275"/>
      <c r="C41" s="5498" t="str">
        <f>IF(C33="","",IF(ISNA(VLOOKUP(C33,'Tablas Técnicas'!$AD$6:$AJ$188,4,FALSE)),"-",VLOOKUP(C33,'Tablas Técnicas'!$AD$6:$AJ$188,4,FALSE)))</f>
        <v/>
      </c>
      <c r="D41" s="5499"/>
      <c r="E41" s="5499"/>
      <c r="F41" s="5499"/>
      <c r="G41" s="5499"/>
      <c r="H41" s="5499"/>
      <c r="I41" s="5499"/>
      <c r="J41" s="5499"/>
      <c r="K41" s="5499"/>
      <c r="L41" s="5499"/>
      <c r="M41" s="5499"/>
      <c r="N41" s="5499"/>
      <c r="O41" s="5492"/>
      <c r="P41" s="5493"/>
      <c r="Q41" s="5493"/>
      <c r="R41" s="5494"/>
      <c r="S41" s="737"/>
      <c r="T41" s="705"/>
      <c r="U41" s="705"/>
      <c r="V41" s="1275"/>
      <c r="W41" s="5498" t="str">
        <f>IF(W33="","",IF(ISNA(VLOOKUP(W33,'Tablas Técnicas'!$AD$6:$AJ$188,4,FALSE)),"-",VLOOKUP(W33,'Tablas Técnicas'!$AD$6:$AJ$188,4,FALSE)))</f>
        <v/>
      </c>
      <c r="X41" s="5499"/>
      <c r="Y41" s="5499"/>
      <c r="Z41" s="5499"/>
      <c r="AA41" s="5499"/>
      <c r="AB41" s="5499"/>
      <c r="AC41" s="5499"/>
      <c r="AD41" s="5499"/>
      <c r="AE41" s="5499"/>
      <c r="AF41" s="5499"/>
      <c r="AG41" s="5499"/>
      <c r="AH41" s="5499"/>
      <c r="AI41" s="5492"/>
      <c r="AJ41" s="5493"/>
      <c r="AK41" s="5493"/>
      <c r="AL41" s="5494"/>
      <c r="AM41" s="737"/>
      <c r="AN41" s="707"/>
      <c r="AO41" s="896"/>
    </row>
    <row r="42" spans="1:41" ht="12" customHeight="1" thickBot="1" x14ac:dyDescent="0.25">
      <c r="A42" s="705"/>
      <c r="B42" s="1271"/>
      <c r="C42" s="5500"/>
      <c r="D42" s="5501"/>
      <c r="E42" s="5501"/>
      <c r="F42" s="5501"/>
      <c r="G42" s="5501"/>
      <c r="H42" s="5501"/>
      <c r="I42" s="5501"/>
      <c r="J42" s="5501"/>
      <c r="K42" s="5501"/>
      <c r="L42" s="5501"/>
      <c r="M42" s="5501"/>
      <c r="N42" s="5501"/>
      <c r="O42" s="5495"/>
      <c r="P42" s="5496"/>
      <c r="Q42" s="5496"/>
      <c r="R42" s="5497"/>
      <c r="S42" s="737"/>
      <c r="T42" s="705"/>
      <c r="U42" s="705"/>
      <c r="V42" s="1271"/>
      <c r="W42" s="5500"/>
      <c r="X42" s="5501"/>
      <c r="Y42" s="5501"/>
      <c r="Z42" s="5501"/>
      <c r="AA42" s="5501"/>
      <c r="AB42" s="5501"/>
      <c r="AC42" s="5501"/>
      <c r="AD42" s="5501"/>
      <c r="AE42" s="5501"/>
      <c r="AF42" s="5501"/>
      <c r="AG42" s="5501"/>
      <c r="AH42" s="5501"/>
      <c r="AI42" s="5495"/>
      <c r="AJ42" s="5496"/>
      <c r="AK42" s="5496"/>
      <c r="AL42" s="5497"/>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502" t="s">
        <v>7702</v>
      </c>
      <c r="D44" s="5503"/>
      <c r="E44" s="5503"/>
      <c r="F44" s="5503"/>
      <c r="G44" s="5503"/>
      <c r="H44" s="5503"/>
      <c r="I44" s="5503"/>
      <c r="J44" s="5503"/>
      <c r="K44" s="5503"/>
      <c r="L44" s="5503"/>
      <c r="M44" s="5503"/>
      <c r="N44" s="5503"/>
      <c r="O44" s="5503"/>
      <c r="P44" s="5503"/>
      <c r="Q44" s="5504"/>
      <c r="R44" s="5505">
        <f>IF(C44="","",IF(ISNA(VLOOKUP(C44,'Tablas Técnicas'!$AD$6:$AJ$188,3,FALSE)),"-",VLOOKUP(C44,'Tablas Técnicas'!$AD$6:$AJ$188,3,FALSE)))</f>
        <v>0</v>
      </c>
      <c r="S44" s="792"/>
      <c r="T44" s="705"/>
      <c r="U44" s="705"/>
      <c r="V44" s="1271">
        <v>9</v>
      </c>
      <c r="W44" s="5502" t="s">
        <v>7702</v>
      </c>
      <c r="X44" s="5503"/>
      <c r="Y44" s="5503"/>
      <c r="Z44" s="5503"/>
      <c r="AA44" s="5503"/>
      <c r="AB44" s="5503"/>
      <c r="AC44" s="5503"/>
      <c r="AD44" s="5503"/>
      <c r="AE44" s="5503"/>
      <c r="AF44" s="5503"/>
      <c r="AG44" s="5503"/>
      <c r="AH44" s="5503"/>
      <c r="AI44" s="5503"/>
      <c r="AJ44" s="5503"/>
      <c r="AK44" s="5504"/>
      <c r="AL44" s="5505">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507"/>
      <c r="G45" s="5507"/>
      <c r="H45" s="5507"/>
      <c r="I45" s="5508" t="s">
        <v>3347</v>
      </c>
      <c r="J45" s="5508"/>
      <c r="K45" s="5508"/>
      <c r="L45" s="5509" t="str">
        <f>IF(C44="","",IF(ISNA(VLOOKUP(C44,'Tablas Técnicas'!$AD$6:$AJ$188,7,FALSE)),"-",VLOOKUP(C44,'Tablas Técnicas'!$AD$6:$AJ$188,7,FALSE)))</f>
        <v/>
      </c>
      <c r="M45" s="5509"/>
      <c r="N45" s="5509"/>
      <c r="O45" s="5509"/>
      <c r="P45" s="5509"/>
      <c r="Q45" s="5510"/>
      <c r="R45" s="5506"/>
      <c r="S45" s="737"/>
      <c r="T45" s="705"/>
      <c r="U45" s="705"/>
      <c r="V45" s="1271"/>
      <c r="W45" s="798" t="s">
        <v>1627</v>
      </c>
      <c r="X45" s="799">
        <f>IF(W44="","",IF(ISNA(VLOOKUP(W44,'Tablas Técnicas'!$AD$6:$AJ$188,2,FALSE)),"-",VLOOKUP(W44,'Tablas Técnicas'!$AD$6:$AJ$188,2,FALSE)))</f>
        <v>1</v>
      </c>
      <c r="Y45" s="800" t="s">
        <v>2165</v>
      </c>
      <c r="Z45" s="5507"/>
      <c r="AA45" s="5507"/>
      <c r="AB45" s="5507"/>
      <c r="AC45" s="5508" t="s">
        <v>3347</v>
      </c>
      <c r="AD45" s="5508"/>
      <c r="AE45" s="5508"/>
      <c r="AF45" s="5509" t="str">
        <f>IF(W44="","",IF(ISNA(VLOOKUP(W44,'Tablas Técnicas'!$AD$6:$AJ$188,7,FALSE)),"-",VLOOKUP(W44,'Tablas Técnicas'!$AD$6:$AJ$188,7,FALSE)))</f>
        <v/>
      </c>
      <c r="AG45" s="5509"/>
      <c r="AH45" s="5509"/>
      <c r="AI45" s="5509"/>
      <c r="AJ45" s="5509"/>
      <c r="AK45" s="5510"/>
      <c r="AL45" s="5506"/>
      <c r="AM45" s="737"/>
      <c r="AN45" s="707"/>
      <c r="AO45" s="896"/>
    </row>
    <row r="46" spans="1:41" ht="12" customHeight="1" x14ac:dyDescent="0.2">
      <c r="A46" s="705"/>
      <c r="B46" s="1271"/>
      <c r="C46" s="5471" t="str">
        <f>IF(C44="","",IF(ISNA(VLOOKUP(C44,'Tablas Técnicas'!$AD$6:$AJ$188,5,FALSE)),"-",VLOOKUP(C44,'Tablas Técnicas'!$AD$6:$AJ$188,5,FALSE)))</f>
        <v/>
      </c>
      <c r="D46" s="5472"/>
      <c r="E46" s="5472"/>
      <c r="F46" s="5472"/>
      <c r="G46" s="5472"/>
      <c r="H46" s="5472"/>
      <c r="I46" s="5472"/>
      <c r="J46" s="5472"/>
      <c r="K46" s="5472"/>
      <c r="L46" s="5472"/>
      <c r="M46" s="5472"/>
      <c r="N46" s="5472"/>
      <c r="O46" s="5472"/>
      <c r="P46" s="5472"/>
      <c r="Q46" s="5472"/>
      <c r="R46" s="5473"/>
      <c r="S46" s="805"/>
      <c r="T46" s="804"/>
      <c r="U46" s="705"/>
      <c r="V46" s="1271"/>
      <c r="W46" s="5471" t="str">
        <f>IF(W44="","",IF(ISNA(VLOOKUP(W44,'Tablas Técnicas'!$AD$6:$AJ$188,5,FALSE)),"-",VLOOKUP(W44,'Tablas Técnicas'!$AD$6:$AJ$188,5,FALSE)))</f>
        <v/>
      </c>
      <c r="X46" s="5472"/>
      <c r="Y46" s="5472"/>
      <c r="Z46" s="5472"/>
      <c r="AA46" s="5472"/>
      <c r="AB46" s="5472"/>
      <c r="AC46" s="5472"/>
      <c r="AD46" s="5472"/>
      <c r="AE46" s="5472"/>
      <c r="AF46" s="5472"/>
      <c r="AG46" s="5472"/>
      <c r="AH46" s="5472"/>
      <c r="AI46" s="5472"/>
      <c r="AJ46" s="5472"/>
      <c r="AK46" s="5472"/>
      <c r="AL46" s="5473"/>
      <c r="AM46" s="805"/>
      <c r="AN46" s="707"/>
      <c r="AO46" s="896"/>
    </row>
    <row r="47" spans="1:41" ht="12" customHeight="1" x14ac:dyDescent="0.2">
      <c r="A47" s="705"/>
      <c r="B47" s="1271"/>
      <c r="C47" s="5474"/>
      <c r="D47" s="5475"/>
      <c r="E47" s="5475"/>
      <c r="F47" s="5475"/>
      <c r="G47" s="5475"/>
      <c r="H47" s="5475"/>
      <c r="I47" s="5475"/>
      <c r="J47" s="5475"/>
      <c r="K47" s="5475"/>
      <c r="L47" s="5475"/>
      <c r="M47" s="5475"/>
      <c r="N47" s="5475"/>
      <c r="O47" s="5475"/>
      <c r="P47" s="5475"/>
      <c r="Q47" s="5475"/>
      <c r="R47" s="5476"/>
      <c r="S47" s="814"/>
      <c r="T47" s="804"/>
      <c r="U47" s="705"/>
      <c r="V47" s="1271"/>
      <c r="W47" s="5474"/>
      <c r="X47" s="5475"/>
      <c r="Y47" s="5475"/>
      <c r="Z47" s="5475"/>
      <c r="AA47" s="5475"/>
      <c r="AB47" s="5475"/>
      <c r="AC47" s="5475"/>
      <c r="AD47" s="5475"/>
      <c r="AE47" s="5475"/>
      <c r="AF47" s="5475"/>
      <c r="AG47" s="5475"/>
      <c r="AH47" s="5475"/>
      <c r="AI47" s="5475"/>
      <c r="AJ47" s="5475"/>
      <c r="AK47" s="5475"/>
      <c r="AL47" s="5476"/>
      <c r="AM47" s="814"/>
      <c r="AN47" s="707"/>
      <c r="AO47" s="896"/>
    </row>
    <row r="48" spans="1:41" ht="12" customHeight="1" x14ac:dyDescent="0.2">
      <c r="A48" s="705"/>
      <c r="B48" s="1271"/>
      <c r="C48" s="5474"/>
      <c r="D48" s="5475"/>
      <c r="E48" s="5475"/>
      <c r="F48" s="5475"/>
      <c r="G48" s="5475"/>
      <c r="H48" s="5475"/>
      <c r="I48" s="5475"/>
      <c r="J48" s="5475"/>
      <c r="K48" s="5475"/>
      <c r="L48" s="5475"/>
      <c r="M48" s="5475"/>
      <c r="N48" s="5475"/>
      <c r="O48" s="5475"/>
      <c r="P48" s="5475"/>
      <c r="Q48" s="5475"/>
      <c r="R48" s="5476"/>
      <c r="S48" s="814"/>
      <c r="T48" s="804"/>
      <c r="U48" s="705"/>
      <c r="V48" s="1271"/>
      <c r="W48" s="5474"/>
      <c r="X48" s="5475"/>
      <c r="Y48" s="5475"/>
      <c r="Z48" s="5475"/>
      <c r="AA48" s="5475"/>
      <c r="AB48" s="5475"/>
      <c r="AC48" s="5475"/>
      <c r="AD48" s="5475"/>
      <c r="AE48" s="5475"/>
      <c r="AF48" s="5475"/>
      <c r="AG48" s="5475"/>
      <c r="AH48" s="5475"/>
      <c r="AI48" s="5475"/>
      <c r="AJ48" s="5475"/>
      <c r="AK48" s="5475"/>
      <c r="AL48" s="5476"/>
      <c r="AM48" s="814"/>
      <c r="AN48" s="707"/>
      <c r="AO48" s="896"/>
    </row>
    <row r="49" spans="1:41" ht="12" customHeight="1" x14ac:dyDescent="0.2">
      <c r="A49" s="705"/>
      <c r="B49" s="1271"/>
      <c r="C49" s="5477"/>
      <c r="D49" s="5478"/>
      <c r="E49" s="5478"/>
      <c r="F49" s="5478"/>
      <c r="G49" s="5478"/>
      <c r="H49" s="5478"/>
      <c r="I49" s="5478"/>
      <c r="J49" s="5478"/>
      <c r="K49" s="5478"/>
      <c r="L49" s="5478"/>
      <c r="M49" s="5478"/>
      <c r="N49" s="5478"/>
      <c r="O49" s="5478"/>
      <c r="P49" s="5478"/>
      <c r="Q49" s="5478"/>
      <c r="R49" s="5479"/>
      <c r="S49" s="814"/>
      <c r="T49" s="804"/>
      <c r="U49" s="705"/>
      <c r="V49" s="1271"/>
      <c r="W49" s="5477"/>
      <c r="X49" s="5478"/>
      <c r="Y49" s="5478"/>
      <c r="Z49" s="5478"/>
      <c r="AA49" s="5478"/>
      <c r="AB49" s="5478"/>
      <c r="AC49" s="5478"/>
      <c r="AD49" s="5478"/>
      <c r="AE49" s="5478"/>
      <c r="AF49" s="5478"/>
      <c r="AG49" s="5478"/>
      <c r="AH49" s="5478"/>
      <c r="AI49" s="5478"/>
      <c r="AJ49" s="5478"/>
      <c r="AK49" s="5478"/>
      <c r="AL49" s="5479"/>
      <c r="AM49" s="814"/>
      <c r="AN49" s="707"/>
      <c r="AO49" s="896"/>
    </row>
    <row r="50" spans="1:41" ht="12" customHeight="1" x14ac:dyDescent="0.2">
      <c r="A50" s="705"/>
      <c r="B50" s="1275"/>
      <c r="C50" s="5480" t="str">
        <f>"Desventajas: "&amp;IF(C44="","",IF(ISNA(VLOOKUP(C44,'Tablas Técnicas'!$AD$6:$AJ$188,6,FALSE)),"-",VLOOKUP(C44,'Tablas Técnicas'!$AD$6:$AJ$188,6,FALSE)))</f>
        <v xml:space="preserve">Desventajas: </v>
      </c>
      <c r="D50" s="5481"/>
      <c r="E50" s="5481"/>
      <c r="F50" s="5481"/>
      <c r="G50" s="5481"/>
      <c r="H50" s="5481"/>
      <c r="I50" s="5481"/>
      <c r="J50" s="5481"/>
      <c r="K50" s="5481"/>
      <c r="L50" s="5481"/>
      <c r="M50" s="5481"/>
      <c r="N50" s="5482"/>
      <c r="O50" s="5486" t="s">
        <v>3367</v>
      </c>
      <c r="P50" s="5487"/>
      <c r="Q50" s="5487"/>
      <c r="R50" s="5488"/>
      <c r="S50" s="737"/>
      <c r="T50" s="705"/>
      <c r="U50" s="705"/>
      <c r="V50" s="1275"/>
      <c r="W50" s="5480" t="str">
        <f>"Desventajas: "&amp;IF(W44="","",IF(ISNA(VLOOKUP(W44,'Tablas Técnicas'!$AD$6:$AJ$188,6,FALSE)),"-",VLOOKUP(W44,'Tablas Técnicas'!$AD$6:$AJ$188,6,FALSE)))</f>
        <v xml:space="preserve">Desventajas: </v>
      </c>
      <c r="X50" s="5481"/>
      <c r="Y50" s="5481"/>
      <c r="Z50" s="5481"/>
      <c r="AA50" s="5481"/>
      <c r="AB50" s="5481"/>
      <c r="AC50" s="5481"/>
      <c r="AD50" s="5481"/>
      <c r="AE50" s="5481"/>
      <c r="AF50" s="5481"/>
      <c r="AG50" s="5481"/>
      <c r="AH50" s="5482"/>
      <c r="AI50" s="5486" t="s">
        <v>3367</v>
      </c>
      <c r="AJ50" s="5487"/>
      <c r="AK50" s="5487"/>
      <c r="AL50" s="5488"/>
      <c r="AM50" s="737"/>
      <c r="AN50" s="707"/>
      <c r="AO50" s="896"/>
    </row>
    <row r="51" spans="1:41" ht="12" customHeight="1" x14ac:dyDescent="0.2">
      <c r="A51" s="705"/>
      <c r="B51" s="1271"/>
      <c r="C51" s="5483"/>
      <c r="D51" s="5484"/>
      <c r="E51" s="5484"/>
      <c r="F51" s="5484"/>
      <c r="G51" s="5484"/>
      <c r="H51" s="5484"/>
      <c r="I51" s="5484"/>
      <c r="J51" s="5484"/>
      <c r="K51" s="5484"/>
      <c r="L51" s="5484"/>
      <c r="M51" s="5484"/>
      <c r="N51" s="5485"/>
      <c r="O51" s="5489"/>
      <c r="P51" s="5490"/>
      <c r="Q51" s="5490"/>
      <c r="R51" s="5491"/>
      <c r="S51" s="737"/>
      <c r="T51" s="705"/>
      <c r="U51" s="705"/>
      <c r="V51" s="1271"/>
      <c r="W51" s="5483"/>
      <c r="X51" s="5484"/>
      <c r="Y51" s="5484"/>
      <c r="Z51" s="5484"/>
      <c r="AA51" s="5484"/>
      <c r="AB51" s="5484"/>
      <c r="AC51" s="5484"/>
      <c r="AD51" s="5484"/>
      <c r="AE51" s="5484"/>
      <c r="AF51" s="5484"/>
      <c r="AG51" s="5484"/>
      <c r="AH51" s="5485"/>
      <c r="AI51" s="5489"/>
      <c r="AJ51" s="5490"/>
      <c r="AK51" s="5490"/>
      <c r="AL51" s="5491"/>
      <c r="AM51" s="737"/>
      <c r="AN51" s="707"/>
      <c r="AO51" s="896"/>
    </row>
    <row r="52" spans="1:41" ht="12" customHeight="1" x14ac:dyDescent="0.2">
      <c r="A52" s="705"/>
      <c r="B52" s="1275"/>
      <c r="C52" s="5498" t="str">
        <f>IF(C44="","",IF(ISNA(VLOOKUP(C44,'Tablas Técnicas'!$AD$6:$AJ$188,4,FALSE)),"-",VLOOKUP(C44,'Tablas Técnicas'!$AD$6:$AJ$188,4,FALSE)))</f>
        <v/>
      </c>
      <c r="D52" s="5499"/>
      <c r="E52" s="5499"/>
      <c r="F52" s="5499"/>
      <c r="G52" s="5499"/>
      <c r="H52" s="5499"/>
      <c r="I52" s="5499"/>
      <c r="J52" s="5499"/>
      <c r="K52" s="5499"/>
      <c r="L52" s="5499"/>
      <c r="M52" s="5499"/>
      <c r="N52" s="5499"/>
      <c r="O52" s="5492"/>
      <c r="P52" s="5493"/>
      <c r="Q52" s="5493"/>
      <c r="R52" s="5494"/>
      <c r="S52" s="737"/>
      <c r="T52" s="705"/>
      <c r="U52" s="705"/>
      <c r="V52" s="1275"/>
      <c r="W52" s="5498" t="str">
        <f>IF(W44="","",IF(ISNA(VLOOKUP(W44,'Tablas Técnicas'!$AD$6:$AJ$188,4,FALSE)),"-",VLOOKUP(W44,'Tablas Técnicas'!$AD$6:$AJ$188,4,FALSE)))</f>
        <v/>
      </c>
      <c r="X52" s="5499"/>
      <c r="Y52" s="5499"/>
      <c r="Z52" s="5499"/>
      <c r="AA52" s="5499"/>
      <c r="AB52" s="5499"/>
      <c r="AC52" s="5499"/>
      <c r="AD52" s="5499"/>
      <c r="AE52" s="5499"/>
      <c r="AF52" s="5499"/>
      <c r="AG52" s="5499"/>
      <c r="AH52" s="5499"/>
      <c r="AI52" s="5492"/>
      <c r="AJ52" s="5493"/>
      <c r="AK52" s="5493"/>
      <c r="AL52" s="5494"/>
      <c r="AM52" s="737"/>
      <c r="AN52" s="707"/>
      <c r="AO52" s="896"/>
    </row>
    <row r="53" spans="1:41" ht="12" customHeight="1" thickBot="1" x14ac:dyDescent="0.25">
      <c r="A53" s="705"/>
      <c r="B53" s="1271"/>
      <c r="C53" s="5500"/>
      <c r="D53" s="5501"/>
      <c r="E53" s="5501"/>
      <c r="F53" s="5501"/>
      <c r="G53" s="5501"/>
      <c r="H53" s="5501"/>
      <c r="I53" s="5501"/>
      <c r="J53" s="5501"/>
      <c r="K53" s="5501"/>
      <c r="L53" s="5501"/>
      <c r="M53" s="5501"/>
      <c r="N53" s="5501"/>
      <c r="O53" s="5495"/>
      <c r="P53" s="5496"/>
      <c r="Q53" s="5496"/>
      <c r="R53" s="5497"/>
      <c r="S53" s="737"/>
      <c r="T53" s="705"/>
      <c r="U53" s="705"/>
      <c r="V53" s="1271"/>
      <c r="W53" s="5500"/>
      <c r="X53" s="5501"/>
      <c r="Y53" s="5501"/>
      <c r="Z53" s="5501"/>
      <c r="AA53" s="5501"/>
      <c r="AB53" s="5501"/>
      <c r="AC53" s="5501"/>
      <c r="AD53" s="5501"/>
      <c r="AE53" s="5501"/>
      <c r="AF53" s="5501"/>
      <c r="AG53" s="5501"/>
      <c r="AH53" s="5501"/>
      <c r="AI53" s="5495"/>
      <c r="AJ53" s="5496"/>
      <c r="AK53" s="5496"/>
      <c r="AL53" s="5497"/>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502" t="s">
        <v>7702</v>
      </c>
      <c r="D55" s="5503"/>
      <c r="E55" s="5503"/>
      <c r="F55" s="5503"/>
      <c r="G55" s="5503"/>
      <c r="H55" s="5503"/>
      <c r="I55" s="5503"/>
      <c r="J55" s="5503"/>
      <c r="K55" s="5503"/>
      <c r="L55" s="5503"/>
      <c r="M55" s="5503"/>
      <c r="N55" s="5503"/>
      <c r="O55" s="5503"/>
      <c r="P55" s="5503"/>
      <c r="Q55" s="5504"/>
      <c r="R55" s="5505">
        <f>IF(C55="","",IF(ISNA(VLOOKUP(C55,'Tablas Técnicas'!$AD$6:$AJ$188,3,FALSE)),"-",VLOOKUP(C55,'Tablas Técnicas'!$AD$6:$AJ$188,3,FALSE)))</f>
        <v>0</v>
      </c>
      <c r="S55" s="792"/>
      <c r="T55" s="705"/>
      <c r="U55" s="705"/>
      <c r="V55" s="1271">
        <v>10</v>
      </c>
      <c r="W55" s="5502" t="s">
        <v>7702</v>
      </c>
      <c r="X55" s="5503"/>
      <c r="Y55" s="5503"/>
      <c r="Z55" s="5503"/>
      <c r="AA55" s="5503"/>
      <c r="AB55" s="5503"/>
      <c r="AC55" s="5503"/>
      <c r="AD55" s="5503"/>
      <c r="AE55" s="5503"/>
      <c r="AF55" s="5503"/>
      <c r="AG55" s="5503"/>
      <c r="AH55" s="5503"/>
      <c r="AI55" s="5503"/>
      <c r="AJ55" s="5503"/>
      <c r="AK55" s="5504"/>
      <c r="AL55" s="5505">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507"/>
      <c r="G56" s="5507"/>
      <c r="H56" s="5507"/>
      <c r="I56" s="5508" t="s">
        <v>3347</v>
      </c>
      <c r="J56" s="5508"/>
      <c r="K56" s="5508"/>
      <c r="L56" s="5509" t="str">
        <f>IF(C55="","",IF(ISNA(VLOOKUP(C55,'Tablas Técnicas'!$AD$6:$AJ$188,7,FALSE)),"-",VLOOKUP(C55,'Tablas Técnicas'!$AD$6:$AJ$188,7,FALSE)))</f>
        <v/>
      </c>
      <c r="M56" s="5509"/>
      <c r="N56" s="5509"/>
      <c r="O56" s="5509"/>
      <c r="P56" s="5509"/>
      <c r="Q56" s="5510"/>
      <c r="R56" s="5506"/>
      <c r="S56" s="737"/>
      <c r="T56" s="705"/>
      <c r="U56" s="705"/>
      <c r="V56" s="1271"/>
      <c r="W56" s="798" t="s">
        <v>1627</v>
      </c>
      <c r="X56" s="799">
        <f>IF(W55="","",IF(ISNA(VLOOKUP(W55,'Tablas Técnicas'!$AD$6:$AJ$188,2,FALSE)),"-",VLOOKUP(W55,'Tablas Técnicas'!$AD$6:$AJ$188,2,FALSE)))</f>
        <v>1</v>
      </c>
      <c r="Y56" s="800" t="s">
        <v>2165</v>
      </c>
      <c r="Z56" s="5507"/>
      <c r="AA56" s="5507"/>
      <c r="AB56" s="5507"/>
      <c r="AC56" s="5508" t="s">
        <v>3347</v>
      </c>
      <c r="AD56" s="5508"/>
      <c r="AE56" s="5508"/>
      <c r="AF56" s="5509" t="str">
        <f>IF(W55="","",IF(ISNA(VLOOKUP(W55,'Tablas Técnicas'!$AD$6:$AJ$188,7,FALSE)),"-",VLOOKUP(W55,'Tablas Técnicas'!$AD$6:$AJ$188,7,FALSE)))</f>
        <v/>
      </c>
      <c r="AG56" s="5509"/>
      <c r="AH56" s="5509"/>
      <c r="AI56" s="5509"/>
      <c r="AJ56" s="5509"/>
      <c r="AK56" s="5510"/>
      <c r="AL56" s="5506"/>
      <c r="AM56" s="737"/>
      <c r="AN56" s="707"/>
      <c r="AO56" s="896"/>
    </row>
    <row r="57" spans="1:41" ht="12" customHeight="1" x14ac:dyDescent="0.2">
      <c r="A57" s="705"/>
      <c r="B57" s="1271"/>
      <c r="C57" s="5471" t="str">
        <f>IF(C55="","",IF(ISNA(VLOOKUP(C55,'Tablas Técnicas'!$AD$6:$AJ$188,5,FALSE)),"-",VLOOKUP(C55,'Tablas Técnicas'!$AD$6:$AJ$188,5,FALSE)))</f>
        <v/>
      </c>
      <c r="D57" s="5472"/>
      <c r="E57" s="5472"/>
      <c r="F57" s="5472"/>
      <c r="G57" s="5472"/>
      <c r="H57" s="5472"/>
      <c r="I57" s="5472"/>
      <c r="J57" s="5472"/>
      <c r="K57" s="5472"/>
      <c r="L57" s="5472"/>
      <c r="M57" s="5472"/>
      <c r="N57" s="5472"/>
      <c r="O57" s="5472"/>
      <c r="P57" s="5472"/>
      <c r="Q57" s="5472"/>
      <c r="R57" s="5473"/>
      <c r="S57" s="805"/>
      <c r="T57" s="804"/>
      <c r="U57" s="705"/>
      <c r="V57" s="1271"/>
      <c r="W57" s="5471" t="str">
        <f>IF(W55="","",IF(ISNA(VLOOKUP(W55,'Tablas Técnicas'!$AD$6:$AJ$188,5,FALSE)),"-",VLOOKUP(W55,'Tablas Técnicas'!$AD$6:$AJ$188,5,FALSE)))</f>
        <v/>
      </c>
      <c r="X57" s="5472"/>
      <c r="Y57" s="5472"/>
      <c r="Z57" s="5472"/>
      <c r="AA57" s="5472"/>
      <c r="AB57" s="5472"/>
      <c r="AC57" s="5472"/>
      <c r="AD57" s="5472"/>
      <c r="AE57" s="5472"/>
      <c r="AF57" s="5472"/>
      <c r="AG57" s="5472"/>
      <c r="AH57" s="5472"/>
      <c r="AI57" s="5472"/>
      <c r="AJ57" s="5472"/>
      <c r="AK57" s="5472"/>
      <c r="AL57" s="5473"/>
      <c r="AM57" s="805"/>
      <c r="AN57" s="707"/>
      <c r="AO57" s="896"/>
    </row>
    <row r="58" spans="1:41" ht="12" customHeight="1" x14ac:dyDescent="0.2">
      <c r="A58" s="705"/>
      <c r="B58" s="1271"/>
      <c r="C58" s="5474"/>
      <c r="D58" s="5475"/>
      <c r="E58" s="5475"/>
      <c r="F58" s="5475"/>
      <c r="G58" s="5475"/>
      <c r="H58" s="5475"/>
      <c r="I58" s="5475"/>
      <c r="J58" s="5475"/>
      <c r="K58" s="5475"/>
      <c r="L58" s="5475"/>
      <c r="M58" s="5475"/>
      <c r="N58" s="5475"/>
      <c r="O58" s="5475"/>
      <c r="P58" s="5475"/>
      <c r="Q58" s="5475"/>
      <c r="R58" s="5476"/>
      <c r="S58" s="814"/>
      <c r="T58" s="804"/>
      <c r="U58" s="705"/>
      <c r="V58" s="1271"/>
      <c r="W58" s="5474"/>
      <c r="X58" s="5475"/>
      <c r="Y58" s="5475"/>
      <c r="Z58" s="5475"/>
      <c r="AA58" s="5475"/>
      <c r="AB58" s="5475"/>
      <c r="AC58" s="5475"/>
      <c r="AD58" s="5475"/>
      <c r="AE58" s="5475"/>
      <c r="AF58" s="5475"/>
      <c r="AG58" s="5475"/>
      <c r="AH58" s="5475"/>
      <c r="AI58" s="5475"/>
      <c r="AJ58" s="5475"/>
      <c r="AK58" s="5475"/>
      <c r="AL58" s="5476"/>
      <c r="AM58" s="814"/>
      <c r="AN58" s="707"/>
      <c r="AO58" s="896"/>
    </row>
    <row r="59" spans="1:41" ht="12" customHeight="1" x14ac:dyDescent="0.2">
      <c r="A59" s="705"/>
      <c r="B59" s="1271"/>
      <c r="C59" s="5474"/>
      <c r="D59" s="5475"/>
      <c r="E59" s="5475"/>
      <c r="F59" s="5475"/>
      <c r="G59" s="5475"/>
      <c r="H59" s="5475"/>
      <c r="I59" s="5475"/>
      <c r="J59" s="5475"/>
      <c r="K59" s="5475"/>
      <c r="L59" s="5475"/>
      <c r="M59" s="5475"/>
      <c r="N59" s="5475"/>
      <c r="O59" s="5475"/>
      <c r="P59" s="5475"/>
      <c r="Q59" s="5475"/>
      <c r="R59" s="5476"/>
      <c r="S59" s="814"/>
      <c r="T59" s="804"/>
      <c r="U59" s="705"/>
      <c r="V59" s="1271"/>
      <c r="W59" s="5474"/>
      <c r="X59" s="5475"/>
      <c r="Y59" s="5475"/>
      <c r="Z59" s="5475"/>
      <c r="AA59" s="5475"/>
      <c r="AB59" s="5475"/>
      <c r="AC59" s="5475"/>
      <c r="AD59" s="5475"/>
      <c r="AE59" s="5475"/>
      <c r="AF59" s="5475"/>
      <c r="AG59" s="5475"/>
      <c r="AH59" s="5475"/>
      <c r="AI59" s="5475"/>
      <c r="AJ59" s="5475"/>
      <c r="AK59" s="5475"/>
      <c r="AL59" s="5476"/>
      <c r="AM59" s="814"/>
      <c r="AN59" s="707"/>
      <c r="AO59" s="896"/>
    </row>
    <row r="60" spans="1:41" ht="12" customHeight="1" x14ac:dyDescent="0.2">
      <c r="A60" s="705"/>
      <c r="B60" s="1271"/>
      <c r="C60" s="5477"/>
      <c r="D60" s="5478"/>
      <c r="E60" s="5478"/>
      <c r="F60" s="5478"/>
      <c r="G60" s="5478"/>
      <c r="H60" s="5478"/>
      <c r="I60" s="5478"/>
      <c r="J60" s="5478"/>
      <c r="K60" s="5478"/>
      <c r="L60" s="5478"/>
      <c r="M60" s="5478"/>
      <c r="N60" s="5478"/>
      <c r="O60" s="5478"/>
      <c r="P60" s="5478"/>
      <c r="Q60" s="5478"/>
      <c r="R60" s="5479"/>
      <c r="S60" s="814"/>
      <c r="T60" s="804"/>
      <c r="U60" s="705"/>
      <c r="V60" s="1271"/>
      <c r="W60" s="5477"/>
      <c r="X60" s="5478"/>
      <c r="Y60" s="5478"/>
      <c r="Z60" s="5478"/>
      <c r="AA60" s="5478"/>
      <c r="AB60" s="5478"/>
      <c r="AC60" s="5478"/>
      <c r="AD60" s="5478"/>
      <c r="AE60" s="5478"/>
      <c r="AF60" s="5478"/>
      <c r="AG60" s="5478"/>
      <c r="AH60" s="5478"/>
      <c r="AI60" s="5478"/>
      <c r="AJ60" s="5478"/>
      <c r="AK60" s="5478"/>
      <c r="AL60" s="5479"/>
      <c r="AM60" s="814"/>
      <c r="AN60" s="707"/>
      <c r="AO60" s="896"/>
    </row>
    <row r="61" spans="1:41" ht="12" customHeight="1" x14ac:dyDescent="0.2">
      <c r="A61" s="705"/>
      <c r="B61" s="1275"/>
      <c r="C61" s="5480" t="str">
        <f>"Desventajas: "&amp;IF(C55="","",IF(ISNA(VLOOKUP(C55,'Tablas Técnicas'!$AD$6:$AJ$188,6,FALSE)),"-",VLOOKUP(C55,'Tablas Técnicas'!$AD$6:$AJ$188,6,FALSE)))</f>
        <v xml:space="preserve">Desventajas: </v>
      </c>
      <c r="D61" s="5481"/>
      <c r="E61" s="5481"/>
      <c r="F61" s="5481"/>
      <c r="G61" s="5481"/>
      <c r="H61" s="5481"/>
      <c r="I61" s="5481"/>
      <c r="J61" s="5481"/>
      <c r="K61" s="5481"/>
      <c r="L61" s="5481"/>
      <c r="M61" s="5481"/>
      <c r="N61" s="5482"/>
      <c r="O61" s="5486" t="s">
        <v>3367</v>
      </c>
      <c r="P61" s="5487"/>
      <c r="Q61" s="5487"/>
      <c r="R61" s="5488"/>
      <c r="S61" s="737"/>
      <c r="T61" s="705"/>
      <c r="U61" s="705"/>
      <c r="V61" s="1275"/>
      <c r="W61" s="5480" t="str">
        <f>"Desventajas: "&amp;IF(W55="","",IF(ISNA(VLOOKUP(W55,'Tablas Técnicas'!$AD$6:$AJ$188,6,FALSE)),"-",VLOOKUP(W55,'Tablas Técnicas'!$AD$6:$AJ$188,6,FALSE)))</f>
        <v xml:space="preserve">Desventajas: </v>
      </c>
      <c r="X61" s="5481"/>
      <c r="Y61" s="5481"/>
      <c r="Z61" s="5481"/>
      <c r="AA61" s="5481"/>
      <c r="AB61" s="5481"/>
      <c r="AC61" s="5481"/>
      <c r="AD61" s="5481"/>
      <c r="AE61" s="5481"/>
      <c r="AF61" s="5481"/>
      <c r="AG61" s="5481"/>
      <c r="AH61" s="5482"/>
      <c r="AI61" s="5486" t="s">
        <v>3367</v>
      </c>
      <c r="AJ61" s="5487"/>
      <c r="AK61" s="5487"/>
      <c r="AL61" s="5488"/>
      <c r="AM61" s="737"/>
      <c r="AN61" s="707"/>
      <c r="AO61" s="896"/>
    </row>
    <row r="62" spans="1:41" ht="12" customHeight="1" x14ac:dyDescent="0.2">
      <c r="A62" s="705"/>
      <c r="B62" s="1271"/>
      <c r="C62" s="5483"/>
      <c r="D62" s="5484"/>
      <c r="E62" s="5484"/>
      <c r="F62" s="5484"/>
      <c r="G62" s="5484"/>
      <c r="H62" s="5484"/>
      <c r="I62" s="5484"/>
      <c r="J62" s="5484"/>
      <c r="K62" s="5484"/>
      <c r="L62" s="5484"/>
      <c r="M62" s="5484"/>
      <c r="N62" s="5485"/>
      <c r="O62" s="5489"/>
      <c r="P62" s="5490"/>
      <c r="Q62" s="5490"/>
      <c r="R62" s="5491"/>
      <c r="S62" s="737"/>
      <c r="T62" s="705"/>
      <c r="U62" s="705"/>
      <c r="V62" s="1271"/>
      <c r="W62" s="5483"/>
      <c r="X62" s="5484"/>
      <c r="Y62" s="5484"/>
      <c r="Z62" s="5484"/>
      <c r="AA62" s="5484"/>
      <c r="AB62" s="5484"/>
      <c r="AC62" s="5484"/>
      <c r="AD62" s="5484"/>
      <c r="AE62" s="5484"/>
      <c r="AF62" s="5484"/>
      <c r="AG62" s="5484"/>
      <c r="AH62" s="5485"/>
      <c r="AI62" s="5489"/>
      <c r="AJ62" s="5490"/>
      <c r="AK62" s="5490"/>
      <c r="AL62" s="5491"/>
      <c r="AM62" s="737"/>
      <c r="AN62" s="707"/>
      <c r="AO62" s="896"/>
    </row>
    <row r="63" spans="1:41" ht="12" customHeight="1" x14ac:dyDescent="0.2">
      <c r="A63" s="705"/>
      <c r="B63" s="1275"/>
      <c r="C63" s="5498" t="str">
        <f>IF(C55="","",IF(ISNA(VLOOKUP(C55,'Tablas Técnicas'!$AD$6:$AJ$188,4,FALSE)),"-",VLOOKUP(C55,'Tablas Técnicas'!$AD$6:$AJ$188,4,FALSE)))</f>
        <v/>
      </c>
      <c r="D63" s="5499"/>
      <c r="E63" s="5499"/>
      <c r="F63" s="5499"/>
      <c r="G63" s="5499"/>
      <c r="H63" s="5499"/>
      <c r="I63" s="5499"/>
      <c r="J63" s="5499"/>
      <c r="K63" s="5499"/>
      <c r="L63" s="5499"/>
      <c r="M63" s="5499"/>
      <c r="N63" s="5499"/>
      <c r="O63" s="5492"/>
      <c r="P63" s="5493"/>
      <c r="Q63" s="5493"/>
      <c r="R63" s="5494"/>
      <c r="S63" s="737"/>
      <c r="T63" s="705"/>
      <c r="U63" s="705"/>
      <c r="V63" s="1275"/>
      <c r="W63" s="5498" t="str">
        <f>IF(W55="","",IF(ISNA(VLOOKUP(W55,'Tablas Técnicas'!$AD$6:$AJ$188,4,FALSE)),"-",VLOOKUP(W55,'Tablas Técnicas'!$AD$6:$AJ$188,4,FALSE)))</f>
        <v/>
      </c>
      <c r="X63" s="5499"/>
      <c r="Y63" s="5499"/>
      <c r="Z63" s="5499"/>
      <c r="AA63" s="5499"/>
      <c r="AB63" s="5499"/>
      <c r="AC63" s="5499"/>
      <c r="AD63" s="5499"/>
      <c r="AE63" s="5499"/>
      <c r="AF63" s="5499"/>
      <c r="AG63" s="5499"/>
      <c r="AH63" s="5499"/>
      <c r="AI63" s="5492"/>
      <c r="AJ63" s="5493"/>
      <c r="AK63" s="5493"/>
      <c r="AL63" s="5494"/>
      <c r="AM63" s="737"/>
      <c r="AN63" s="707"/>
      <c r="AO63" s="896"/>
    </row>
    <row r="64" spans="1:41" ht="12" customHeight="1" thickBot="1" x14ac:dyDescent="0.25">
      <c r="A64" s="705"/>
      <c r="B64" s="1271"/>
      <c r="C64" s="5500"/>
      <c r="D64" s="5501"/>
      <c r="E64" s="5501"/>
      <c r="F64" s="5501"/>
      <c r="G64" s="5501"/>
      <c r="H64" s="5501"/>
      <c r="I64" s="5501"/>
      <c r="J64" s="5501"/>
      <c r="K64" s="5501"/>
      <c r="L64" s="5501"/>
      <c r="M64" s="5501"/>
      <c r="N64" s="5501"/>
      <c r="O64" s="5495"/>
      <c r="P64" s="5496"/>
      <c r="Q64" s="5496"/>
      <c r="R64" s="5497"/>
      <c r="S64" s="737"/>
      <c r="T64" s="705"/>
      <c r="U64" s="705"/>
      <c r="V64" s="1271"/>
      <c r="W64" s="5500"/>
      <c r="X64" s="5501"/>
      <c r="Y64" s="5501"/>
      <c r="Z64" s="5501"/>
      <c r="AA64" s="5501"/>
      <c r="AB64" s="5501"/>
      <c r="AC64" s="5501"/>
      <c r="AD64" s="5501"/>
      <c r="AE64" s="5501"/>
      <c r="AF64" s="5501"/>
      <c r="AG64" s="5501"/>
      <c r="AH64" s="5501"/>
      <c r="AI64" s="5495"/>
      <c r="AJ64" s="5496"/>
      <c r="AK64" s="5496"/>
      <c r="AL64" s="5497"/>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470" t="s">
        <v>3607</v>
      </c>
      <c r="K67" s="5470"/>
      <c r="L67" s="841"/>
      <c r="M67" s="841"/>
      <c r="N67" s="841"/>
      <c r="O67" s="841"/>
      <c r="P67" s="841"/>
      <c r="Q67" s="841"/>
      <c r="R67" s="841"/>
      <c r="S67" s="842"/>
      <c r="T67" s="707"/>
      <c r="U67" s="706"/>
      <c r="V67" s="1277"/>
      <c r="W67" s="841"/>
      <c r="X67" s="841"/>
      <c r="Y67" s="841"/>
      <c r="Z67" s="841"/>
      <c r="AA67" s="841"/>
      <c r="AB67" s="841"/>
      <c r="AC67" s="841"/>
      <c r="AD67" s="5470" t="s">
        <v>3608</v>
      </c>
      <c r="AE67" s="5470"/>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722"/>
      <c r="D3" s="4723"/>
      <c r="E3" s="4723"/>
      <c r="F3" s="4723"/>
      <c r="G3" s="4723"/>
      <c r="H3" s="4723"/>
      <c r="I3" s="1141"/>
      <c r="J3" s="1141"/>
      <c r="K3" s="1141"/>
      <c r="L3" s="1141"/>
      <c r="M3" s="1141"/>
      <c r="N3" s="1141"/>
      <c r="O3" s="1141"/>
      <c r="P3" s="1141"/>
      <c r="Q3" s="1142"/>
      <c r="R3" s="1143"/>
      <c r="S3" s="1137"/>
      <c r="T3" s="1137"/>
      <c r="U3" s="549"/>
      <c r="V3" s="4722"/>
      <c r="W3" s="4723"/>
      <c r="X3" s="4723"/>
      <c r="Y3" s="4723"/>
      <c r="Z3" s="4723"/>
      <c r="AA3" s="4723"/>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724"/>
      <c r="D4" s="4725"/>
      <c r="E4" s="4725"/>
      <c r="F4" s="4725"/>
      <c r="G4" s="4725"/>
      <c r="H4" s="4725"/>
      <c r="I4" s="1146"/>
      <c r="J4" s="4728" t="s">
        <v>1625</v>
      </c>
      <c r="K4" s="4729"/>
      <c r="L4" s="3168" t="str">
        <f>IF(OR(General!$G$22="",General!$G$22=0),"",General!$G$22)</f>
        <v/>
      </c>
      <c r="M4" s="3168"/>
      <c r="N4" s="3168"/>
      <c r="O4" s="3168"/>
      <c r="P4" s="3168"/>
      <c r="Q4" s="747"/>
      <c r="R4" s="1143"/>
      <c r="S4" s="1137"/>
      <c r="T4" s="1137"/>
      <c r="U4" s="549"/>
      <c r="V4" s="4724"/>
      <c r="W4" s="4725"/>
      <c r="X4" s="4725"/>
      <c r="Y4" s="4725"/>
      <c r="Z4" s="4725"/>
      <c r="AA4" s="4725"/>
      <c r="AB4" s="1146"/>
      <c r="AC4" s="4720" t="s">
        <v>2115</v>
      </c>
      <c r="AD4" s="4721"/>
      <c r="AE4" s="4721"/>
      <c r="AF4" s="4721"/>
      <c r="AG4" s="4721"/>
      <c r="AH4" s="4721"/>
      <c r="AI4" s="4721"/>
      <c r="AJ4" s="747"/>
      <c r="AK4" s="1143"/>
      <c r="AL4" s="1137"/>
      <c r="AM4" s="1144"/>
      <c r="AN4" s="1144"/>
      <c r="AO4" s="1144"/>
      <c r="AP4" s="1147"/>
      <c r="AQ4" s="1147"/>
      <c r="AR4" s="1145"/>
      <c r="AS4" s="632"/>
    </row>
    <row r="5" spans="1:45" ht="12" customHeight="1" x14ac:dyDescent="0.2">
      <c r="A5" s="1137"/>
      <c r="B5" s="549"/>
      <c r="C5" s="4724"/>
      <c r="D5" s="4725"/>
      <c r="E5" s="4725"/>
      <c r="F5" s="4725"/>
      <c r="G5" s="4725"/>
      <c r="H5" s="4725"/>
      <c r="I5" s="1146"/>
      <c r="J5" s="4716" t="s">
        <v>1626</v>
      </c>
      <c r="K5" s="4717"/>
      <c r="L5" s="4718" t="str">
        <f>Principal!$L$5</f>
        <v/>
      </c>
      <c r="M5" s="4719"/>
      <c r="N5" s="4719"/>
      <c r="O5" s="1148" t="s">
        <v>1627</v>
      </c>
      <c r="P5" s="1149" t="str">
        <f>Principal!$P$5</f>
        <v>0</v>
      </c>
      <c r="Q5" s="1150"/>
      <c r="R5" s="1143"/>
      <c r="S5" s="1137"/>
      <c r="T5" s="1137"/>
      <c r="U5" s="549"/>
      <c r="V5" s="4724"/>
      <c r="W5" s="4725"/>
      <c r="X5" s="4725"/>
      <c r="Y5" s="4725"/>
      <c r="Z5" s="4725"/>
      <c r="AA5" s="4725"/>
      <c r="AB5" s="1146"/>
      <c r="AC5" s="4721"/>
      <c r="AD5" s="4721"/>
      <c r="AE5" s="4721"/>
      <c r="AF5" s="4721"/>
      <c r="AG5" s="4721"/>
      <c r="AH5" s="4721"/>
      <c r="AI5" s="4721"/>
      <c r="AJ5" s="1150"/>
      <c r="AK5" s="1143"/>
      <c r="AL5" s="1137"/>
      <c r="AM5" s="1151"/>
      <c r="AN5" s="1151"/>
      <c r="AO5" s="1151"/>
      <c r="AP5" s="1152"/>
      <c r="AQ5" s="1152"/>
      <c r="AR5" s="1145"/>
      <c r="AS5" s="632"/>
    </row>
    <row r="6" spans="1:45" ht="12" customHeight="1" x14ac:dyDescent="0.2">
      <c r="A6" s="1137"/>
      <c r="B6" s="549"/>
      <c r="C6" s="4724"/>
      <c r="D6" s="4725"/>
      <c r="E6" s="4725"/>
      <c r="F6" s="4725"/>
      <c r="G6" s="4725"/>
      <c r="H6" s="4725"/>
      <c r="I6" s="1146"/>
      <c r="J6" s="4720" t="s">
        <v>7692</v>
      </c>
      <c r="K6" s="4721"/>
      <c r="L6" s="4721"/>
      <c r="M6" s="4721"/>
      <c r="N6" s="4721"/>
      <c r="O6" s="4721"/>
      <c r="P6" s="4721"/>
      <c r="Q6" s="1150"/>
      <c r="R6" s="1143"/>
      <c r="S6" s="1137"/>
      <c r="T6" s="1137"/>
      <c r="U6" s="549"/>
      <c r="V6" s="4724"/>
      <c r="W6" s="4725"/>
      <c r="X6" s="4725"/>
      <c r="Y6" s="4725"/>
      <c r="Z6" s="4725"/>
      <c r="AA6" s="4725"/>
      <c r="AB6" s="1146"/>
      <c r="AC6" s="5457"/>
      <c r="AD6" s="5458"/>
      <c r="AE6" s="5458"/>
      <c r="AF6" s="5458"/>
      <c r="AG6" s="5458"/>
      <c r="AH6" s="5458"/>
      <c r="AI6" s="5458"/>
      <c r="AJ6" s="1150"/>
      <c r="AK6" s="1143"/>
      <c r="AL6" s="1137"/>
      <c r="AM6" s="1153"/>
      <c r="AN6" s="1153"/>
      <c r="AO6" s="1153"/>
      <c r="AP6" s="1154"/>
      <c r="AQ6" s="1154"/>
      <c r="AR6" s="1145"/>
      <c r="AS6" s="632"/>
    </row>
    <row r="7" spans="1:45" ht="12" customHeight="1" x14ac:dyDescent="0.2">
      <c r="A7" s="1137"/>
      <c r="B7" s="549"/>
      <c r="C7" s="4724"/>
      <c r="D7" s="4725"/>
      <c r="E7" s="4725"/>
      <c r="F7" s="4725"/>
      <c r="G7" s="4725"/>
      <c r="H7" s="4725"/>
      <c r="I7" s="1146"/>
      <c r="J7" s="4721"/>
      <c r="K7" s="4721"/>
      <c r="L7" s="4721"/>
      <c r="M7" s="4721"/>
      <c r="N7" s="4721"/>
      <c r="O7" s="4721"/>
      <c r="P7" s="4721"/>
      <c r="Q7" s="1150"/>
      <c r="R7" s="1143"/>
      <c r="S7" s="1137"/>
      <c r="T7" s="1137"/>
      <c r="U7" s="549"/>
      <c r="V7" s="4724"/>
      <c r="W7" s="4725"/>
      <c r="X7" s="4725"/>
      <c r="Y7" s="4725"/>
      <c r="Z7" s="4725"/>
      <c r="AA7" s="4725"/>
      <c r="AB7" s="1146"/>
      <c r="AC7" s="5458"/>
      <c r="AD7" s="5458"/>
      <c r="AE7" s="5458"/>
      <c r="AF7" s="5458"/>
      <c r="AG7" s="5458"/>
      <c r="AH7" s="5458"/>
      <c r="AI7" s="5458"/>
      <c r="AJ7" s="1150"/>
      <c r="AK7" s="1143"/>
      <c r="AL7" s="1137"/>
      <c r="AM7" s="1151"/>
      <c r="AN7" s="1151"/>
      <c r="AO7" s="1151"/>
      <c r="AP7" s="1152"/>
      <c r="AQ7" s="1152"/>
      <c r="AR7" s="1145"/>
      <c r="AS7" s="632"/>
    </row>
    <row r="8" spans="1:45" ht="12" customHeight="1" thickBot="1" x14ac:dyDescent="0.25">
      <c r="A8" s="1137"/>
      <c r="B8" s="549"/>
      <c r="C8" s="4726"/>
      <c r="D8" s="4727"/>
      <c r="E8" s="4727"/>
      <c r="F8" s="4727"/>
      <c r="G8" s="4727"/>
      <c r="H8" s="4727"/>
      <c r="I8" s="1155"/>
      <c r="J8" s="1155"/>
      <c r="K8" s="1155"/>
      <c r="L8" s="1155"/>
      <c r="M8" s="1155"/>
      <c r="N8" s="1155"/>
      <c r="O8" s="1155"/>
      <c r="P8" s="1155"/>
      <c r="Q8" s="1156"/>
      <c r="R8" s="1143"/>
      <c r="S8" s="1137"/>
      <c r="T8" s="1137"/>
      <c r="U8" s="549"/>
      <c r="V8" s="4726"/>
      <c r="W8" s="4727"/>
      <c r="X8" s="4727"/>
      <c r="Y8" s="4727"/>
      <c r="Z8" s="4727"/>
      <c r="AA8" s="4727"/>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452"/>
      <c r="D10" s="5453"/>
      <c r="E10" s="5453"/>
      <c r="F10" s="5453"/>
      <c r="G10" s="5453"/>
      <c r="H10" s="5453"/>
      <c r="I10" s="1190" t="s">
        <v>1712</v>
      </c>
      <c r="K10" s="5452"/>
      <c r="L10" s="5453"/>
      <c r="M10" s="5453"/>
      <c r="N10" s="5453"/>
      <c r="O10" s="5453"/>
      <c r="P10" s="5453"/>
      <c r="Q10" s="1190" t="s">
        <v>1712</v>
      </c>
      <c r="R10" s="1143"/>
      <c r="S10" s="1137"/>
      <c r="T10" s="1137"/>
      <c r="U10" s="549"/>
      <c r="V10" s="5452"/>
      <c r="W10" s="5453"/>
      <c r="X10" s="5453"/>
      <c r="Y10" s="5453"/>
      <c r="Z10" s="5453"/>
      <c r="AA10" s="5453"/>
      <c r="AB10" s="1190" t="s">
        <v>1712</v>
      </c>
      <c r="AC10" s="1191"/>
      <c r="AD10" s="5452"/>
      <c r="AE10" s="5453"/>
      <c r="AF10" s="5453"/>
      <c r="AG10" s="5453"/>
      <c r="AH10" s="5453"/>
      <c r="AI10" s="5453"/>
      <c r="AJ10" s="1190" t="s">
        <v>1712</v>
      </c>
      <c r="AK10" s="1143"/>
      <c r="AL10" s="1137"/>
      <c r="AM10" s="1153"/>
      <c r="AN10" s="1153"/>
      <c r="AO10" s="1153"/>
      <c r="AP10" s="1154"/>
      <c r="AQ10" s="1154"/>
      <c r="AR10" s="1145"/>
      <c r="AS10" s="632"/>
    </row>
    <row r="11" spans="1:45" ht="12" customHeight="1" x14ac:dyDescent="0.2">
      <c r="A11" s="1137"/>
      <c r="B11" s="549"/>
      <c r="C11" s="5542" t="str">
        <f>IF(C10=0,"",VLOOKUP(C10,'Tablas psiquica'!$D$7:$R$145,2,FALSE))</f>
        <v/>
      </c>
      <c r="D11" s="5543"/>
      <c r="E11" s="5543"/>
      <c r="F11" s="5543"/>
      <c r="G11" s="5543"/>
      <c r="H11" s="5543"/>
      <c r="I11" s="1192" t="str">
        <f>IF(C10=0,"",VLOOKUP(C10,'Tablas psiquica'!$D$7:$R$145,3,FALSE))</f>
        <v/>
      </c>
      <c r="K11" s="5542" t="str">
        <f>IF(K10=0,"",VLOOKUP(K10,'Tablas psiquica'!$D$7:$R$145,2,FALSE))</f>
        <v/>
      </c>
      <c r="L11" s="5543"/>
      <c r="M11" s="5543"/>
      <c r="N11" s="5543"/>
      <c r="O11" s="5543"/>
      <c r="P11" s="5543"/>
      <c r="Q11" s="1192" t="str">
        <f>IF(K10=0,"",VLOOKUP(K10,'Tablas psiquica'!$D$7:$R$145,3,FALSE))</f>
        <v/>
      </c>
      <c r="R11" s="1143"/>
      <c r="S11" s="1137"/>
      <c r="T11" s="1137"/>
      <c r="U11" s="549"/>
      <c r="V11" s="5542" t="str">
        <f>IF(V10=0,"",VLOOKUP(V10,'Tablas psiquica'!$D$7:$R$145,2,FALSE))</f>
        <v/>
      </c>
      <c r="W11" s="5543"/>
      <c r="X11" s="5543"/>
      <c r="Y11" s="5543"/>
      <c r="Z11" s="5543"/>
      <c r="AA11" s="5543"/>
      <c r="AB11" s="1192" t="str">
        <f>IF(V10=0,"",VLOOKUP(V10,'Tablas psiquica'!$D$7:$R$145,3,FALSE))</f>
        <v/>
      </c>
      <c r="AC11" s="675"/>
      <c r="AD11" s="5542" t="str">
        <f>IF(AD10=0,"",VLOOKUP(AD10,'Tablas psiquica'!$D$7:$R$145,2,FALSE))</f>
        <v/>
      </c>
      <c r="AE11" s="5543"/>
      <c r="AF11" s="5543"/>
      <c r="AG11" s="5543"/>
      <c r="AH11" s="5543"/>
      <c r="AI11" s="5543"/>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529" t="s">
        <v>2045</v>
      </c>
      <c r="E12" s="5427"/>
      <c r="F12" s="5530" t="str">
        <f>IF(C10=0,"",VLOOKUP(C10,'Tablas psiquica'!$D$7:$R$145,6,FALSE))</f>
        <v/>
      </c>
      <c r="G12" s="5531"/>
      <c r="H12" s="5531"/>
      <c r="I12" s="5532"/>
      <c r="K12" s="1193">
        <v>20</v>
      </c>
      <c r="L12" s="5529" t="s">
        <v>2045</v>
      </c>
      <c r="M12" s="5427"/>
      <c r="N12" s="5530" t="str">
        <f>IF(K10=0,"",VLOOKUP(K10,'Tablas psiquica'!$D$7:$R$145,6,FALSE))</f>
        <v/>
      </c>
      <c r="O12" s="5531"/>
      <c r="P12" s="5531"/>
      <c r="Q12" s="5532"/>
      <c r="R12" s="1143"/>
      <c r="S12" s="1137"/>
      <c r="T12" s="1137"/>
      <c r="U12" s="549"/>
      <c r="V12" s="1193">
        <v>20</v>
      </c>
      <c r="W12" s="5529" t="s">
        <v>2045</v>
      </c>
      <c r="X12" s="5427"/>
      <c r="Y12" s="5530" t="str">
        <f>IF(V10=0,"",VLOOKUP(V10,'Tablas psiquica'!$D$7:$R$145,6,FALSE))</f>
        <v/>
      </c>
      <c r="Z12" s="5531"/>
      <c r="AA12" s="5531"/>
      <c r="AB12" s="5532"/>
      <c r="AC12" s="1194"/>
      <c r="AD12" s="1193">
        <v>20</v>
      </c>
      <c r="AE12" s="5529" t="s">
        <v>2045</v>
      </c>
      <c r="AF12" s="5427"/>
      <c r="AG12" s="5530" t="str">
        <f>IF(AD10=0,"",VLOOKUP(AD10,'Tablas psiquica'!$D$7:$R$145,6,FALSE))</f>
        <v/>
      </c>
      <c r="AH12" s="5531"/>
      <c r="AI12" s="5531"/>
      <c r="AJ12" s="5532"/>
      <c r="AK12" s="1143"/>
      <c r="AL12" s="1137"/>
      <c r="AM12" s="1153"/>
      <c r="AN12" s="1153"/>
      <c r="AO12" s="1153"/>
      <c r="AP12" s="1154"/>
      <c r="AQ12" s="1154"/>
      <c r="AR12" s="1145"/>
      <c r="AS12" s="632"/>
    </row>
    <row r="13" spans="1:45" ht="12" customHeight="1" x14ac:dyDescent="0.2">
      <c r="A13" s="1137"/>
      <c r="B13" s="549"/>
      <c r="C13" s="1195">
        <v>40</v>
      </c>
      <c r="D13" s="5538" t="s">
        <v>2049</v>
      </c>
      <c r="E13" s="5432"/>
      <c r="F13" s="5539" t="str">
        <f>IF(C10=0,"",VLOOKUP(C10,'Tablas psiquica'!$D$7:$R$145,7,FALSE))</f>
        <v/>
      </c>
      <c r="G13" s="5540"/>
      <c r="H13" s="5540"/>
      <c r="I13" s="5541"/>
      <c r="K13" s="1195">
        <v>40</v>
      </c>
      <c r="L13" s="5538" t="s">
        <v>2049</v>
      </c>
      <c r="M13" s="5432"/>
      <c r="N13" s="5539" t="str">
        <f>IF(K10=0,"",VLOOKUP(K10,'Tablas psiquica'!$D$7:$R$145,7,FALSE))</f>
        <v/>
      </c>
      <c r="O13" s="5540"/>
      <c r="P13" s="5540"/>
      <c r="Q13" s="5541"/>
      <c r="R13" s="1143"/>
      <c r="S13" s="1137"/>
      <c r="T13" s="1137"/>
      <c r="U13" s="549"/>
      <c r="V13" s="1195">
        <v>40</v>
      </c>
      <c r="W13" s="5538" t="s">
        <v>2049</v>
      </c>
      <c r="X13" s="5432"/>
      <c r="Y13" s="5539" t="str">
        <f>IF(V10=0,"",VLOOKUP(V10,'Tablas psiquica'!$D$7:$R$145,7,FALSE))</f>
        <v/>
      </c>
      <c r="Z13" s="5540"/>
      <c r="AA13" s="5540"/>
      <c r="AB13" s="5541"/>
      <c r="AC13" s="1194"/>
      <c r="AD13" s="1195">
        <v>40</v>
      </c>
      <c r="AE13" s="5538" t="s">
        <v>2049</v>
      </c>
      <c r="AF13" s="5432"/>
      <c r="AG13" s="5539" t="str">
        <f>IF(AD10=0,"",VLOOKUP(AD10,'Tablas psiquica'!$D$7:$R$145,7,FALSE))</f>
        <v/>
      </c>
      <c r="AH13" s="5540"/>
      <c r="AI13" s="5540"/>
      <c r="AJ13" s="5541"/>
      <c r="AK13" s="1143"/>
      <c r="AL13" s="1137"/>
      <c r="AM13" s="1151"/>
      <c r="AP13" s="1152"/>
      <c r="AQ13" s="1152"/>
      <c r="AR13" s="1145"/>
      <c r="AS13" s="632"/>
    </row>
    <row r="14" spans="1:45" ht="12" customHeight="1" x14ac:dyDescent="0.2">
      <c r="A14" s="1137"/>
      <c r="B14" s="549"/>
      <c r="C14" s="1193">
        <v>80</v>
      </c>
      <c r="D14" s="5529" t="s">
        <v>2052</v>
      </c>
      <c r="E14" s="5427"/>
      <c r="F14" s="5530" t="str">
        <f>IF(C10=0,"",VLOOKUP(C10,'Tablas psiquica'!$D$7:$R$145,8,FALSE))</f>
        <v/>
      </c>
      <c r="G14" s="5531"/>
      <c r="H14" s="5531"/>
      <c r="I14" s="5532"/>
      <c r="K14" s="1193">
        <v>80</v>
      </c>
      <c r="L14" s="5529" t="s">
        <v>2052</v>
      </c>
      <c r="M14" s="5427"/>
      <c r="N14" s="5530" t="str">
        <f>IF(K10=0,"",VLOOKUP(K10,'Tablas psiquica'!$D$7:$R$145,8,FALSE))</f>
        <v/>
      </c>
      <c r="O14" s="5531"/>
      <c r="P14" s="5531"/>
      <c r="Q14" s="5532"/>
      <c r="R14" s="1143"/>
      <c r="S14" s="1137"/>
      <c r="T14" s="1137"/>
      <c r="U14" s="549"/>
      <c r="V14" s="1193">
        <v>80</v>
      </c>
      <c r="W14" s="5529" t="s">
        <v>2052</v>
      </c>
      <c r="X14" s="5427"/>
      <c r="Y14" s="5530" t="str">
        <f>IF(V10=0,"",VLOOKUP(V10,'Tablas psiquica'!$D$7:$R$145,8,FALSE))</f>
        <v/>
      </c>
      <c r="Z14" s="5531"/>
      <c r="AA14" s="5531"/>
      <c r="AB14" s="5532"/>
      <c r="AC14" s="1194"/>
      <c r="AD14" s="1193">
        <v>80</v>
      </c>
      <c r="AE14" s="5529" t="s">
        <v>2052</v>
      </c>
      <c r="AF14" s="5427"/>
      <c r="AG14" s="5530" t="str">
        <f>IF(AD10=0,"",VLOOKUP(AD10,'Tablas psiquica'!$D$7:$R$145,8,FALSE))</f>
        <v/>
      </c>
      <c r="AH14" s="5531"/>
      <c r="AI14" s="5531"/>
      <c r="AJ14" s="5532"/>
      <c r="AK14" s="1143"/>
      <c r="AL14" s="1137"/>
      <c r="AM14" s="1153"/>
      <c r="AN14" s="1153"/>
      <c r="AO14" s="1153"/>
      <c r="AP14" s="1154"/>
      <c r="AQ14" s="1154"/>
      <c r="AR14" s="1145"/>
      <c r="AS14" s="632"/>
    </row>
    <row r="15" spans="1:45" ht="12" customHeight="1" x14ac:dyDescent="0.2">
      <c r="A15" s="1137"/>
      <c r="B15" s="549"/>
      <c r="C15" s="1195">
        <v>120</v>
      </c>
      <c r="D15" s="5538" t="s">
        <v>2056</v>
      </c>
      <c r="E15" s="5432"/>
      <c r="F15" s="5539" t="str">
        <f>IF(C10=0,"",VLOOKUP(C10,'Tablas psiquica'!$D$7:$R$145,9,FALSE))</f>
        <v/>
      </c>
      <c r="G15" s="5540"/>
      <c r="H15" s="5540"/>
      <c r="I15" s="5541"/>
      <c r="K15" s="1195">
        <v>120</v>
      </c>
      <c r="L15" s="5538" t="s">
        <v>2056</v>
      </c>
      <c r="M15" s="5432"/>
      <c r="N15" s="5539" t="str">
        <f>IF(K10=0,"",VLOOKUP(K10,'Tablas psiquica'!$D$7:$R$145,9,FALSE))</f>
        <v/>
      </c>
      <c r="O15" s="5540"/>
      <c r="P15" s="5540"/>
      <c r="Q15" s="5541"/>
      <c r="R15" s="1143"/>
      <c r="S15" s="1137"/>
      <c r="T15" s="1137"/>
      <c r="U15" s="549"/>
      <c r="V15" s="1195">
        <v>120</v>
      </c>
      <c r="W15" s="5538" t="s">
        <v>2056</v>
      </c>
      <c r="X15" s="5432"/>
      <c r="Y15" s="5539" t="str">
        <f>IF(V10=0,"",VLOOKUP(V10,'Tablas psiquica'!$D$7:$R$145,9,FALSE))</f>
        <v/>
      </c>
      <c r="Z15" s="5540"/>
      <c r="AA15" s="5540"/>
      <c r="AB15" s="5541"/>
      <c r="AC15" s="1196"/>
      <c r="AD15" s="1195">
        <v>120</v>
      </c>
      <c r="AE15" s="5538" t="s">
        <v>2056</v>
      </c>
      <c r="AF15" s="5432"/>
      <c r="AG15" s="5539" t="str">
        <f>IF(AD10=0,"",VLOOKUP(AD10,'Tablas psiquica'!$D$7:$R$145,9,FALSE))</f>
        <v/>
      </c>
      <c r="AH15" s="5540"/>
      <c r="AI15" s="5540"/>
      <c r="AJ15" s="5541"/>
      <c r="AK15" s="1143"/>
      <c r="AL15" s="1137"/>
      <c r="AM15" s="1151"/>
      <c r="AN15" s="1151"/>
      <c r="AO15" s="1151"/>
      <c r="AP15" s="1152"/>
      <c r="AQ15" s="1152"/>
      <c r="AR15" s="1145"/>
      <c r="AS15" s="632"/>
    </row>
    <row r="16" spans="1:45" ht="12" customHeight="1" x14ac:dyDescent="0.2">
      <c r="A16" s="1137"/>
      <c r="B16" s="549"/>
      <c r="C16" s="1193">
        <v>140</v>
      </c>
      <c r="D16" s="5529" t="s">
        <v>7693</v>
      </c>
      <c r="E16" s="5427"/>
      <c r="F16" s="5530" t="str">
        <f>IF(C10=0,"",VLOOKUP(C10,'Tablas psiquica'!$D$7:$R$145,10,FALSE))</f>
        <v/>
      </c>
      <c r="G16" s="5531"/>
      <c r="H16" s="5531"/>
      <c r="I16" s="5532"/>
      <c r="K16" s="1193">
        <v>140</v>
      </c>
      <c r="L16" s="5529" t="s">
        <v>7693</v>
      </c>
      <c r="M16" s="5427"/>
      <c r="N16" s="5530" t="str">
        <f>IF(K10=0,"",VLOOKUP(K10,'Tablas psiquica'!$D$7:$R$145,10,FALSE))</f>
        <v/>
      </c>
      <c r="O16" s="5531"/>
      <c r="P16" s="5531"/>
      <c r="Q16" s="5532"/>
      <c r="R16" s="1143"/>
      <c r="S16" s="1137"/>
      <c r="T16" s="1137"/>
      <c r="U16" s="549"/>
      <c r="V16" s="1193">
        <v>140</v>
      </c>
      <c r="W16" s="5529" t="s">
        <v>7693</v>
      </c>
      <c r="X16" s="5427"/>
      <c r="Y16" s="5530" t="str">
        <f>IF(V10=0,"",VLOOKUP(V10,'Tablas psiquica'!$D$7:$R$145,10,FALSE))</f>
        <v/>
      </c>
      <c r="Z16" s="5531"/>
      <c r="AA16" s="5531"/>
      <c r="AB16" s="5532"/>
      <c r="AC16" s="1197"/>
      <c r="AD16" s="1193">
        <v>140</v>
      </c>
      <c r="AE16" s="5529" t="s">
        <v>7693</v>
      </c>
      <c r="AF16" s="5427"/>
      <c r="AG16" s="5530" t="str">
        <f>IF(AD10=0,"",VLOOKUP(AD10,'Tablas psiquica'!$D$7:$R$145,10,FALSE))</f>
        <v/>
      </c>
      <c r="AH16" s="5531"/>
      <c r="AI16" s="5531"/>
      <c r="AJ16" s="5532"/>
      <c r="AK16" s="1143"/>
      <c r="AL16" s="1137"/>
      <c r="AM16" s="1153"/>
      <c r="AN16" s="1153"/>
      <c r="AO16" s="1153"/>
      <c r="AP16" s="1154"/>
      <c r="AQ16" s="1154"/>
      <c r="AR16" s="1145"/>
      <c r="AS16" s="632"/>
    </row>
    <row r="17" spans="1:45" ht="12" customHeight="1" x14ac:dyDescent="0.2">
      <c r="A17" s="1137"/>
      <c r="B17" s="549"/>
      <c r="C17" s="1195">
        <v>180</v>
      </c>
      <c r="D17" s="5538" t="s">
        <v>2061</v>
      </c>
      <c r="E17" s="5432"/>
      <c r="F17" s="5539" t="str">
        <f>IF(C10=0,"",VLOOKUP(C10,'Tablas psiquica'!$D$7:$R$145,11,FALSE))</f>
        <v/>
      </c>
      <c r="G17" s="5540"/>
      <c r="H17" s="5540"/>
      <c r="I17" s="5541"/>
      <c r="K17" s="1195">
        <v>180</v>
      </c>
      <c r="L17" s="5538" t="s">
        <v>2061</v>
      </c>
      <c r="M17" s="5432"/>
      <c r="N17" s="5539" t="str">
        <f>IF(K10=0,"",VLOOKUP(K10,'Tablas psiquica'!$D$7:$R$145,11,FALSE))</f>
        <v/>
      </c>
      <c r="O17" s="5540"/>
      <c r="P17" s="5540"/>
      <c r="Q17" s="5541"/>
      <c r="R17" s="1143"/>
      <c r="S17" s="1137"/>
      <c r="T17" s="1137"/>
      <c r="U17" s="549"/>
      <c r="V17" s="1195">
        <v>180</v>
      </c>
      <c r="W17" s="5538" t="s">
        <v>2061</v>
      </c>
      <c r="X17" s="5432"/>
      <c r="Y17" s="5539" t="str">
        <f>IF(V10=0,"",VLOOKUP(V10,'Tablas psiquica'!$D$7:$R$145,11,FALSE))</f>
        <v/>
      </c>
      <c r="Z17" s="5540"/>
      <c r="AA17" s="5540"/>
      <c r="AB17" s="5541"/>
      <c r="AC17" s="1185"/>
      <c r="AD17" s="1195">
        <v>180</v>
      </c>
      <c r="AE17" s="5538" t="s">
        <v>2061</v>
      </c>
      <c r="AF17" s="5432"/>
      <c r="AG17" s="5539" t="str">
        <f>IF(AD10=0,"",VLOOKUP(AD10,'Tablas psiquica'!$D$7:$R$145,11,FALSE))</f>
        <v/>
      </c>
      <c r="AH17" s="5540"/>
      <c r="AI17" s="5540"/>
      <c r="AJ17" s="5541"/>
      <c r="AK17" s="1143"/>
      <c r="AL17" s="1137"/>
      <c r="AM17" s="1151"/>
      <c r="AP17" s="1152"/>
      <c r="AQ17" s="1152"/>
      <c r="AR17" s="1145"/>
      <c r="AS17" s="632"/>
    </row>
    <row r="18" spans="1:45" ht="12" customHeight="1" x14ac:dyDescent="0.2">
      <c r="A18" s="1137"/>
      <c r="B18" s="549"/>
      <c r="C18" s="1193">
        <v>240</v>
      </c>
      <c r="D18" s="5529" t="s">
        <v>7694</v>
      </c>
      <c r="E18" s="5427"/>
      <c r="F18" s="5530" t="str">
        <f>IF(C10=0,"",VLOOKUP(C10,'Tablas psiquica'!$D$7:$R$145,12,FALSE))</f>
        <v/>
      </c>
      <c r="G18" s="5531"/>
      <c r="H18" s="5531"/>
      <c r="I18" s="5532"/>
      <c r="K18" s="1193">
        <v>240</v>
      </c>
      <c r="L18" s="5529" t="s">
        <v>7694</v>
      </c>
      <c r="M18" s="5427"/>
      <c r="N18" s="5530" t="str">
        <f>IF(K10=0,"",VLOOKUP(K10,'Tablas psiquica'!$D$7:$R$145,12,FALSE))</f>
        <v/>
      </c>
      <c r="O18" s="5531"/>
      <c r="P18" s="5531"/>
      <c r="Q18" s="5532"/>
      <c r="R18" s="1143"/>
      <c r="S18" s="1137"/>
      <c r="T18" s="1137"/>
      <c r="U18" s="549"/>
      <c r="V18" s="1193">
        <v>240</v>
      </c>
      <c r="W18" s="5529" t="s">
        <v>7694</v>
      </c>
      <c r="X18" s="5427"/>
      <c r="Y18" s="5530" t="str">
        <f>IF(V10=0,"",VLOOKUP(V10,'Tablas psiquica'!$D$7:$R$145,12,FALSE))</f>
        <v/>
      </c>
      <c r="Z18" s="5531"/>
      <c r="AA18" s="5531"/>
      <c r="AB18" s="5532"/>
      <c r="AC18" s="1185"/>
      <c r="AD18" s="1193">
        <v>240</v>
      </c>
      <c r="AE18" s="5529" t="s">
        <v>7694</v>
      </c>
      <c r="AF18" s="5427"/>
      <c r="AG18" s="5530" t="str">
        <f>IF(AD10=0,"",VLOOKUP(AD10,'Tablas psiquica'!$D$7:$R$145,12,FALSE))</f>
        <v/>
      </c>
      <c r="AH18" s="5531"/>
      <c r="AI18" s="5531"/>
      <c r="AJ18" s="5532"/>
      <c r="AK18" s="1143"/>
      <c r="AL18" s="1137"/>
      <c r="AM18" s="1153"/>
      <c r="AP18" s="1154"/>
      <c r="AQ18" s="1154"/>
      <c r="AR18" s="1145"/>
      <c r="AS18" s="632"/>
    </row>
    <row r="19" spans="1:45" ht="12" customHeight="1" x14ac:dyDescent="0.2">
      <c r="A19" s="1137"/>
      <c r="B19" s="549"/>
      <c r="C19" s="1195">
        <v>280</v>
      </c>
      <c r="D19" s="5538" t="s">
        <v>2066</v>
      </c>
      <c r="E19" s="5432"/>
      <c r="F19" s="5539" t="str">
        <f>IF(C10=0,"",VLOOKUP(C10,'Tablas psiquica'!$D$7:$R$145,13,FALSE))</f>
        <v/>
      </c>
      <c r="G19" s="5540"/>
      <c r="H19" s="5540"/>
      <c r="I19" s="5541"/>
      <c r="K19" s="1195">
        <v>280</v>
      </c>
      <c r="L19" s="5538" t="s">
        <v>2066</v>
      </c>
      <c r="M19" s="5432"/>
      <c r="N19" s="5539" t="str">
        <f>IF(K10=0,"",VLOOKUP(K10,'Tablas psiquica'!$D$7:$R$145,13,FALSE))</f>
        <v/>
      </c>
      <c r="O19" s="5540"/>
      <c r="P19" s="5540"/>
      <c r="Q19" s="5541"/>
      <c r="R19" s="1143"/>
      <c r="S19" s="1137"/>
      <c r="T19" s="1137"/>
      <c r="U19" s="549"/>
      <c r="V19" s="1195">
        <v>280</v>
      </c>
      <c r="W19" s="5538" t="s">
        <v>2066</v>
      </c>
      <c r="X19" s="5432"/>
      <c r="Y19" s="5539" t="str">
        <f>IF(V10=0,"",VLOOKUP(V10,'Tablas psiquica'!$D$7:$R$145,13,FALSE))</f>
        <v/>
      </c>
      <c r="Z19" s="5540"/>
      <c r="AA19" s="5540"/>
      <c r="AB19" s="5541"/>
      <c r="AC19" s="1185"/>
      <c r="AD19" s="1195">
        <v>280</v>
      </c>
      <c r="AE19" s="5538" t="s">
        <v>2066</v>
      </c>
      <c r="AF19" s="5432"/>
      <c r="AG19" s="5539" t="str">
        <f>IF(AD10=0,"",VLOOKUP(AD10,'Tablas psiquica'!$D$7:$R$145,13,FALSE))</f>
        <v/>
      </c>
      <c r="AH19" s="5540"/>
      <c r="AI19" s="5540"/>
      <c r="AJ19" s="5541"/>
      <c r="AK19" s="1143"/>
      <c r="AL19" s="1137"/>
      <c r="AM19" s="1151"/>
      <c r="AP19" s="1152"/>
      <c r="AQ19" s="1152"/>
      <c r="AR19" s="1145"/>
      <c r="AS19" s="632"/>
    </row>
    <row r="20" spans="1:45" ht="12" customHeight="1" x14ac:dyDescent="0.2">
      <c r="A20" s="1137"/>
      <c r="B20" s="549"/>
      <c r="C20" s="1193">
        <v>320</v>
      </c>
      <c r="D20" s="5529" t="s">
        <v>2068</v>
      </c>
      <c r="E20" s="5427"/>
      <c r="F20" s="5530" t="str">
        <f>IF(C10=0,"",VLOOKUP(C10,'Tablas psiquica'!$D$7:$R$145,14,FALSE))</f>
        <v/>
      </c>
      <c r="G20" s="5531"/>
      <c r="H20" s="5531"/>
      <c r="I20" s="5532"/>
      <c r="K20" s="1193">
        <v>320</v>
      </c>
      <c r="L20" s="5529" t="s">
        <v>2068</v>
      </c>
      <c r="M20" s="5427"/>
      <c r="N20" s="5530" t="str">
        <f>IF(K10=0,"",VLOOKUP(K10,'Tablas psiquica'!$D$7:$R$145,14,FALSE))</f>
        <v/>
      </c>
      <c r="O20" s="5531"/>
      <c r="P20" s="5531"/>
      <c r="Q20" s="5532"/>
      <c r="R20" s="1143"/>
      <c r="S20" s="1137"/>
      <c r="T20" s="1137"/>
      <c r="U20" s="549"/>
      <c r="V20" s="1193">
        <v>320</v>
      </c>
      <c r="W20" s="5529" t="s">
        <v>2068</v>
      </c>
      <c r="X20" s="5427"/>
      <c r="Y20" s="5530" t="str">
        <f>IF(V10=0,"",VLOOKUP(V10,'Tablas psiquica'!$D$7:$R$145,14,FALSE))</f>
        <v/>
      </c>
      <c r="Z20" s="5531"/>
      <c r="AA20" s="5531"/>
      <c r="AB20" s="5532"/>
      <c r="AC20" s="1185"/>
      <c r="AD20" s="1193">
        <v>320</v>
      </c>
      <c r="AE20" s="5529" t="s">
        <v>2068</v>
      </c>
      <c r="AF20" s="5427"/>
      <c r="AG20" s="5530" t="str">
        <f>IF(AD10=0,"",VLOOKUP(AD10,'Tablas psiquica'!$D$7:$R$145,14,FALSE))</f>
        <v/>
      </c>
      <c r="AH20" s="5531"/>
      <c r="AI20" s="5531"/>
      <c r="AJ20" s="5532"/>
      <c r="AK20" s="1143"/>
      <c r="AL20" s="1137"/>
      <c r="AM20" s="1153"/>
      <c r="AP20" s="1154"/>
      <c r="AQ20" s="1154"/>
      <c r="AR20" s="1145"/>
      <c r="AS20" s="632"/>
    </row>
    <row r="21" spans="1:45" ht="12" customHeight="1" x14ac:dyDescent="0.2">
      <c r="A21" s="1137"/>
      <c r="B21" s="549"/>
      <c r="C21" s="1198">
        <v>440</v>
      </c>
      <c r="D21" s="5533" t="s">
        <v>2002</v>
      </c>
      <c r="E21" s="5534"/>
      <c r="F21" s="5535" t="str">
        <f>IF(C10=0,"",VLOOKUP(C10,'Tablas psiquica'!$D$7:$R$145,15,FALSE))</f>
        <v/>
      </c>
      <c r="G21" s="5536"/>
      <c r="H21" s="5536"/>
      <c r="I21" s="5537"/>
      <c r="K21" s="1198">
        <v>440</v>
      </c>
      <c r="L21" s="5533" t="s">
        <v>2002</v>
      </c>
      <c r="M21" s="5534"/>
      <c r="N21" s="5535" t="str">
        <f>IF(K10=0,"",VLOOKUP(K10,'Tablas psiquica'!$D$7:$R$145,15,FALSE))</f>
        <v/>
      </c>
      <c r="O21" s="5536"/>
      <c r="P21" s="5536"/>
      <c r="Q21" s="5537"/>
      <c r="R21" s="1143"/>
      <c r="S21" s="1137"/>
      <c r="T21" s="1137"/>
      <c r="U21" s="549"/>
      <c r="V21" s="1198">
        <v>440</v>
      </c>
      <c r="W21" s="5533" t="s">
        <v>2002</v>
      </c>
      <c r="X21" s="5534"/>
      <c r="Y21" s="5535" t="str">
        <f>IF(V10=0,"",VLOOKUP(V10,'Tablas psiquica'!$D$7:$R$145,15,FALSE))</f>
        <v/>
      </c>
      <c r="Z21" s="5536"/>
      <c r="AA21" s="5536"/>
      <c r="AB21" s="5537"/>
      <c r="AC21" s="1185"/>
      <c r="AD21" s="1198">
        <v>440</v>
      </c>
      <c r="AE21" s="5533" t="s">
        <v>2002</v>
      </c>
      <c r="AF21" s="5534"/>
      <c r="AG21" s="5535" t="str">
        <f>IF(AD10=0,"",VLOOKUP(AD10,'Tablas psiquica'!$D$7:$R$145,15,FALSE))</f>
        <v/>
      </c>
      <c r="AH21" s="5536"/>
      <c r="AI21" s="5536"/>
      <c r="AJ21" s="5537"/>
      <c r="AK21" s="1143"/>
      <c r="AL21" s="1137"/>
      <c r="AM21" s="1151"/>
      <c r="AP21" s="1152"/>
      <c r="AQ21" s="1152"/>
      <c r="AR21" s="1145"/>
      <c r="AS21" s="632"/>
    </row>
    <row r="22" spans="1:45" ht="12" customHeight="1" thickBot="1" x14ac:dyDescent="0.25">
      <c r="A22" s="1137"/>
      <c r="B22" s="549"/>
      <c r="C22" s="5526" t="s">
        <v>7695</v>
      </c>
      <c r="D22" s="5527"/>
      <c r="E22" s="1199" t="str">
        <f>IF(C10=0,"",VLOOKUP(C10,'Tablas psiquica'!$D$7:$R$145,4,FALSE))</f>
        <v/>
      </c>
      <c r="F22" s="5528" t="s">
        <v>7690</v>
      </c>
      <c r="G22" s="5528"/>
      <c r="H22" s="4342" t="str">
        <f>IF(C10=0,"",VLOOKUP(C10,'Tablas psiquica'!$D$7:$R$145,5,FALSE))</f>
        <v/>
      </c>
      <c r="I22" s="4343"/>
      <c r="K22" s="5526" t="s">
        <v>7695</v>
      </c>
      <c r="L22" s="5527"/>
      <c r="M22" s="1199" t="str">
        <f>IF(K10=0,"",VLOOKUP(K10,'Tablas psiquica'!$D$7:$R$145,4,FALSE))</f>
        <v/>
      </c>
      <c r="N22" s="5528" t="s">
        <v>7690</v>
      </c>
      <c r="O22" s="5528"/>
      <c r="P22" s="4342" t="str">
        <f>IF(K10=0,"",VLOOKUP(K10,'Tablas psiquica'!$D$7:$R$145,5,FALSE))</f>
        <v/>
      </c>
      <c r="Q22" s="4343"/>
      <c r="R22" s="1143"/>
      <c r="S22" s="1137"/>
      <c r="T22" s="1137"/>
      <c r="U22" s="549"/>
      <c r="V22" s="5526" t="s">
        <v>7695</v>
      </c>
      <c r="W22" s="5527"/>
      <c r="X22" s="1199" t="str">
        <f>IF(V10=0,"",VLOOKUP(V10,'Tablas psiquica'!$D$7:$R$145,4,FALSE))</f>
        <v/>
      </c>
      <c r="Y22" s="5528" t="s">
        <v>7690</v>
      </c>
      <c r="Z22" s="5528"/>
      <c r="AA22" s="4342" t="str">
        <f>IF(V10=0,"",VLOOKUP(V10,'Tablas psiquica'!$D$7:$R$145,5,FALSE))</f>
        <v/>
      </c>
      <c r="AB22" s="4343"/>
      <c r="AC22" s="1185"/>
      <c r="AD22" s="5526" t="s">
        <v>7695</v>
      </c>
      <c r="AE22" s="5527"/>
      <c r="AF22" s="1199" t="str">
        <f>IF(AD10=0,"",VLOOKUP(AD10,'Tablas psiquica'!$D$7:$R$145,4,FALSE))</f>
        <v/>
      </c>
      <c r="AG22" s="5528" t="s">
        <v>7690</v>
      </c>
      <c r="AH22" s="5528"/>
      <c r="AI22" s="4342" t="str">
        <f>IF(AD10=0,"",VLOOKUP(AD10,'Tablas psiquica'!$D$7:$R$145,5,FALSE))</f>
        <v/>
      </c>
      <c r="AJ22" s="4343"/>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452"/>
      <c r="D24" s="5453"/>
      <c r="E24" s="5453"/>
      <c r="F24" s="5453"/>
      <c r="G24" s="5453"/>
      <c r="H24" s="5453"/>
      <c r="I24" s="1190" t="s">
        <v>1712</v>
      </c>
      <c r="K24" s="5452"/>
      <c r="L24" s="5453"/>
      <c r="M24" s="5453"/>
      <c r="N24" s="5453"/>
      <c r="O24" s="5453"/>
      <c r="P24" s="5453"/>
      <c r="Q24" s="1190" t="s">
        <v>1712</v>
      </c>
      <c r="R24" s="1143"/>
      <c r="S24" s="1137"/>
      <c r="T24" s="1137"/>
      <c r="U24" s="549"/>
      <c r="V24" s="5452"/>
      <c r="W24" s="5453"/>
      <c r="X24" s="5453"/>
      <c r="Y24" s="5453"/>
      <c r="Z24" s="5453"/>
      <c r="AA24" s="5453"/>
      <c r="AB24" s="1190" t="s">
        <v>1712</v>
      </c>
      <c r="AC24" s="1185"/>
      <c r="AD24" s="5452"/>
      <c r="AE24" s="5453"/>
      <c r="AF24" s="5453"/>
      <c r="AG24" s="5453"/>
      <c r="AH24" s="5453"/>
      <c r="AI24" s="5453"/>
      <c r="AJ24" s="1190" t="s">
        <v>1712</v>
      </c>
      <c r="AK24" s="1143"/>
      <c r="AL24" s="1137"/>
      <c r="AM24" s="1153"/>
      <c r="AN24" s="1153"/>
      <c r="AO24" s="1153"/>
      <c r="AP24" s="1154"/>
      <c r="AQ24" s="1154"/>
      <c r="AR24" s="1145"/>
      <c r="AS24" s="632"/>
    </row>
    <row r="25" spans="1:45" ht="12" customHeight="1" x14ac:dyDescent="0.2">
      <c r="A25" s="1137"/>
      <c r="B25" s="549"/>
      <c r="C25" s="5542" t="str">
        <f>IF(C24=0,"",VLOOKUP(C24,'Tablas psiquica'!$D$7:$R$145,2,FALSE))</f>
        <v/>
      </c>
      <c r="D25" s="5543"/>
      <c r="E25" s="5543"/>
      <c r="F25" s="5543"/>
      <c r="G25" s="5543"/>
      <c r="H25" s="5543"/>
      <c r="I25" s="1192" t="str">
        <f>IF(C24=0,"",VLOOKUP(C24,'Tablas psiquica'!$D$7:$R$145,3,FALSE))</f>
        <v/>
      </c>
      <c r="K25" s="5542" t="str">
        <f>IF(K24=0,"",VLOOKUP(K24,'Tablas psiquica'!$D$7:$R$145,2,FALSE))</f>
        <v/>
      </c>
      <c r="L25" s="5543"/>
      <c r="M25" s="5543"/>
      <c r="N25" s="5543"/>
      <c r="O25" s="5543"/>
      <c r="P25" s="5543"/>
      <c r="Q25" s="1192" t="str">
        <f>IF(K24=0,"",VLOOKUP(K24,'Tablas psiquica'!$D$7:$R$145,3,FALSE))</f>
        <v/>
      </c>
      <c r="R25" s="1143"/>
      <c r="S25" s="1137"/>
      <c r="T25" s="1137"/>
      <c r="U25" s="549"/>
      <c r="V25" s="5542" t="str">
        <f>IF(V24=0,"",VLOOKUP(V24,'Tablas psiquica'!$D$7:$R$145,2,FALSE))</f>
        <v/>
      </c>
      <c r="W25" s="5543"/>
      <c r="X25" s="5543"/>
      <c r="Y25" s="5543"/>
      <c r="Z25" s="5543"/>
      <c r="AA25" s="5543"/>
      <c r="AB25" s="1192" t="str">
        <f>IF(V24=0,"",VLOOKUP(V24,'Tablas psiquica'!$D$7:$R$145,3,FALSE))</f>
        <v/>
      </c>
      <c r="AC25" s="1185"/>
      <c r="AD25" s="5542" t="str">
        <f>IF(AD24=0,"",VLOOKUP(AD24,'Tablas psiquica'!$D$7:$R$145,2,FALSE))</f>
        <v/>
      </c>
      <c r="AE25" s="5543"/>
      <c r="AF25" s="5543"/>
      <c r="AG25" s="5543"/>
      <c r="AH25" s="5543"/>
      <c r="AI25" s="5543"/>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529" t="s">
        <v>2045</v>
      </c>
      <c r="E26" s="5427"/>
      <c r="F26" s="5530" t="str">
        <f>IF(C24=0,"",VLOOKUP(C24,'Tablas psiquica'!$D$7:$R$145,6,FALSE))</f>
        <v/>
      </c>
      <c r="G26" s="5531"/>
      <c r="H26" s="5531"/>
      <c r="I26" s="5532"/>
      <c r="K26" s="1193">
        <v>20</v>
      </c>
      <c r="L26" s="5529" t="s">
        <v>2045</v>
      </c>
      <c r="M26" s="5427"/>
      <c r="N26" s="5530" t="str">
        <f>IF(K24=0,"",VLOOKUP(K24,'Tablas psiquica'!$D$7:$R$145,6,FALSE))</f>
        <v/>
      </c>
      <c r="O26" s="5531"/>
      <c r="P26" s="5531"/>
      <c r="Q26" s="5532"/>
      <c r="R26" s="1143"/>
      <c r="S26" s="1137"/>
      <c r="T26" s="1137"/>
      <c r="U26" s="549"/>
      <c r="V26" s="1193">
        <v>20</v>
      </c>
      <c r="W26" s="5529" t="s">
        <v>2045</v>
      </c>
      <c r="X26" s="5427"/>
      <c r="Y26" s="5530" t="str">
        <f>IF(V24=0,"",VLOOKUP(V24,'Tablas psiquica'!$D$7:$R$145,6,FALSE))</f>
        <v/>
      </c>
      <c r="Z26" s="5531"/>
      <c r="AA26" s="5531"/>
      <c r="AB26" s="5532"/>
      <c r="AC26" s="1203"/>
      <c r="AD26" s="1193">
        <v>20</v>
      </c>
      <c r="AE26" s="5529" t="s">
        <v>2045</v>
      </c>
      <c r="AF26" s="5427"/>
      <c r="AG26" s="5530" t="str">
        <f>IF(AD24=0,"",VLOOKUP(AD24,'Tablas psiquica'!$D$7:$R$145,6,FALSE))</f>
        <v/>
      </c>
      <c r="AH26" s="5531"/>
      <c r="AI26" s="5531"/>
      <c r="AJ26" s="5532"/>
      <c r="AK26" s="1143"/>
      <c r="AL26" s="1137"/>
      <c r="AM26" s="632"/>
      <c r="AN26" s="1173"/>
      <c r="AO26" s="1173"/>
      <c r="AP26" s="1173"/>
      <c r="AQ26" s="1173"/>
      <c r="AR26" s="632"/>
      <c r="AS26" s="632"/>
    </row>
    <row r="27" spans="1:45" ht="12" customHeight="1" x14ac:dyDescent="0.2">
      <c r="A27" s="1137"/>
      <c r="B27" s="549"/>
      <c r="C27" s="1195">
        <v>40</v>
      </c>
      <c r="D27" s="5538" t="s">
        <v>2049</v>
      </c>
      <c r="E27" s="5432"/>
      <c r="F27" s="5539" t="str">
        <f>IF(C24=0,"",VLOOKUP(C24,'Tablas psiquica'!$D$7:$R$145,7,FALSE))</f>
        <v/>
      </c>
      <c r="G27" s="5540"/>
      <c r="H27" s="5540"/>
      <c r="I27" s="5541"/>
      <c r="K27" s="1195">
        <v>40</v>
      </c>
      <c r="L27" s="5538" t="s">
        <v>2049</v>
      </c>
      <c r="M27" s="5432"/>
      <c r="N27" s="5539" t="str">
        <f>IF(K24=0,"",VLOOKUP(K24,'Tablas psiquica'!$D$7:$R$145,7,FALSE))</f>
        <v/>
      </c>
      <c r="O27" s="5540"/>
      <c r="P27" s="5540"/>
      <c r="Q27" s="5541"/>
      <c r="R27" s="1143"/>
      <c r="S27" s="1137"/>
      <c r="T27" s="1137"/>
      <c r="U27" s="549"/>
      <c r="V27" s="1195">
        <v>40</v>
      </c>
      <c r="W27" s="5538" t="s">
        <v>2049</v>
      </c>
      <c r="X27" s="5432"/>
      <c r="Y27" s="5539" t="str">
        <f>IF(V24=0,"",VLOOKUP(V24,'Tablas psiquica'!$D$7:$R$145,7,FALSE))</f>
        <v/>
      </c>
      <c r="Z27" s="5540"/>
      <c r="AA27" s="5540"/>
      <c r="AB27" s="5541"/>
      <c r="AC27" s="1203"/>
      <c r="AD27" s="1195">
        <v>40</v>
      </c>
      <c r="AE27" s="5538" t="s">
        <v>2049</v>
      </c>
      <c r="AF27" s="5432"/>
      <c r="AG27" s="5539" t="str">
        <f>IF(AD24=0,"",VLOOKUP(AD24,'Tablas psiquica'!$D$7:$R$145,7,FALSE))</f>
        <v/>
      </c>
      <c r="AH27" s="5540"/>
      <c r="AI27" s="5540"/>
      <c r="AJ27" s="5541"/>
      <c r="AK27" s="1143"/>
      <c r="AL27" s="1137"/>
      <c r="AM27" s="632"/>
      <c r="AN27" s="632"/>
      <c r="AO27" s="632"/>
      <c r="AP27" s="632"/>
      <c r="AQ27" s="1144"/>
      <c r="AR27" s="1144"/>
      <c r="AS27" s="632"/>
    </row>
    <row r="28" spans="1:45" ht="12" customHeight="1" x14ac:dyDescent="0.2">
      <c r="A28" s="1137"/>
      <c r="B28" s="549"/>
      <c r="C28" s="1193">
        <v>80</v>
      </c>
      <c r="D28" s="5529" t="s">
        <v>2052</v>
      </c>
      <c r="E28" s="5427"/>
      <c r="F28" s="5530" t="str">
        <f>IF(C24=0,"",VLOOKUP(C24,'Tablas psiquica'!$D$7:$R$145,8,FALSE))</f>
        <v/>
      </c>
      <c r="G28" s="5531"/>
      <c r="H28" s="5531"/>
      <c r="I28" s="5532"/>
      <c r="K28" s="1193">
        <v>80</v>
      </c>
      <c r="L28" s="5529" t="s">
        <v>2052</v>
      </c>
      <c r="M28" s="5427"/>
      <c r="N28" s="5530" t="str">
        <f>IF(K24=0,"",VLOOKUP(K24,'Tablas psiquica'!$D$7:$R$145,8,FALSE))</f>
        <v/>
      </c>
      <c r="O28" s="5531"/>
      <c r="P28" s="5531"/>
      <c r="Q28" s="5532"/>
      <c r="R28" s="1143"/>
      <c r="S28" s="1137"/>
      <c r="T28" s="1137"/>
      <c r="U28" s="549"/>
      <c r="V28" s="1193">
        <v>80</v>
      </c>
      <c r="W28" s="5529" t="s">
        <v>2052</v>
      </c>
      <c r="X28" s="5427"/>
      <c r="Y28" s="5530" t="str">
        <f>IF(V24=0,"",VLOOKUP(V24,'Tablas psiquica'!$D$7:$R$145,8,FALSE))</f>
        <v/>
      </c>
      <c r="Z28" s="5531"/>
      <c r="AA28" s="5531"/>
      <c r="AB28" s="5532"/>
      <c r="AC28" s="1197"/>
      <c r="AD28" s="1193">
        <v>80</v>
      </c>
      <c r="AE28" s="5529" t="s">
        <v>2052</v>
      </c>
      <c r="AF28" s="5427"/>
      <c r="AG28" s="5530" t="str">
        <f>IF(AD24=0,"",VLOOKUP(AD24,'Tablas psiquica'!$D$7:$R$145,8,FALSE))</f>
        <v/>
      </c>
      <c r="AH28" s="5531"/>
      <c r="AI28" s="5531"/>
      <c r="AJ28" s="5532"/>
      <c r="AK28" s="1143"/>
      <c r="AL28" s="1137"/>
      <c r="AM28" s="632"/>
      <c r="AN28" s="632"/>
      <c r="AO28" s="632"/>
      <c r="AP28" s="632"/>
      <c r="AQ28" s="1145"/>
      <c r="AR28" s="1147"/>
      <c r="AS28" s="632"/>
    </row>
    <row r="29" spans="1:45" ht="12" customHeight="1" x14ac:dyDescent="0.2">
      <c r="A29" s="1137"/>
      <c r="B29" s="549"/>
      <c r="C29" s="1195">
        <v>120</v>
      </c>
      <c r="D29" s="5538" t="s">
        <v>2056</v>
      </c>
      <c r="E29" s="5432"/>
      <c r="F29" s="5539" t="str">
        <f>IF(C24=0,"",VLOOKUP(C24,'Tablas psiquica'!$D$7:$R$145,9,FALSE))</f>
        <v/>
      </c>
      <c r="G29" s="5540"/>
      <c r="H29" s="5540"/>
      <c r="I29" s="5541"/>
      <c r="K29" s="1195">
        <v>120</v>
      </c>
      <c r="L29" s="5538" t="s">
        <v>2056</v>
      </c>
      <c r="M29" s="5432"/>
      <c r="N29" s="5539" t="str">
        <f>IF(K24=0,"",VLOOKUP(K24,'Tablas psiquica'!$D$7:$R$145,9,FALSE))</f>
        <v/>
      </c>
      <c r="O29" s="5540"/>
      <c r="P29" s="5540"/>
      <c r="Q29" s="5541"/>
      <c r="R29" s="1143"/>
      <c r="S29" s="1137"/>
      <c r="T29" s="1137"/>
      <c r="U29" s="549"/>
      <c r="V29" s="1195">
        <v>120</v>
      </c>
      <c r="W29" s="5538" t="s">
        <v>2056</v>
      </c>
      <c r="X29" s="5432"/>
      <c r="Y29" s="5539" t="str">
        <f>IF(V24=0,"",VLOOKUP(V24,'Tablas psiquica'!$D$7:$R$145,9,FALSE))</f>
        <v/>
      </c>
      <c r="Z29" s="5540"/>
      <c r="AA29" s="5540"/>
      <c r="AB29" s="5541"/>
      <c r="AC29" s="1204"/>
      <c r="AD29" s="1195">
        <v>120</v>
      </c>
      <c r="AE29" s="5538" t="s">
        <v>2056</v>
      </c>
      <c r="AF29" s="5432"/>
      <c r="AG29" s="5539" t="str">
        <f>IF(AD24=0,"",VLOOKUP(AD24,'Tablas psiquica'!$D$7:$R$145,9,FALSE))</f>
        <v/>
      </c>
      <c r="AH29" s="5540"/>
      <c r="AI29" s="5540"/>
      <c r="AJ29" s="5541"/>
      <c r="AK29" s="1143"/>
      <c r="AL29" s="1137"/>
      <c r="AM29" s="632"/>
      <c r="AN29" s="632"/>
      <c r="AO29" s="632"/>
      <c r="AP29" s="632"/>
      <c r="AQ29" s="1145"/>
      <c r="AR29" s="1174"/>
      <c r="AS29" s="632"/>
    </row>
    <row r="30" spans="1:45" ht="12" customHeight="1" x14ac:dyDescent="0.2">
      <c r="A30" s="1137"/>
      <c r="B30" s="549"/>
      <c r="C30" s="1193">
        <v>140</v>
      </c>
      <c r="D30" s="5529" t="s">
        <v>7693</v>
      </c>
      <c r="E30" s="5427"/>
      <c r="F30" s="5530" t="str">
        <f>IF(C24=0,"",VLOOKUP(C24,'Tablas psiquica'!$D$7:$R$145,10,FALSE))</f>
        <v/>
      </c>
      <c r="G30" s="5531"/>
      <c r="H30" s="5531"/>
      <c r="I30" s="5532"/>
      <c r="K30" s="1193">
        <v>140</v>
      </c>
      <c r="L30" s="5529" t="s">
        <v>7693</v>
      </c>
      <c r="M30" s="5427"/>
      <c r="N30" s="5530" t="str">
        <f>IF(K24=0,"",VLOOKUP(K24,'Tablas psiquica'!$D$7:$R$145,10,FALSE))</f>
        <v/>
      </c>
      <c r="O30" s="5531"/>
      <c r="P30" s="5531"/>
      <c r="Q30" s="5532"/>
      <c r="R30" s="1143"/>
      <c r="S30" s="1137"/>
      <c r="T30" s="1137"/>
      <c r="U30" s="549"/>
      <c r="V30" s="1193">
        <v>140</v>
      </c>
      <c r="W30" s="5529" t="s">
        <v>7693</v>
      </c>
      <c r="X30" s="5427"/>
      <c r="Y30" s="5530" t="str">
        <f>IF(V24=0,"",VLOOKUP(V24,'Tablas psiquica'!$D$7:$R$145,10,FALSE))</f>
        <v/>
      </c>
      <c r="Z30" s="5531"/>
      <c r="AA30" s="5531"/>
      <c r="AB30" s="5532"/>
      <c r="AC30" s="1203"/>
      <c r="AD30" s="1193">
        <v>140</v>
      </c>
      <c r="AE30" s="5529" t="s">
        <v>7693</v>
      </c>
      <c r="AF30" s="5427"/>
      <c r="AG30" s="5530" t="str">
        <f>IF(AD24=0,"",VLOOKUP(AD24,'Tablas psiquica'!$D$7:$R$145,10,FALSE))</f>
        <v/>
      </c>
      <c r="AH30" s="5531"/>
      <c r="AI30" s="5531"/>
      <c r="AJ30" s="5532"/>
      <c r="AK30" s="1143"/>
      <c r="AL30" s="1137"/>
      <c r="AM30" s="632"/>
      <c r="AN30" s="632"/>
      <c r="AO30" s="632"/>
      <c r="AP30" s="632"/>
      <c r="AQ30" s="1145"/>
      <c r="AR30" s="1174"/>
      <c r="AS30" s="632"/>
    </row>
    <row r="31" spans="1:45" ht="12" customHeight="1" x14ac:dyDescent="0.2">
      <c r="A31" s="1137"/>
      <c r="B31" s="549"/>
      <c r="C31" s="1195">
        <v>180</v>
      </c>
      <c r="D31" s="5538" t="s">
        <v>2061</v>
      </c>
      <c r="E31" s="5432"/>
      <c r="F31" s="5539" t="str">
        <f>IF(C24=0,"",VLOOKUP(C24,'Tablas psiquica'!$D$7:$R$145,11,FALSE))</f>
        <v/>
      </c>
      <c r="G31" s="5540"/>
      <c r="H31" s="5540"/>
      <c r="I31" s="5541"/>
      <c r="K31" s="1195">
        <v>180</v>
      </c>
      <c r="L31" s="5538" t="s">
        <v>2061</v>
      </c>
      <c r="M31" s="5432"/>
      <c r="N31" s="5539" t="str">
        <f>IF(K24=0,"",VLOOKUP(K24,'Tablas psiquica'!$D$7:$R$145,11,FALSE))</f>
        <v/>
      </c>
      <c r="O31" s="5540"/>
      <c r="P31" s="5540"/>
      <c r="Q31" s="5541"/>
      <c r="R31" s="1143"/>
      <c r="S31" s="1137"/>
      <c r="T31" s="1137"/>
      <c r="U31" s="549"/>
      <c r="V31" s="1195">
        <v>180</v>
      </c>
      <c r="W31" s="5538" t="s">
        <v>2061</v>
      </c>
      <c r="X31" s="5432"/>
      <c r="Y31" s="5539" t="str">
        <f>IF(V24=0,"",VLOOKUP(V24,'Tablas psiquica'!$D$7:$R$145,11,FALSE))</f>
        <v/>
      </c>
      <c r="Z31" s="5540"/>
      <c r="AA31" s="5540"/>
      <c r="AB31" s="5541"/>
      <c r="AC31" s="1203"/>
      <c r="AD31" s="1195">
        <v>180</v>
      </c>
      <c r="AE31" s="5538" t="s">
        <v>2061</v>
      </c>
      <c r="AF31" s="5432"/>
      <c r="AG31" s="5539" t="str">
        <f>IF(AD24=0,"",VLOOKUP(AD24,'Tablas psiquica'!$D$7:$R$145,11,FALSE))</f>
        <v/>
      </c>
      <c r="AH31" s="5540"/>
      <c r="AI31" s="5540"/>
      <c r="AJ31" s="5541"/>
      <c r="AK31" s="1143"/>
      <c r="AL31" s="1137"/>
      <c r="AM31" s="632"/>
      <c r="AN31" s="632"/>
      <c r="AO31" s="632"/>
      <c r="AP31" s="632"/>
      <c r="AQ31" s="1145"/>
      <c r="AR31" s="1174"/>
      <c r="AS31" s="632"/>
    </row>
    <row r="32" spans="1:45" ht="12" customHeight="1" x14ac:dyDescent="0.2">
      <c r="A32" s="1137"/>
      <c r="B32" s="549"/>
      <c r="C32" s="1193">
        <v>240</v>
      </c>
      <c r="D32" s="5529" t="s">
        <v>7694</v>
      </c>
      <c r="E32" s="5427"/>
      <c r="F32" s="5530" t="str">
        <f>IF(C24=0,"",VLOOKUP(C24,'Tablas psiquica'!$D$7:$R$145,12,FALSE))</f>
        <v/>
      </c>
      <c r="G32" s="5531"/>
      <c r="H32" s="5531"/>
      <c r="I32" s="5532"/>
      <c r="K32" s="1193">
        <v>240</v>
      </c>
      <c r="L32" s="5529" t="s">
        <v>7694</v>
      </c>
      <c r="M32" s="5427"/>
      <c r="N32" s="5530" t="str">
        <f>IF(K24=0,"",VLOOKUP(K24,'Tablas psiquica'!$D$7:$R$145,12,FALSE))</f>
        <v/>
      </c>
      <c r="O32" s="5531"/>
      <c r="P32" s="5531"/>
      <c r="Q32" s="5532"/>
      <c r="R32" s="1143"/>
      <c r="S32" s="1137"/>
      <c r="T32" s="1137"/>
      <c r="U32" s="549"/>
      <c r="V32" s="1193">
        <v>240</v>
      </c>
      <c r="W32" s="5529" t="s">
        <v>7694</v>
      </c>
      <c r="X32" s="5427"/>
      <c r="Y32" s="5530" t="str">
        <f>IF(V24=0,"",VLOOKUP(V24,'Tablas psiquica'!$D$7:$R$145,12,FALSE))</f>
        <v/>
      </c>
      <c r="Z32" s="5531"/>
      <c r="AA32" s="5531"/>
      <c r="AB32" s="5532"/>
      <c r="AC32" s="1205"/>
      <c r="AD32" s="1193">
        <v>240</v>
      </c>
      <c r="AE32" s="5529" t="s">
        <v>7694</v>
      </c>
      <c r="AF32" s="5427"/>
      <c r="AG32" s="5530" t="str">
        <f>IF(AD24=0,"",VLOOKUP(AD24,'Tablas psiquica'!$D$7:$R$145,12,FALSE))</f>
        <v/>
      </c>
      <c r="AH32" s="5531"/>
      <c r="AI32" s="5531"/>
      <c r="AJ32" s="5532"/>
      <c r="AK32" s="1143"/>
      <c r="AL32" s="1137"/>
      <c r="AM32" s="632"/>
      <c r="AN32" s="632"/>
      <c r="AO32" s="632"/>
      <c r="AP32" s="632"/>
      <c r="AQ32" s="1145"/>
      <c r="AR32" s="1174"/>
      <c r="AS32" s="632"/>
    </row>
    <row r="33" spans="1:45" ht="12" customHeight="1" x14ac:dyDescent="0.2">
      <c r="A33" s="1137"/>
      <c r="B33" s="549"/>
      <c r="C33" s="1195">
        <v>280</v>
      </c>
      <c r="D33" s="5538" t="s">
        <v>2066</v>
      </c>
      <c r="E33" s="5432"/>
      <c r="F33" s="5539" t="str">
        <f>IF(C24=0,"",VLOOKUP(C24,'Tablas psiquica'!$D$7:$R$145,13,FALSE))</f>
        <v/>
      </c>
      <c r="G33" s="5540"/>
      <c r="H33" s="5540"/>
      <c r="I33" s="5541"/>
      <c r="K33" s="1195">
        <v>280</v>
      </c>
      <c r="L33" s="5538" t="s">
        <v>2066</v>
      </c>
      <c r="M33" s="5432"/>
      <c r="N33" s="5539" t="str">
        <f>IF(K24=0,"",VLOOKUP(K24,'Tablas psiquica'!$D$7:$R$145,13,FALSE))</f>
        <v/>
      </c>
      <c r="O33" s="5540"/>
      <c r="P33" s="5540"/>
      <c r="Q33" s="5541"/>
      <c r="R33" s="1143"/>
      <c r="S33" s="1137"/>
      <c r="T33" s="1137"/>
      <c r="U33" s="549"/>
      <c r="V33" s="1195">
        <v>280</v>
      </c>
      <c r="W33" s="5538" t="s">
        <v>2066</v>
      </c>
      <c r="X33" s="5432"/>
      <c r="Y33" s="5539" t="str">
        <f>IF(V24=0,"",VLOOKUP(V24,'Tablas psiquica'!$D$7:$R$145,13,FALSE))</f>
        <v/>
      </c>
      <c r="Z33" s="5540"/>
      <c r="AA33" s="5540"/>
      <c r="AB33" s="5541"/>
      <c r="AC33" s="1205"/>
      <c r="AD33" s="1195">
        <v>280</v>
      </c>
      <c r="AE33" s="5538" t="s">
        <v>2066</v>
      </c>
      <c r="AF33" s="5432"/>
      <c r="AG33" s="5539" t="str">
        <f>IF(AD24=0,"",VLOOKUP(AD24,'Tablas psiquica'!$D$7:$R$145,13,FALSE))</f>
        <v/>
      </c>
      <c r="AH33" s="5540"/>
      <c r="AI33" s="5540"/>
      <c r="AJ33" s="5541"/>
      <c r="AK33" s="1143"/>
      <c r="AL33" s="1137"/>
      <c r="AM33" s="632"/>
      <c r="AN33" s="632"/>
      <c r="AO33" s="632"/>
      <c r="AP33" s="632"/>
      <c r="AQ33" s="1145"/>
      <c r="AR33" s="1174"/>
      <c r="AS33" s="632"/>
    </row>
    <row r="34" spans="1:45" ht="12" customHeight="1" x14ac:dyDescent="0.2">
      <c r="A34" s="1137"/>
      <c r="B34" s="549"/>
      <c r="C34" s="1193">
        <v>320</v>
      </c>
      <c r="D34" s="5529" t="s">
        <v>2068</v>
      </c>
      <c r="E34" s="5427"/>
      <c r="F34" s="5530" t="str">
        <f>IF(C24=0,"",VLOOKUP(C24,'Tablas psiquica'!$D$7:$R$145,14,FALSE))</f>
        <v/>
      </c>
      <c r="G34" s="5531"/>
      <c r="H34" s="5531"/>
      <c r="I34" s="5532"/>
      <c r="K34" s="1193">
        <v>320</v>
      </c>
      <c r="L34" s="5529" t="s">
        <v>2068</v>
      </c>
      <c r="M34" s="5427"/>
      <c r="N34" s="5530" t="str">
        <f>IF(K24=0,"",VLOOKUP(K24,'Tablas psiquica'!$D$7:$R$145,14,FALSE))</f>
        <v/>
      </c>
      <c r="O34" s="5531"/>
      <c r="P34" s="5531"/>
      <c r="Q34" s="5532"/>
      <c r="R34" s="1143"/>
      <c r="S34" s="1137"/>
      <c r="T34" s="1137"/>
      <c r="U34" s="549"/>
      <c r="V34" s="1193">
        <v>320</v>
      </c>
      <c r="W34" s="5529" t="s">
        <v>2068</v>
      </c>
      <c r="X34" s="5427"/>
      <c r="Y34" s="5530" t="str">
        <f>IF(V24=0,"",VLOOKUP(V24,'Tablas psiquica'!$D$7:$R$145,14,FALSE))</f>
        <v/>
      </c>
      <c r="Z34" s="5531"/>
      <c r="AA34" s="5531"/>
      <c r="AB34" s="5532"/>
      <c r="AC34" s="1185"/>
      <c r="AD34" s="1193">
        <v>320</v>
      </c>
      <c r="AE34" s="5529" t="s">
        <v>2068</v>
      </c>
      <c r="AF34" s="5427"/>
      <c r="AG34" s="5530" t="str">
        <f>IF(AD24=0,"",VLOOKUP(AD24,'Tablas psiquica'!$D$7:$R$145,14,FALSE))</f>
        <v/>
      </c>
      <c r="AH34" s="5531"/>
      <c r="AI34" s="5531"/>
      <c r="AJ34" s="5532"/>
      <c r="AK34" s="1143"/>
      <c r="AL34" s="1137"/>
      <c r="AM34" s="632"/>
      <c r="AN34" s="632"/>
      <c r="AO34" s="632"/>
      <c r="AP34" s="632"/>
      <c r="AQ34" s="1145"/>
      <c r="AR34" s="1174"/>
      <c r="AS34" s="632"/>
    </row>
    <row r="35" spans="1:45" ht="12" customHeight="1" x14ac:dyDescent="0.2">
      <c r="A35" s="1137"/>
      <c r="B35" s="549"/>
      <c r="C35" s="1198">
        <v>440</v>
      </c>
      <c r="D35" s="5533" t="s">
        <v>2002</v>
      </c>
      <c r="E35" s="5534"/>
      <c r="F35" s="5535" t="str">
        <f>IF(C24=0,"",VLOOKUP(C24,'Tablas psiquica'!$D$7:$R$145,15,FALSE))</f>
        <v/>
      </c>
      <c r="G35" s="5536"/>
      <c r="H35" s="5536"/>
      <c r="I35" s="5537"/>
      <c r="K35" s="1198">
        <v>440</v>
      </c>
      <c r="L35" s="5533" t="s">
        <v>2002</v>
      </c>
      <c r="M35" s="5534"/>
      <c r="N35" s="5535" t="str">
        <f>IF(K24=0,"",VLOOKUP(K24,'Tablas psiquica'!$D$7:$R$145,15,FALSE))</f>
        <v/>
      </c>
      <c r="O35" s="5536"/>
      <c r="P35" s="5536"/>
      <c r="Q35" s="5537"/>
      <c r="R35" s="1143"/>
      <c r="S35" s="1137"/>
      <c r="T35" s="1137"/>
      <c r="U35" s="549"/>
      <c r="V35" s="1198">
        <v>440</v>
      </c>
      <c r="W35" s="5533" t="s">
        <v>2002</v>
      </c>
      <c r="X35" s="5534"/>
      <c r="Y35" s="5535" t="str">
        <f>IF(V24=0,"",VLOOKUP(V24,'Tablas psiquica'!$D$7:$R$145,15,FALSE))</f>
        <v/>
      </c>
      <c r="Z35" s="5536"/>
      <c r="AA35" s="5536"/>
      <c r="AB35" s="5537"/>
      <c r="AC35" s="1203"/>
      <c r="AD35" s="1198">
        <v>440</v>
      </c>
      <c r="AE35" s="5533" t="s">
        <v>2002</v>
      </c>
      <c r="AF35" s="5534"/>
      <c r="AG35" s="5535" t="str">
        <f>IF(AD24=0,"",VLOOKUP(AD24,'Tablas psiquica'!$D$7:$R$145,15,FALSE))</f>
        <v/>
      </c>
      <c r="AH35" s="5536"/>
      <c r="AI35" s="5536"/>
      <c r="AJ35" s="5537"/>
      <c r="AK35" s="1143"/>
      <c r="AL35" s="1137"/>
      <c r="AM35" s="632"/>
      <c r="AN35" s="632"/>
      <c r="AO35" s="632"/>
      <c r="AP35" s="632"/>
      <c r="AQ35" s="1145"/>
      <c r="AR35" s="1174"/>
      <c r="AS35" s="632"/>
    </row>
    <row r="36" spans="1:45" ht="12" customHeight="1" thickBot="1" x14ac:dyDescent="0.25">
      <c r="A36" s="1137"/>
      <c r="B36" s="549"/>
      <c r="C36" s="5526" t="s">
        <v>7695</v>
      </c>
      <c r="D36" s="5527"/>
      <c r="E36" s="1199" t="str">
        <f>IF(C24=0,"",VLOOKUP(C24,'Tablas psiquica'!$D$7:$R$145,4,FALSE))</f>
        <v/>
      </c>
      <c r="F36" s="5528" t="s">
        <v>7690</v>
      </c>
      <c r="G36" s="5528"/>
      <c r="H36" s="4342" t="str">
        <f>IF(C24=0,"",VLOOKUP(C24,'Tablas psiquica'!$D$7:$R$145,5,FALSE))</f>
        <v/>
      </c>
      <c r="I36" s="4343"/>
      <c r="K36" s="5526" t="s">
        <v>7695</v>
      </c>
      <c r="L36" s="5527"/>
      <c r="M36" s="1199" t="str">
        <f>IF(K24=0,"",VLOOKUP(K24,'Tablas psiquica'!$D$7:$R$145,4,FALSE))</f>
        <v/>
      </c>
      <c r="N36" s="5528" t="s">
        <v>7690</v>
      </c>
      <c r="O36" s="5528"/>
      <c r="P36" s="4342" t="str">
        <f>IF(K24=0,"",VLOOKUP(K24,'Tablas psiquica'!$D$7:$R$145,5,FALSE))</f>
        <v/>
      </c>
      <c r="Q36" s="4343"/>
      <c r="R36" s="1143"/>
      <c r="S36" s="1137"/>
      <c r="T36" s="1137"/>
      <c r="U36" s="549"/>
      <c r="V36" s="5526" t="s">
        <v>7695</v>
      </c>
      <c r="W36" s="5527"/>
      <c r="X36" s="1199" t="str">
        <f>IF(V24=0,"",VLOOKUP(V24,'Tablas psiquica'!$D$7:$R$145,4,FALSE))</f>
        <v/>
      </c>
      <c r="Y36" s="5528" t="s">
        <v>7690</v>
      </c>
      <c r="Z36" s="5528"/>
      <c r="AA36" s="4342" t="str">
        <f>IF(V24=0,"",VLOOKUP(V24,'Tablas psiquica'!$D$7:$R$145,5,FALSE))</f>
        <v/>
      </c>
      <c r="AB36" s="4343"/>
      <c r="AC36" s="1203"/>
      <c r="AD36" s="5526" t="s">
        <v>7695</v>
      </c>
      <c r="AE36" s="5527"/>
      <c r="AF36" s="1199" t="str">
        <f>IF(AD24=0,"",VLOOKUP(AD24,'Tablas psiquica'!$D$7:$R$145,4,FALSE))</f>
        <v/>
      </c>
      <c r="AG36" s="5528" t="s">
        <v>7690</v>
      </c>
      <c r="AH36" s="5528"/>
      <c r="AI36" s="4342" t="str">
        <f>IF(AD24=0,"",VLOOKUP(AD24,'Tablas psiquica'!$D$7:$R$145,5,FALSE))</f>
        <v/>
      </c>
      <c r="AJ36" s="4343"/>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452"/>
      <c r="D38" s="5453"/>
      <c r="E38" s="5453"/>
      <c r="F38" s="5453"/>
      <c r="G38" s="5453"/>
      <c r="H38" s="5453"/>
      <c r="I38" s="1190" t="s">
        <v>1712</v>
      </c>
      <c r="K38" s="5452"/>
      <c r="L38" s="5453"/>
      <c r="M38" s="5453"/>
      <c r="N38" s="5453"/>
      <c r="O38" s="5453"/>
      <c r="P38" s="5453"/>
      <c r="Q38" s="1190" t="s">
        <v>1712</v>
      </c>
      <c r="R38" s="1143"/>
      <c r="S38" s="1137"/>
      <c r="T38" s="1137"/>
      <c r="U38" s="549"/>
      <c r="V38" s="5452"/>
      <c r="W38" s="5453"/>
      <c r="X38" s="5453"/>
      <c r="Y38" s="5453"/>
      <c r="Z38" s="5453"/>
      <c r="AA38" s="5453"/>
      <c r="AB38" s="1190" t="s">
        <v>1712</v>
      </c>
      <c r="AC38" s="1204"/>
      <c r="AD38" s="5452"/>
      <c r="AE38" s="5453"/>
      <c r="AF38" s="5453"/>
      <c r="AG38" s="5453"/>
      <c r="AH38" s="5453"/>
      <c r="AI38" s="5453"/>
      <c r="AJ38" s="1190" t="s">
        <v>1712</v>
      </c>
      <c r="AK38" s="1143"/>
      <c r="AL38" s="1137"/>
      <c r="AQ38" s="675"/>
      <c r="AR38" s="1177"/>
    </row>
    <row r="39" spans="1:45" ht="12" customHeight="1" x14ac:dyDescent="0.2">
      <c r="A39" s="1137"/>
      <c r="B39" s="549"/>
      <c r="C39" s="5542" t="str">
        <f>IF(C38=0,"",VLOOKUP(C38,'Tablas psiquica'!$D$7:$R$145,2,FALSE))</f>
        <v/>
      </c>
      <c r="D39" s="5543"/>
      <c r="E39" s="5543"/>
      <c r="F39" s="5543"/>
      <c r="G39" s="5543"/>
      <c r="H39" s="5543"/>
      <c r="I39" s="1192" t="str">
        <f>IF(C38=0,"",VLOOKUP(C38,'Tablas psiquica'!$D$7:$R$145,3,FALSE))</f>
        <v/>
      </c>
      <c r="K39" s="5542" t="str">
        <f>IF(K38=0,"",VLOOKUP(K38,'Tablas psiquica'!$D$7:$R$145,2,FALSE))</f>
        <v/>
      </c>
      <c r="L39" s="5543"/>
      <c r="M39" s="5543"/>
      <c r="N39" s="5543"/>
      <c r="O39" s="5543"/>
      <c r="P39" s="5543"/>
      <c r="Q39" s="1192" t="str">
        <f>IF(K38=0,"",VLOOKUP(K38,'Tablas psiquica'!$D$7:$R$145,3,FALSE))</f>
        <v/>
      </c>
      <c r="R39" s="1143"/>
      <c r="S39" s="1137"/>
      <c r="T39" s="1137"/>
      <c r="U39" s="549"/>
      <c r="V39" s="5542" t="str">
        <f>IF(V38=0,"",VLOOKUP(V38,'Tablas psiquica'!$D$7:$R$145,2,FALSE))</f>
        <v/>
      </c>
      <c r="W39" s="5543"/>
      <c r="X39" s="5543"/>
      <c r="Y39" s="5543"/>
      <c r="Z39" s="5543"/>
      <c r="AA39" s="5543"/>
      <c r="AB39" s="1192" t="str">
        <f>IF(V38=0,"",VLOOKUP(V38,'Tablas psiquica'!$D$7:$R$145,3,FALSE))</f>
        <v/>
      </c>
      <c r="AC39" s="1203"/>
      <c r="AD39" s="5542" t="str">
        <f>IF(AD38=0,"",VLOOKUP(AD38,'Tablas psiquica'!$D$7:$R$145,2,FALSE))</f>
        <v/>
      </c>
      <c r="AE39" s="5543"/>
      <c r="AF39" s="5543"/>
      <c r="AG39" s="5543"/>
      <c r="AH39" s="5543"/>
      <c r="AI39" s="5543"/>
      <c r="AJ39" s="1192" t="str">
        <f>IF(AD38=0,"",VLOOKUP(AD38,'Tablas psiquica'!$D$7:$R$145,3,FALSE))</f>
        <v/>
      </c>
      <c r="AK39" s="1143"/>
      <c r="AL39" s="1137"/>
      <c r="AQ39" s="675"/>
      <c r="AR39" s="1177"/>
    </row>
    <row r="40" spans="1:45" ht="12" customHeight="1" x14ac:dyDescent="0.2">
      <c r="A40" s="1137"/>
      <c r="B40" s="549"/>
      <c r="C40" s="1193">
        <v>20</v>
      </c>
      <c r="D40" s="5529" t="s">
        <v>2045</v>
      </c>
      <c r="E40" s="5427"/>
      <c r="F40" s="5530" t="str">
        <f>IF(C38=0,"",VLOOKUP(C38,'Tablas psiquica'!$D$7:$R$145,6,FALSE))</f>
        <v/>
      </c>
      <c r="G40" s="5531"/>
      <c r="H40" s="5531"/>
      <c r="I40" s="5532"/>
      <c r="K40" s="1193">
        <v>20</v>
      </c>
      <c r="L40" s="5529" t="s">
        <v>2045</v>
      </c>
      <c r="M40" s="5427"/>
      <c r="N40" s="5530" t="str">
        <f>IF(K38=0,"",VLOOKUP(K38,'Tablas psiquica'!$D$7:$R$145,6,FALSE))</f>
        <v/>
      </c>
      <c r="O40" s="5531"/>
      <c r="P40" s="5531"/>
      <c r="Q40" s="5532"/>
      <c r="R40" s="1143"/>
      <c r="S40" s="1137"/>
      <c r="T40" s="1137"/>
      <c r="U40" s="549"/>
      <c r="V40" s="1193">
        <v>20</v>
      </c>
      <c r="W40" s="5529" t="s">
        <v>2045</v>
      </c>
      <c r="X40" s="5427"/>
      <c r="Y40" s="5530" t="str">
        <f>IF(V38=0,"",VLOOKUP(V38,'Tablas psiquica'!$D$7:$R$145,6,FALSE))</f>
        <v/>
      </c>
      <c r="Z40" s="5531"/>
      <c r="AA40" s="5531"/>
      <c r="AB40" s="5532"/>
      <c r="AC40" s="1203"/>
      <c r="AD40" s="1193">
        <v>20</v>
      </c>
      <c r="AE40" s="5529" t="s">
        <v>2045</v>
      </c>
      <c r="AF40" s="5427"/>
      <c r="AG40" s="5530" t="str">
        <f>IF(AD38=0,"",VLOOKUP(AD38,'Tablas psiquica'!$D$7:$R$145,6,FALSE))</f>
        <v/>
      </c>
      <c r="AH40" s="5531"/>
      <c r="AI40" s="5531"/>
      <c r="AJ40" s="5532"/>
      <c r="AK40" s="1143"/>
      <c r="AL40" s="1137"/>
      <c r="AQ40" s="675"/>
      <c r="AR40" s="1177"/>
    </row>
    <row r="41" spans="1:45" ht="12" customHeight="1" x14ac:dyDescent="0.2">
      <c r="A41" s="1137"/>
      <c r="B41" s="549"/>
      <c r="C41" s="1195">
        <v>40</v>
      </c>
      <c r="D41" s="5538" t="s">
        <v>2049</v>
      </c>
      <c r="E41" s="5432"/>
      <c r="F41" s="5539" t="str">
        <f>IF(C38=0,"",VLOOKUP(C38,'Tablas psiquica'!$D$7:$R$145,7,FALSE))</f>
        <v/>
      </c>
      <c r="G41" s="5540"/>
      <c r="H41" s="5540"/>
      <c r="I41" s="5541"/>
      <c r="K41" s="1195">
        <v>40</v>
      </c>
      <c r="L41" s="5538" t="s">
        <v>2049</v>
      </c>
      <c r="M41" s="5432"/>
      <c r="N41" s="5539" t="str">
        <f>IF(K38=0,"",VLOOKUP(K38,'Tablas psiquica'!$D$7:$R$145,7,FALSE))</f>
        <v/>
      </c>
      <c r="O41" s="5540"/>
      <c r="P41" s="5540"/>
      <c r="Q41" s="5541"/>
      <c r="R41" s="1143"/>
      <c r="S41" s="1137"/>
      <c r="T41" s="1137"/>
      <c r="U41" s="549"/>
      <c r="V41" s="1195">
        <v>40</v>
      </c>
      <c r="W41" s="5538" t="s">
        <v>2049</v>
      </c>
      <c r="X41" s="5432"/>
      <c r="Y41" s="5539" t="str">
        <f>IF(V38=0,"",VLOOKUP(V38,'Tablas psiquica'!$D$7:$R$145,7,FALSE))</f>
        <v/>
      </c>
      <c r="Z41" s="5540"/>
      <c r="AA41" s="5540"/>
      <c r="AB41" s="5541"/>
      <c r="AC41" s="1205"/>
      <c r="AD41" s="1195">
        <v>40</v>
      </c>
      <c r="AE41" s="5538" t="s">
        <v>2049</v>
      </c>
      <c r="AF41" s="5432"/>
      <c r="AG41" s="5539" t="str">
        <f>IF(AD38=0,"",VLOOKUP(AD38,'Tablas psiquica'!$D$7:$R$145,7,FALSE))</f>
        <v/>
      </c>
      <c r="AH41" s="5540"/>
      <c r="AI41" s="5540"/>
      <c r="AJ41" s="5541"/>
      <c r="AK41" s="1143"/>
      <c r="AL41" s="1137"/>
      <c r="AQ41" s="675"/>
      <c r="AR41" s="1177"/>
    </row>
    <row r="42" spans="1:45" ht="12" customHeight="1" x14ac:dyDescent="0.2">
      <c r="A42" s="1137"/>
      <c r="B42" s="549"/>
      <c r="C42" s="1193">
        <v>80</v>
      </c>
      <c r="D42" s="5529" t="s">
        <v>2052</v>
      </c>
      <c r="E42" s="5427"/>
      <c r="F42" s="5530" t="str">
        <f>IF(C38=0,"",VLOOKUP(C38,'Tablas psiquica'!$D$7:$R$145,8,FALSE))</f>
        <v/>
      </c>
      <c r="G42" s="5531"/>
      <c r="H42" s="5531"/>
      <c r="I42" s="5532"/>
      <c r="K42" s="1193">
        <v>80</v>
      </c>
      <c r="L42" s="5529" t="s">
        <v>2052</v>
      </c>
      <c r="M42" s="5427"/>
      <c r="N42" s="5530" t="str">
        <f>IF(K38=0,"",VLOOKUP(K38,'Tablas psiquica'!$D$7:$R$145,8,FALSE))</f>
        <v/>
      </c>
      <c r="O42" s="5531"/>
      <c r="P42" s="5531"/>
      <c r="Q42" s="5532"/>
      <c r="R42" s="1143"/>
      <c r="S42" s="1137"/>
      <c r="T42" s="1137"/>
      <c r="U42" s="549"/>
      <c r="V42" s="1193">
        <v>80</v>
      </c>
      <c r="W42" s="5529" t="s">
        <v>2052</v>
      </c>
      <c r="X42" s="5427"/>
      <c r="Y42" s="5530" t="str">
        <f>IF(V38=0,"",VLOOKUP(V38,'Tablas psiquica'!$D$7:$R$145,8,FALSE))</f>
        <v/>
      </c>
      <c r="Z42" s="5531"/>
      <c r="AA42" s="5531"/>
      <c r="AB42" s="5532"/>
      <c r="AC42" s="1205"/>
      <c r="AD42" s="1193">
        <v>80</v>
      </c>
      <c r="AE42" s="5529" t="s">
        <v>2052</v>
      </c>
      <c r="AF42" s="5427"/>
      <c r="AG42" s="5530" t="str">
        <f>IF(AD38=0,"",VLOOKUP(AD38,'Tablas psiquica'!$D$7:$R$145,8,FALSE))</f>
        <v/>
      </c>
      <c r="AH42" s="5531"/>
      <c r="AI42" s="5531"/>
      <c r="AJ42" s="5532"/>
      <c r="AK42" s="1143"/>
      <c r="AL42" s="1137"/>
      <c r="AQ42" s="675"/>
      <c r="AR42" s="1177"/>
    </row>
    <row r="43" spans="1:45" ht="12" customHeight="1" x14ac:dyDescent="0.2">
      <c r="A43" s="1137"/>
      <c r="B43" s="549"/>
      <c r="C43" s="1195">
        <v>120</v>
      </c>
      <c r="D43" s="5538" t="s">
        <v>2056</v>
      </c>
      <c r="E43" s="5432"/>
      <c r="F43" s="5539" t="str">
        <f>IF(C38=0,"",VLOOKUP(C38,'Tablas psiquica'!$D$7:$R$145,9,FALSE))</f>
        <v/>
      </c>
      <c r="G43" s="5540"/>
      <c r="H43" s="5540"/>
      <c r="I43" s="5541"/>
      <c r="K43" s="1195">
        <v>120</v>
      </c>
      <c r="L43" s="5538" t="s">
        <v>2056</v>
      </c>
      <c r="M43" s="5432"/>
      <c r="N43" s="5539" t="str">
        <f>IF(K38=0,"",VLOOKUP(K38,'Tablas psiquica'!$D$7:$R$145,9,FALSE))</f>
        <v/>
      </c>
      <c r="O43" s="5540"/>
      <c r="P43" s="5540"/>
      <c r="Q43" s="5541"/>
      <c r="R43" s="1143"/>
      <c r="S43" s="1137"/>
      <c r="T43" s="1137"/>
      <c r="U43" s="549"/>
      <c r="V43" s="1195">
        <v>120</v>
      </c>
      <c r="W43" s="5538" t="s">
        <v>2056</v>
      </c>
      <c r="X43" s="5432"/>
      <c r="Y43" s="5539" t="str">
        <f>IF(V38=0,"",VLOOKUP(V38,'Tablas psiquica'!$D$7:$R$145,9,FALSE))</f>
        <v/>
      </c>
      <c r="Z43" s="5540"/>
      <c r="AA43" s="5540"/>
      <c r="AB43" s="5541"/>
      <c r="AC43" s="1185"/>
      <c r="AD43" s="1195">
        <v>120</v>
      </c>
      <c r="AE43" s="5538" t="s">
        <v>2056</v>
      </c>
      <c r="AF43" s="5432"/>
      <c r="AG43" s="5539" t="str">
        <f>IF(AD38=0,"",VLOOKUP(AD38,'Tablas psiquica'!$D$7:$R$145,9,FALSE))</f>
        <v/>
      </c>
      <c r="AH43" s="5540"/>
      <c r="AI43" s="5540"/>
      <c r="AJ43" s="5541"/>
      <c r="AK43" s="1143"/>
      <c r="AL43" s="1137"/>
      <c r="AQ43" s="675"/>
      <c r="AR43" s="1177"/>
    </row>
    <row r="44" spans="1:45" ht="12" customHeight="1" x14ac:dyDescent="0.2">
      <c r="A44" s="1137"/>
      <c r="B44" s="549"/>
      <c r="C44" s="1193">
        <v>140</v>
      </c>
      <c r="D44" s="5529" t="s">
        <v>7693</v>
      </c>
      <c r="E44" s="5427"/>
      <c r="F44" s="5530" t="str">
        <f>IF(C38=0,"",VLOOKUP(C38,'Tablas psiquica'!$D$7:$R$145,10,FALSE))</f>
        <v/>
      </c>
      <c r="G44" s="5531"/>
      <c r="H44" s="5531"/>
      <c r="I44" s="5532"/>
      <c r="K44" s="1193">
        <v>140</v>
      </c>
      <c r="L44" s="5529" t="s">
        <v>7693</v>
      </c>
      <c r="M44" s="5427"/>
      <c r="N44" s="5530" t="str">
        <f>IF(K38=0,"",VLOOKUP(K38,'Tablas psiquica'!$D$7:$R$145,10,FALSE))</f>
        <v/>
      </c>
      <c r="O44" s="5531"/>
      <c r="P44" s="5531"/>
      <c r="Q44" s="5532"/>
      <c r="R44" s="1143"/>
      <c r="S44" s="1137"/>
      <c r="T44" s="1137"/>
      <c r="U44" s="549"/>
      <c r="V44" s="1193">
        <v>140</v>
      </c>
      <c r="W44" s="5529" t="s">
        <v>7693</v>
      </c>
      <c r="X44" s="5427"/>
      <c r="Y44" s="5530" t="str">
        <f>IF(V38=0,"",VLOOKUP(V38,'Tablas psiquica'!$D$7:$R$145,10,FALSE))</f>
        <v/>
      </c>
      <c r="Z44" s="5531"/>
      <c r="AA44" s="5531"/>
      <c r="AB44" s="5532"/>
      <c r="AC44" s="675"/>
      <c r="AD44" s="1193">
        <v>140</v>
      </c>
      <c r="AE44" s="5529" t="s">
        <v>7693</v>
      </c>
      <c r="AF44" s="5427"/>
      <c r="AG44" s="5530" t="str">
        <f>IF(AD38=0,"",VLOOKUP(AD38,'Tablas psiquica'!$D$7:$R$145,10,FALSE))</f>
        <v/>
      </c>
      <c r="AH44" s="5531"/>
      <c r="AI44" s="5531"/>
      <c r="AJ44" s="5532"/>
      <c r="AK44" s="1143"/>
      <c r="AL44" s="1137"/>
      <c r="AQ44" s="675"/>
      <c r="AR44" s="1177"/>
    </row>
    <row r="45" spans="1:45" ht="12" customHeight="1" x14ac:dyDescent="0.2">
      <c r="A45" s="1137"/>
      <c r="B45" s="549"/>
      <c r="C45" s="1195">
        <v>180</v>
      </c>
      <c r="D45" s="5538" t="s">
        <v>2061</v>
      </c>
      <c r="E45" s="5432"/>
      <c r="F45" s="5539" t="str">
        <f>IF(C38=0,"",VLOOKUP(C38,'Tablas psiquica'!$D$7:$R$145,11,FALSE))</f>
        <v/>
      </c>
      <c r="G45" s="5540"/>
      <c r="H45" s="5540"/>
      <c r="I45" s="5541"/>
      <c r="K45" s="1195">
        <v>180</v>
      </c>
      <c r="L45" s="5538" t="s">
        <v>2061</v>
      </c>
      <c r="M45" s="5432"/>
      <c r="N45" s="5539" t="str">
        <f>IF(K38=0,"",VLOOKUP(K38,'Tablas psiquica'!$D$7:$R$145,11,FALSE))</f>
        <v/>
      </c>
      <c r="O45" s="5540"/>
      <c r="P45" s="5540"/>
      <c r="Q45" s="5541"/>
      <c r="R45" s="1143"/>
      <c r="S45" s="1137"/>
      <c r="T45" s="1137"/>
      <c r="U45" s="549"/>
      <c r="V45" s="1195">
        <v>180</v>
      </c>
      <c r="W45" s="5538" t="s">
        <v>2061</v>
      </c>
      <c r="X45" s="5432"/>
      <c r="Y45" s="5539" t="str">
        <f>IF(V38=0,"",VLOOKUP(V38,'Tablas psiquica'!$D$7:$R$145,11,FALSE))</f>
        <v/>
      </c>
      <c r="Z45" s="5540"/>
      <c r="AA45" s="5540"/>
      <c r="AB45" s="5541"/>
      <c r="AC45" s="675"/>
      <c r="AD45" s="1195">
        <v>180</v>
      </c>
      <c r="AE45" s="5538" t="s">
        <v>2061</v>
      </c>
      <c r="AF45" s="5432"/>
      <c r="AG45" s="5539" t="str">
        <f>IF(AD38=0,"",VLOOKUP(AD38,'Tablas psiquica'!$D$7:$R$145,11,FALSE))</f>
        <v/>
      </c>
      <c r="AH45" s="5540"/>
      <c r="AI45" s="5540"/>
      <c r="AJ45" s="5541"/>
      <c r="AK45" s="1143"/>
      <c r="AL45" s="1137"/>
      <c r="AQ45" s="675"/>
      <c r="AR45" s="1177"/>
    </row>
    <row r="46" spans="1:45" ht="12" customHeight="1" x14ac:dyDescent="0.2">
      <c r="A46" s="1137"/>
      <c r="B46" s="549"/>
      <c r="C46" s="1193">
        <v>240</v>
      </c>
      <c r="D46" s="5529" t="s">
        <v>7694</v>
      </c>
      <c r="E46" s="5427"/>
      <c r="F46" s="5530" t="str">
        <f>IF(C38=0,"",VLOOKUP(C38,'Tablas psiquica'!$D$7:$R$145,12,FALSE))</f>
        <v/>
      </c>
      <c r="G46" s="5531"/>
      <c r="H46" s="5531"/>
      <c r="I46" s="5532"/>
      <c r="K46" s="1193">
        <v>240</v>
      </c>
      <c r="L46" s="5529" t="s">
        <v>7694</v>
      </c>
      <c r="M46" s="5427"/>
      <c r="N46" s="5530" t="str">
        <f>IF(K38=0,"",VLOOKUP(K38,'Tablas psiquica'!$D$7:$R$145,12,FALSE))</f>
        <v/>
      </c>
      <c r="O46" s="5531"/>
      <c r="P46" s="5531"/>
      <c r="Q46" s="5532"/>
      <c r="R46" s="1143"/>
      <c r="S46" s="1137"/>
      <c r="T46" s="1137"/>
      <c r="U46" s="549"/>
      <c r="V46" s="1193">
        <v>240</v>
      </c>
      <c r="W46" s="5529" t="s">
        <v>7694</v>
      </c>
      <c r="X46" s="5427"/>
      <c r="Y46" s="5530" t="str">
        <f>IF(V38=0,"",VLOOKUP(V38,'Tablas psiquica'!$D$7:$R$145,12,FALSE))</f>
        <v/>
      </c>
      <c r="Z46" s="5531"/>
      <c r="AA46" s="5531"/>
      <c r="AB46" s="5532"/>
      <c r="AC46" s="675"/>
      <c r="AD46" s="1193">
        <v>240</v>
      </c>
      <c r="AE46" s="5529" t="s">
        <v>7694</v>
      </c>
      <c r="AF46" s="5427"/>
      <c r="AG46" s="5530" t="str">
        <f>IF(AD38=0,"",VLOOKUP(AD38,'Tablas psiquica'!$D$7:$R$145,12,FALSE))</f>
        <v/>
      </c>
      <c r="AH46" s="5531"/>
      <c r="AI46" s="5531"/>
      <c r="AJ46" s="5532"/>
      <c r="AK46" s="1143"/>
      <c r="AL46" s="1137"/>
      <c r="AQ46" s="675"/>
      <c r="AR46" s="1177"/>
    </row>
    <row r="47" spans="1:45" ht="12" customHeight="1" x14ac:dyDescent="0.2">
      <c r="A47" s="1137"/>
      <c r="B47" s="549"/>
      <c r="C47" s="1195">
        <v>280</v>
      </c>
      <c r="D47" s="5538" t="s">
        <v>2066</v>
      </c>
      <c r="E47" s="5432"/>
      <c r="F47" s="5539" t="str">
        <f>IF(C38=0,"",VLOOKUP(C38,'Tablas psiquica'!$D$7:$R$145,13,FALSE))</f>
        <v/>
      </c>
      <c r="G47" s="5540"/>
      <c r="H47" s="5540"/>
      <c r="I47" s="5541"/>
      <c r="K47" s="1195">
        <v>280</v>
      </c>
      <c r="L47" s="5538" t="s">
        <v>2066</v>
      </c>
      <c r="M47" s="5432"/>
      <c r="N47" s="5539" t="str">
        <f>IF(K38=0,"",VLOOKUP(K38,'Tablas psiquica'!$D$7:$R$145,13,FALSE))</f>
        <v/>
      </c>
      <c r="O47" s="5540"/>
      <c r="P47" s="5540"/>
      <c r="Q47" s="5541"/>
      <c r="R47" s="1143"/>
      <c r="S47" s="1137"/>
      <c r="T47" s="1137"/>
      <c r="U47" s="549"/>
      <c r="V47" s="1195">
        <v>280</v>
      </c>
      <c r="W47" s="5538" t="s">
        <v>2066</v>
      </c>
      <c r="X47" s="5432"/>
      <c r="Y47" s="5539" t="str">
        <f>IF(V38=0,"",VLOOKUP(V38,'Tablas psiquica'!$D$7:$R$145,13,FALSE))</f>
        <v/>
      </c>
      <c r="Z47" s="5540"/>
      <c r="AA47" s="5540"/>
      <c r="AB47" s="5541"/>
      <c r="AC47" s="675"/>
      <c r="AD47" s="1195">
        <v>280</v>
      </c>
      <c r="AE47" s="5538" t="s">
        <v>2066</v>
      </c>
      <c r="AF47" s="5432"/>
      <c r="AG47" s="5539" t="str">
        <f>IF(AD38=0,"",VLOOKUP(AD38,'Tablas psiquica'!$D$7:$R$145,13,FALSE))</f>
        <v/>
      </c>
      <c r="AH47" s="5540"/>
      <c r="AI47" s="5540"/>
      <c r="AJ47" s="5541"/>
      <c r="AK47" s="1143"/>
      <c r="AL47" s="1137"/>
      <c r="AQ47" s="675"/>
      <c r="AR47" s="1177"/>
    </row>
    <row r="48" spans="1:45" ht="12" customHeight="1" x14ac:dyDescent="0.2">
      <c r="A48" s="1137"/>
      <c r="B48" s="549"/>
      <c r="C48" s="1193">
        <v>320</v>
      </c>
      <c r="D48" s="5529" t="s">
        <v>2068</v>
      </c>
      <c r="E48" s="5427"/>
      <c r="F48" s="5530" t="str">
        <f>IF(C38=0,"",VLOOKUP(C38,'Tablas psiquica'!$D$7:$R$145,14,FALSE))</f>
        <v/>
      </c>
      <c r="G48" s="5531"/>
      <c r="H48" s="5531"/>
      <c r="I48" s="5532"/>
      <c r="K48" s="1193">
        <v>320</v>
      </c>
      <c r="L48" s="5529" t="s">
        <v>2068</v>
      </c>
      <c r="M48" s="5427"/>
      <c r="N48" s="5530" t="str">
        <f>IF(K38=0,"",VLOOKUP(K38,'Tablas psiquica'!$D$7:$R$145,14,FALSE))</f>
        <v/>
      </c>
      <c r="O48" s="5531"/>
      <c r="P48" s="5531"/>
      <c r="Q48" s="5532"/>
      <c r="R48" s="1143"/>
      <c r="S48" s="1137"/>
      <c r="T48" s="1137"/>
      <c r="U48" s="549"/>
      <c r="V48" s="1193">
        <v>320</v>
      </c>
      <c r="W48" s="5529" t="s">
        <v>2068</v>
      </c>
      <c r="X48" s="5427"/>
      <c r="Y48" s="5530" t="str">
        <f>IF(V38=0,"",VLOOKUP(V38,'Tablas psiquica'!$D$7:$R$145,14,FALSE))</f>
        <v/>
      </c>
      <c r="Z48" s="5531"/>
      <c r="AA48" s="5531"/>
      <c r="AB48" s="5532"/>
      <c r="AC48" s="675"/>
      <c r="AD48" s="1193">
        <v>320</v>
      </c>
      <c r="AE48" s="5529" t="s">
        <v>2068</v>
      </c>
      <c r="AF48" s="5427"/>
      <c r="AG48" s="5530" t="str">
        <f>IF(AD38=0,"",VLOOKUP(AD38,'Tablas psiquica'!$D$7:$R$145,14,FALSE))</f>
        <v/>
      </c>
      <c r="AH48" s="5531"/>
      <c r="AI48" s="5531"/>
      <c r="AJ48" s="5532"/>
      <c r="AK48" s="1143"/>
      <c r="AL48" s="1137"/>
      <c r="AQ48" s="675"/>
      <c r="AR48" s="1177"/>
    </row>
    <row r="49" spans="1:44" ht="12" customHeight="1" x14ac:dyDescent="0.2">
      <c r="A49" s="1137"/>
      <c r="B49" s="549"/>
      <c r="C49" s="1198">
        <v>440</v>
      </c>
      <c r="D49" s="5533" t="s">
        <v>2002</v>
      </c>
      <c r="E49" s="5534"/>
      <c r="F49" s="5535" t="str">
        <f>IF(C38=0,"",VLOOKUP(C38,'Tablas psiquica'!$D$7:$R$145,15,FALSE))</f>
        <v/>
      </c>
      <c r="G49" s="5536"/>
      <c r="H49" s="5536"/>
      <c r="I49" s="5537"/>
      <c r="K49" s="1198">
        <v>440</v>
      </c>
      <c r="L49" s="5533" t="s">
        <v>2002</v>
      </c>
      <c r="M49" s="5534"/>
      <c r="N49" s="5535" t="str">
        <f>IF(K38=0,"",VLOOKUP(K38,'Tablas psiquica'!$D$7:$R$145,15,FALSE))</f>
        <v/>
      </c>
      <c r="O49" s="5536"/>
      <c r="P49" s="5536"/>
      <c r="Q49" s="5537"/>
      <c r="R49" s="1143"/>
      <c r="S49" s="1137"/>
      <c r="T49" s="1137"/>
      <c r="U49" s="549"/>
      <c r="V49" s="1198">
        <v>440</v>
      </c>
      <c r="W49" s="5533" t="s">
        <v>2002</v>
      </c>
      <c r="X49" s="5534"/>
      <c r="Y49" s="5535" t="str">
        <f>IF(V38=0,"",VLOOKUP(V38,'Tablas psiquica'!$D$7:$R$145,15,FALSE))</f>
        <v/>
      </c>
      <c r="Z49" s="5536"/>
      <c r="AA49" s="5536"/>
      <c r="AB49" s="5537"/>
      <c r="AC49" s="675"/>
      <c r="AD49" s="1198">
        <v>440</v>
      </c>
      <c r="AE49" s="5533" t="s">
        <v>2002</v>
      </c>
      <c r="AF49" s="5534"/>
      <c r="AG49" s="5535" t="str">
        <f>IF(AD38=0,"",VLOOKUP(AD38,'Tablas psiquica'!$D$7:$R$145,15,FALSE))</f>
        <v/>
      </c>
      <c r="AH49" s="5536"/>
      <c r="AI49" s="5536"/>
      <c r="AJ49" s="5537"/>
      <c r="AK49" s="1143"/>
      <c r="AL49" s="1137"/>
      <c r="AQ49" s="675"/>
      <c r="AR49" s="1177"/>
    </row>
    <row r="50" spans="1:44" ht="12" customHeight="1" thickBot="1" x14ac:dyDescent="0.25">
      <c r="A50" s="1137"/>
      <c r="B50" s="549"/>
      <c r="C50" s="5526" t="s">
        <v>7695</v>
      </c>
      <c r="D50" s="5527"/>
      <c r="E50" s="1199" t="str">
        <f>IF(C38=0,"",VLOOKUP(C38,'Tablas psiquica'!$D$7:$R$145,4,FALSE))</f>
        <v/>
      </c>
      <c r="F50" s="5528" t="s">
        <v>7690</v>
      </c>
      <c r="G50" s="5528"/>
      <c r="H50" s="4342" t="str">
        <f>IF(C38=0,"",VLOOKUP(C38,'Tablas psiquica'!$D$7:$R$145,5,FALSE))</f>
        <v/>
      </c>
      <c r="I50" s="4343"/>
      <c r="K50" s="5526" t="s">
        <v>7695</v>
      </c>
      <c r="L50" s="5527"/>
      <c r="M50" s="1199" t="str">
        <f>IF(K38=0,"",VLOOKUP(K38,'Tablas psiquica'!$D$7:$R$145,4,FALSE))</f>
        <v/>
      </c>
      <c r="N50" s="5528" t="s">
        <v>7690</v>
      </c>
      <c r="O50" s="5528"/>
      <c r="P50" s="4342" t="str">
        <f>IF(K38=0,"",VLOOKUP(K38,'Tablas psiquica'!$D$7:$R$145,5,FALSE))</f>
        <v/>
      </c>
      <c r="Q50" s="4343"/>
      <c r="R50" s="1143"/>
      <c r="S50" s="1137"/>
      <c r="T50" s="1137"/>
      <c r="U50" s="549"/>
      <c r="V50" s="5526" t="s">
        <v>7695</v>
      </c>
      <c r="W50" s="5527"/>
      <c r="X50" s="1199" t="str">
        <f>IF(V38=0,"",VLOOKUP(V38,'Tablas psiquica'!$D$7:$R$145,4,FALSE))</f>
        <v/>
      </c>
      <c r="Y50" s="5528" t="s">
        <v>7690</v>
      </c>
      <c r="Z50" s="5528"/>
      <c r="AA50" s="4342" t="str">
        <f>IF(V38=0,"",VLOOKUP(V38,'Tablas psiquica'!$D$7:$R$145,5,FALSE))</f>
        <v/>
      </c>
      <c r="AB50" s="4343"/>
      <c r="AC50" s="675"/>
      <c r="AD50" s="5526" t="s">
        <v>7695</v>
      </c>
      <c r="AE50" s="5527"/>
      <c r="AF50" s="1199" t="str">
        <f>IF(AD38=0,"",VLOOKUP(AD38,'Tablas psiquica'!$D$7:$R$145,4,FALSE))</f>
        <v/>
      </c>
      <c r="AG50" s="5528" t="s">
        <v>7690</v>
      </c>
      <c r="AH50" s="5528"/>
      <c r="AI50" s="4342" t="str">
        <f>IF(AD38=0,"",VLOOKUP(AD38,'Tablas psiquica'!$D$7:$R$145,5,FALSE))</f>
        <v/>
      </c>
      <c r="AJ50" s="4343"/>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452"/>
      <c r="D52" s="5453"/>
      <c r="E52" s="5453"/>
      <c r="F52" s="5453"/>
      <c r="G52" s="5453"/>
      <c r="H52" s="5453"/>
      <c r="I52" s="1190" t="s">
        <v>1712</v>
      </c>
      <c r="K52" s="5452"/>
      <c r="L52" s="5453"/>
      <c r="M52" s="5453"/>
      <c r="N52" s="5453"/>
      <c r="O52" s="5453"/>
      <c r="P52" s="5453"/>
      <c r="Q52" s="1190" t="s">
        <v>1712</v>
      </c>
      <c r="R52" s="1143"/>
      <c r="S52" s="1137"/>
      <c r="T52" s="1137"/>
      <c r="U52" s="549"/>
      <c r="V52" s="5452"/>
      <c r="W52" s="5453"/>
      <c r="X52" s="5453"/>
      <c r="Y52" s="5453"/>
      <c r="Z52" s="5453"/>
      <c r="AA52" s="5453"/>
      <c r="AB52" s="1190" t="s">
        <v>1712</v>
      </c>
      <c r="AC52" s="675"/>
      <c r="AD52" s="5452"/>
      <c r="AE52" s="5453"/>
      <c r="AF52" s="5453"/>
      <c r="AG52" s="5453"/>
      <c r="AH52" s="5453"/>
      <c r="AI52" s="5453"/>
      <c r="AJ52" s="1190" t="s">
        <v>1712</v>
      </c>
      <c r="AK52" s="1143"/>
      <c r="AL52" s="1137"/>
      <c r="AQ52" s="675"/>
      <c r="AR52" s="1177"/>
    </row>
    <row r="53" spans="1:44" ht="12" customHeight="1" x14ac:dyDescent="0.2">
      <c r="A53" s="1137"/>
      <c r="B53" s="549"/>
      <c r="C53" s="5542" t="str">
        <f>IF(C52=0,"",VLOOKUP(C52,'Tablas psiquica'!$D$7:$R$145,2,FALSE))</f>
        <v/>
      </c>
      <c r="D53" s="5543"/>
      <c r="E53" s="5543"/>
      <c r="F53" s="5543"/>
      <c r="G53" s="5543"/>
      <c r="H53" s="5543"/>
      <c r="I53" s="1192" t="str">
        <f>IF(C52=0,"",VLOOKUP(C52,'Tablas psiquica'!$D$7:$R$145,3,FALSE))</f>
        <v/>
      </c>
      <c r="K53" s="5542" t="str">
        <f>IF(K52=0,"",VLOOKUP(K52,'Tablas psiquica'!$D$7:$R$145,2,FALSE))</f>
        <v/>
      </c>
      <c r="L53" s="5543"/>
      <c r="M53" s="5543"/>
      <c r="N53" s="5543"/>
      <c r="O53" s="5543"/>
      <c r="P53" s="5543"/>
      <c r="Q53" s="1192" t="str">
        <f>IF(K52=0,"",VLOOKUP(K52,'Tablas psiquica'!$D$7:$R$145,3,FALSE))</f>
        <v/>
      </c>
      <c r="R53" s="1143"/>
      <c r="S53" s="1137"/>
      <c r="T53" s="1137"/>
      <c r="U53" s="549"/>
      <c r="V53" s="5542" t="str">
        <f>IF(V52=0,"",VLOOKUP(V52,'Tablas psiquica'!$D$7:$R$145,2,FALSE))</f>
        <v/>
      </c>
      <c r="W53" s="5543"/>
      <c r="X53" s="5543"/>
      <c r="Y53" s="5543"/>
      <c r="Z53" s="5543"/>
      <c r="AA53" s="5543"/>
      <c r="AB53" s="1192" t="str">
        <f>IF(V52=0,"",VLOOKUP(V52,'Tablas psiquica'!$D$7:$R$145,3,FALSE))</f>
        <v/>
      </c>
      <c r="AC53" s="675"/>
      <c r="AD53" s="5542" t="str">
        <f>IF(AD52=0,"",VLOOKUP(AD52,'Tablas psiquica'!$D$7:$R$145,2,FALSE))</f>
        <v/>
      </c>
      <c r="AE53" s="5543"/>
      <c r="AF53" s="5543"/>
      <c r="AG53" s="5543"/>
      <c r="AH53" s="5543"/>
      <c r="AI53" s="5543"/>
      <c r="AJ53" s="1192" t="str">
        <f>IF(AD52=0,"",VLOOKUP(AD52,'Tablas psiquica'!$D$7:$R$145,3,FALSE))</f>
        <v/>
      </c>
      <c r="AK53" s="1143"/>
      <c r="AL53" s="1137"/>
      <c r="AQ53" s="675"/>
      <c r="AR53" s="1177"/>
    </row>
    <row r="54" spans="1:44" ht="12" customHeight="1" x14ac:dyDescent="0.2">
      <c r="A54" s="1137"/>
      <c r="B54" s="549"/>
      <c r="C54" s="1193">
        <v>20</v>
      </c>
      <c r="D54" s="5529" t="s">
        <v>2045</v>
      </c>
      <c r="E54" s="5427"/>
      <c r="F54" s="5530" t="str">
        <f>IF(C52=0,"",VLOOKUP(C52,'Tablas psiquica'!$D$7:$R$145,6,FALSE))</f>
        <v/>
      </c>
      <c r="G54" s="5531"/>
      <c r="H54" s="5531"/>
      <c r="I54" s="5532"/>
      <c r="K54" s="1193">
        <v>20</v>
      </c>
      <c r="L54" s="5529" t="s">
        <v>2045</v>
      </c>
      <c r="M54" s="5427"/>
      <c r="N54" s="5530" t="str">
        <f>IF(K52=0,"",VLOOKUP(K52,'Tablas psiquica'!$D$7:$R$145,6,FALSE))</f>
        <v/>
      </c>
      <c r="O54" s="5531"/>
      <c r="P54" s="5531"/>
      <c r="Q54" s="5532"/>
      <c r="R54" s="1143"/>
      <c r="S54" s="1137"/>
      <c r="T54" s="1137"/>
      <c r="U54" s="549"/>
      <c r="V54" s="1193">
        <v>20</v>
      </c>
      <c r="W54" s="5529" t="s">
        <v>2045</v>
      </c>
      <c r="X54" s="5427"/>
      <c r="Y54" s="5530" t="str">
        <f>IF(V52=0,"",VLOOKUP(V52,'Tablas psiquica'!$D$7:$R$145,6,FALSE))</f>
        <v/>
      </c>
      <c r="Z54" s="5531"/>
      <c r="AA54" s="5531"/>
      <c r="AB54" s="5532"/>
      <c r="AC54" s="675"/>
      <c r="AD54" s="1193">
        <v>20</v>
      </c>
      <c r="AE54" s="5529" t="s">
        <v>2045</v>
      </c>
      <c r="AF54" s="5427"/>
      <c r="AG54" s="5530" t="str">
        <f>IF(AD52=0,"",VLOOKUP(AD52,'Tablas psiquica'!$D$7:$R$145,6,FALSE))</f>
        <v/>
      </c>
      <c r="AH54" s="5531"/>
      <c r="AI54" s="5531"/>
      <c r="AJ54" s="5532"/>
      <c r="AK54" s="1143"/>
      <c r="AL54" s="1137"/>
      <c r="AQ54" s="675"/>
      <c r="AR54" s="1177"/>
    </row>
    <row r="55" spans="1:44" ht="12" customHeight="1" x14ac:dyDescent="0.2">
      <c r="A55" s="1137"/>
      <c r="B55" s="549"/>
      <c r="C55" s="1195">
        <v>40</v>
      </c>
      <c r="D55" s="5538" t="s">
        <v>2049</v>
      </c>
      <c r="E55" s="5432"/>
      <c r="F55" s="5539" t="str">
        <f>IF(C52=0,"",VLOOKUP(C52,'Tablas psiquica'!$D$7:$R$145,7,FALSE))</f>
        <v/>
      </c>
      <c r="G55" s="5540"/>
      <c r="H55" s="5540"/>
      <c r="I55" s="5541"/>
      <c r="K55" s="1195">
        <v>40</v>
      </c>
      <c r="L55" s="5538" t="s">
        <v>2049</v>
      </c>
      <c r="M55" s="5432"/>
      <c r="N55" s="5539" t="str">
        <f>IF(K52=0,"",VLOOKUP(K52,'Tablas psiquica'!$D$7:$R$145,7,FALSE))</f>
        <v/>
      </c>
      <c r="O55" s="5540"/>
      <c r="P55" s="5540"/>
      <c r="Q55" s="5541"/>
      <c r="R55" s="1143"/>
      <c r="S55" s="1137"/>
      <c r="T55" s="1137"/>
      <c r="U55" s="549"/>
      <c r="V55" s="1195">
        <v>40</v>
      </c>
      <c r="W55" s="5538" t="s">
        <v>2049</v>
      </c>
      <c r="X55" s="5432"/>
      <c r="Y55" s="5539" t="str">
        <f>IF(V52=0,"",VLOOKUP(V52,'Tablas psiquica'!$D$7:$R$145,7,FALSE))</f>
        <v/>
      </c>
      <c r="Z55" s="5540"/>
      <c r="AA55" s="5540"/>
      <c r="AB55" s="5541"/>
      <c r="AC55" s="675"/>
      <c r="AD55" s="1195">
        <v>40</v>
      </c>
      <c r="AE55" s="5538" t="s">
        <v>2049</v>
      </c>
      <c r="AF55" s="5432"/>
      <c r="AG55" s="5539" t="str">
        <f>IF(AD52=0,"",VLOOKUP(AD52,'Tablas psiquica'!$D$7:$R$145,7,FALSE))</f>
        <v/>
      </c>
      <c r="AH55" s="5540"/>
      <c r="AI55" s="5540"/>
      <c r="AJ55" s="5541"/>
      <c r="AK55" s="1143"/>
      <c r="AL55" s="1137"/>
      <c r="AQ55" s="675"/>
      <c r="AR55" s="1177"/>
    </row>
    <row r="56" spans="1:44" ht="12" customHeight="1" x14ac:dyDescent="0.2">
      <c r="A56" s="1137"/>
      <c r="B56" s="549"/>
      <c r="C56" s="1193">
        <v>80</v>
      </c>
      <c r="D56" s="5529" t="s">
        <v>2052</v>
      </c>
      <c r="E56" s="5427"/>
      <c r="F56" s="5530" t="str">
        <f>IF(C52=0,"",VLOOKUP(C52,'Tablas psiquica'!$D$7:$R$145,8,FALSE))</f>
        <v/>
      </c>
      <c r="G56" s="5531"/>
      <c r="H56" s="5531"/>
      <c r="I56" s="5532"/>
      <c r="K56" s="1193">
        <v>80</v>
      </c>
      <c r="L56" s="5529" t="s">
        <v>2052</v>
      </c>
      <c r="M56" s="5427"/>
      <c r="N56" s="5530" t="str">
        <f>IF(K52=0,"",VLOOKUP(K52,'Tablas psiquica'!$D$7:$R$145,8,FALSE))</f>
        <v/>
      </c>
      <c r="O56" s="5531"/>
      <c r="P56" s="5531"/>
      <c r="Q56" s="5532"/>
      <c r="R56" s="1143"/>
      <c r="S56" s="1137"/>
      <c r="T56" s="1137"/>
      <c r="U56" s="549"/>
      <c r="V56" s="1193">
        <v>80</v>
      </c>
      <c r="W56" s="5529" t="s">
        <v>2052</v>
      </c>
      <c r="X56" s="5427"/>
      <c r="Y56" s="5530" t="str">
        <f>IF(V52=0,"",VLOOKUP(V52,'Tablas psiquica'!$D$7:$R$145,8,FALSE))</f>
        <v/>
      </c>
      <c r="Z56" s="5531"/>
      <c r="AA56" s="5531"/>
      <c r="AB56" s="5532"/>
      <c r="AC56" s="675"/>
      <c r="AD56" s="1193">
        <v>80</v>
      </c>
      <c r="AE56" s="5529" t="s">
        <v>2052</v>
      </c>
      <c r="AF56" s="5427"/>
      <c r="AG56" s="5530" t="str">
        <f>IF(AD52=0,"",VLOOKUP(AD52,'Tablas psiquica'!$D$7:$R$145,8,FALSE))</f>
        <v/>
      </c>
      <c r="AH56" s="5531"/>
      <c r="AI56" s="5531"/>
      <c r="AJ56" s="5532"/>
      <c r="AK56" s="1143"/>
      <c r="AL56" s="1137"/>
      <c r="AQ56" s="675"/>
      <c r="AR56" s="1177"/>
    </row>
    <row r="57" spans="1:44" ht="12" customHeight="1" x14ac:dyDescent="0.2">
      <c r="A57" s="1137"/>
      <c r="B57" s="549"/>
      <c r="C57" s="1195">
        <v>120</v>
      </c>
      <c r="D57" s="5538" t="s">
        <v>2056</v>
      </c>
      <c r="E57" s="5432"/>
      <c r="F57" s="5539" t="str">
        <f>IF(C52=0,"",VLOOKUP(C52,'Tablas psiquica'!$D$7:$R$145,9,FALSE))</f>
        <v/>
      </c>
      <c r="G57" s="5540"/>
      <c r="H57" s="5540"/>
      <c r="I57" s="5541"/>
      <c r="K57" s="1195">
        <v>120</v>
      </c>
      <c r="L57" s="5538" t="s">
        <v>2056</v>
      </c>
      <c r="M57" s="5432"/>
      <c r="N57" s="5539" t="str">
        <f>IF(K52=0,"",VLOOKUP(K52,'Tablas psiquica'!$D$7:$R$145,9,FALSE))</f>
        <v/>
      </c>
      <c r="O57" s="5540"/>
      <c r="P57" s="5540"/>
      <c r="Q57" s="5541"/>
      <c r="R57" s="1143"/>
      <c r="S57" s="1137"/>
      <c r="T57" s="1137"/>
      <c r="U57" s="549"/>
      <c r="V57" s="1195">
        <v>120</v>
      </c>
      <c r="W57" s="5538" t="s">
        <v>2056</v>
      </c>
      <c r="X57" s="5432"/>
      <c r="Y57" s="5539" t="str">
        <f>IF(V52=0,"",VLOOKUP(V52,'Tablas psiquica'!$D$7:$R$145,9,FALSE))</f>
        <v/>
      </c>
      <c r="Z57" s="5540"/>
      <c r="AA57" s="5540"/>
      <c r="AB57" s="5541"/>
      <c r="AC57" s="675"/>
      <c r="AD57" s="1195">
        <v>120</v>
      </c>
      <c r="AE57" s="5538" t="s">
        <v>2056</v>
      </c>
      <c r="AF57" s="5432"/>
      <c r="AG57" s="5539" t="str">
        <f>IF(AD52=0,"",VLOOKUP(AD52,'Tablas psiquica'!$D$7:$R$145,9,FALSE))</f>
        <v/>
      </c>
      <c r="AH57" s="5540"/>
      <c r="AI57" s="5540"/>
      <c r="AJ57" s="5541"/>
      <c r="AK57" s="1143"/>
      <c r="AL57" s="1137"/>
      <c r="AQ57" s="675"/>
      <c r="AR57" s="1177"/>
    </row>
    <row r="58" spans="1:44" ht="12" customHeight="1" x14ac:dyDescent="0.2">
      <c r="A58" s="1137"/>
      <c r="B58" s="549"/>
      <c r="C58" s="1193">
        <v>140</v>
      </c>
      <c r="D58" s="5529" t="s">
        <v>7693</v>
      </c>
      <c r="E58" s="5427"/>
      <c r="F58" s="5530" t="str">
        <f>IF(C52=0,"",VLOOKUP(C52,'Tablas psiquica'!$D$7:$R$145,10,FALSE))</f>
        <v/>
      </c>
      <c r="G58" s="5531"/>
      <c r="H58" s="5531"/>
      <c r="I58" s="5532"/>
      <c r="K58" s="1193">
        <v>140</v>
      </c>
      <c r="L58" s="5529" t="s">
        <v>7693</v>
      </c>
      <c r="M58" s="5427"/>
      <c r="N58" s="5530" t="str">
        <f>IF(K52=0,"",VLOOKUP(K52,'Tablas psiquica'!$D$7:$R$145,10,FALSE))</f>
        <v/>
      </c>
      <c r="O58" s="5531"/>
      <c r="P58" s="5531"/>
      <c r="Q58" s="5532"/>
      <c r="R58" s="1143"/>
      <c r="S58" s="1137"/>
      <c r="T58" s="1137"/>
      <c r="U58" s="549"/>
      <c r="V58" s="1193">
        <v>140</v>
      </c>
      <c r="W58" s="5529" t="s">
        <v>7693</v>
      </c>
      <c r="X58" s="5427"/>
      <c r="Y58" s="5530" t="str">
        <f>IF(V52=0,"",VLOOKUP(V52,'Tablas psiquica'!$D$7:$R$145,10,FALSE))</f>
        <v/>
      </c>
      <c r="Z58" s="5531"/>
      <c r="AA58" s="5531"/>
      <c r="AB58" s="5532"/>
      <c r="AC58" s="1203"/>
      <c r="AD58" s="1193">
        <v>140</v>
      </c>
      <c r="AE58" s="5529" t="s">
        <v>7693</v>
      </c>
      <c r="AF58" s="5427"/>
      <c r="AG58" s="5530" t="str">
        <f>IF(AD52=0,"",VLOOKUP(AD52,'Tablas psiquica'!$D$7:$R$145,10,FALSE))</f>
        <v/>
      </c>
      <c r="AH58" s="5531"/>
      <c r="AI58" s="5531"/>
      <c r="AJ58" s="5532"/>
      <c r="AK58" s="1143"/>
      <c r="AL58" s="1137"/>
      <c r="AQ58" s="675"/>
      <c r="AR58" s="1177"/>
    </row>
    <row r="59" spans="1:44" ht="12" customHeight="1" x14ac:dyDescent="0.2">
      <c r="A59" s="1137"/>
      <c r="B59" s="549"/>
      <c r="C59" s="1195">
        <v>180</v>
      </c>
      <c r="D59" s="5538" t="s">
        <v>2061</v>
      </c>
      <c r="E59" s="5432"/>
      <c r="F59" s="5539" t="str">
        <f>IF(C52=0,"",VLOOKUP(C52,'Tablas psiquica'!$D$7:$R$145,11,FALSE))</f>
        <v/>
      </c>
      <c r="G59" s="5540"/>
      <c r="H59" s="5540"/>
      <c r="I59" s="5541"/>
      <c r="K59" s="1195">
        <v>180</v>
      </c>
      <c r="L59" s="5538" t="s">
        <v>2061</v>
      </c>
      <c r="M59" s="5432"/>
      <c r="N59" s="5539" t="str">
        <f>IF(K52=0,"",VLOOKUP(K52,'Tablas psiquica'!$D$7:$R$145,11,FALSE))</f>
        <v/>
      </c>
      <c r="O59" s="5540"/>
      <c r="P59" s="5540"/>
      <c r="Q59" s="5541"/>
      <c r="R59" s="1143"/>
      <c r="S59" s="1137"/>
      <c r="T59" s="1137"/>
      <c r="U59" s="549"/>
      <c r="V59" s="1195">
        <v>180</v>
      </c>
      <c r="W59" s="5538" t="s">
        <v>2061</v>
      </c>
      <c r="X59" s="5432"/>
      <c r="Y59" s="5539" t="str">
        <f>IF(V52=0,"",VLOOKUP(V52,'Tablas psiquica'!$D$7:$R$145,11,FALSE))</f>
        <v/>
      </c>
      <c r="Z59" s="5540"/>
      <c r="AA59" s="5540"/>
      <c r="AB59" s="5541"/>
      <c r="AC59" s="675"/>
      <c r="AD59" s="1195">
        <v>180</v>
      </c>
      <c r="AE59" s="5538" t="s">
        <v>2061</v>
      </c>
      <c r="AF59" s="5432"/>
      <c r="AG59" s="5539" t="str">
        <f>IF(AD52=0,"",VLOOKUP(AD52,'Tablas psiquica'!$D$7:$R$145,11,FALSE))</f>
        <v/>
      </c>
      <c r="AH59" s="5540"/>
      <c r="AI59" s="5540"/>
      <c r="AJ59" s="5541"/>
      <c r="AK59" s="1143"/>
      <c r="AL59" s="1137"/>
      <c r="AQ59" s="675"/>
      <c r="AR59" s="1177"/>
    </row>
    <row r="60" spans="1:44" ht="12" customHeight="1" x14ac:dyDescent="0.2">
      <c r="A60" s="1137"/>
      <c r="B60" s="549"/>
      <c r="C60" s="1193">
        <v>240</v>
      </c>
      <c r="D60" s="5529" t="s">
        <v>7694</v>
      </c>
      <c r="E60" s="5427"/>
      <c r="F60" s="5530" t="str">
        <f>IF(C52=0,"",VLOOKUP(C52,'Tablas psiquica'!$D$7:$R$145,12,FALSE))</f>
        <v/>
      </c>
      <c r="G60" s="5531"/>
      <c r="H60" s="5531"/>
      <c r="I60" s="5532"/>
      <c r="K60" s="1193">
        <v>240</v>
      </c>
      <c r="L60" s="5529" t="s">
        <v>7694</v>
      </c>
      <c r="M60" s="5427"/>
      <c r="N60" s="5530" t="str">
        <f>IF(K52=0,"",VLOOKUP(K52,'Tablas psiquica'!$D$7:$R$145,12,FALSE))</f>
        <v/>
      </c>
      <c r="O60" s="5531"/>
      <c r="P60" s="5531"/>
      <c r="Q60" s="5532"/>
      <c r="R60" s="1143"/>
      <c r="S60" s="1137"/>
      <c r="T60" s="1137"/>
      <c r="U60" s="549"/>
      <c r="V60" s="1193">
        <v>240</v>
      </c>
      <c r="W60" s="5529" t="s">
        <v>7694</v>
      </c>
      <c r="X60" s="5427"/>
      <c r="Y60" s="5530" t="str">
        <f>IF(V52=0,"",VLOOKUP(V52,'Tablas psiquica'!$D$7:$R$145,12,FALSE))</f>
        <v/>
      </c>
      <c r="Z60" s="5531"/>
      <c r="AA60" s="5531"/>
      <c r="AB60" s="5532"/>
      <c r="AC60" s="675"/>
      <c r="AD60" s="1193">
        <v>240</v>
      </c>
      <c r="AE60" s="5529" t="s">
        <v>7694</v>
      </c>
      <c r="AF60" s="5427"/>
      <c r="AG60" s="5530" t="str">
        <f>IF(AD52=0,"",VLOOKUP(AD52,'Tablas psiquica'!$D$7:$R$145,12,FALSE))</f>
        <v/>
      </c>
      <c r="AH60" s="5531"/>
      <c r="AI60" s="5531"/>
      <c r="AJ60" s="5532"/>
      <c r="AK60" s="1143"/>
      <c r="AL60" s="1137"/>
      <c r="AQ60" s="675"/>
      <c r="AR60" s="1177"/>
    </row>
    <row r="61" spans="1:44" ht="12" customHeight="1" x14ac:dyDescent="0.2">
      <c r="A61" s="1137"/>
      <c r="B61" s="549"/>
      <c r="C61" s="1195">
        <v>280</v>
      </c>
      <c r="D61" s="5538" t="s">
        <v>2066</v>
      </c>
      <c r="E61" s="5432"/>
      <c r="F61" s="5539" t="str">
        <f>IF(C52=0,"",VLOOKUP(C52,'Tablas psiquica'!$D$7:$R$145,13,FALSE))</f>
        <v/>
      </c>
      <c r="G61" s="5540"/>
      <c r="H61" s="5540"/>
      <c r="I61" s="5541"/>
      <c r="K61" s="1195">
        <v>280</v>
      </c>
      <c r="L61" s="5538" t="s">
        <v>2066</v>
      </c>
      <c r="M61" s="5432"/>
      <c r="N61" s="5539" t="str">
        <f>IF(K52=0,"",VLOOKUP(K52,'Tablas psiquica'!$D$7:$R$145,13,FALSE))</f>
        <v/>
      </c>
      <c r="O61" s="5540"/>
      <c r="P61" s="5540"/>
      <c r="Q61" s="5541"/>
      <c r="R61" s="1143"/>
      <c r="S61" s="1137"/>
      <c r="T61" s="1137"/>
      <c r="U61" s="549"/>
      <c r="V61" s="1195">
        <v>280</v>
      </c>
      <c r="W61" s="5538" t="s">
        <v>2066</v>
      </c>
      <c r="X61" s="5432"/>
      <c r="Y61" s="5539" t="str">
        <f>IF(V52=0,"",VLOOKUP(V52,'Tablas psiquica'!$D$7:$R$145,13,FALSE))</f>
        <v/>
      </c>
      <c r="Z61" s="5540"/>
      <c r="AA61" s="5540"/>
      <c r="AB61" s="5541"/>
      <c r="AC61" s="675"/>
      <c r="AD61" s="1195">
        <v>280</v>
      </c>
      <c r="AE61" s="5538" t="s">
        <v>2066</v>
      </c>
      <c r="AF61" s="5432"/>
      <c r="AG61" s="5539" t="str">
        <f>IF(AD52=0,"",VLOOKUP(AD52,'Tablas psiquica'!$D$7:$R$145,13,FALSE))</f>
        <v/>
      </c>
      <c r="AH61" s="5540"/>
      <c r="AI61" s="5540"/>
      <c r="AJ61" s="5541"/>
      <c r="AK61" s="1143"/>
      <c r="AL61" s="1137"/>
      <c r="AQ61" s="675"/>
      <c r="AR61" s="1177"/>
    </row>
    <row r="62" spans="1:44" ht="12" customHeight="1" x14ac:dyDescent="0.2">
      <c r="A62" s="1137"/>
      <c r="B62" s="549"/>
      <c r="C62" s="1193">
        <v>320</v>
      </c>
      <c r="D62" s="5529" t="s">
        <v>2068</v>
      </c>
      <c r="E62" s="5427"/>
      <c r="F62" s="5530" t="str">
        <f>IF(C52=0,"",VLOOKUP(C52,'Tablas psiquica'!$D$7:$R$145,14,FALSE))</f>
        <v/>
      </c>
      <c r="G62" s="5531"/>
      <c r="H62" s="5531"/>
      <c r="I62" s="5532"/>
      <c r="K62" s="1193">
        <v>320</v>
      </c>
      <c r="L62" s="5529" t="s">
        <v>2068</v>
      </c>
      <c r="M62" s="5427"/>
      <c r="N62" s="5530" t="str">
        <f>IF(K52=0,"",VLOOKUP(K52,'Tablas psiquica'!$D$7:$R$145,14,FALSE))</f>
        <v/>
      </c>
      <c r="O62" s="5531"/>
      <c r="P62" s="5531"/>
      <c r="Q62" s="5532"/>
      <c r="R62" s="1143"/>
      <c r="S62" s="1137"/>
      <c r="T62" s="1137"/>
      <c r="U62" s="549"/>
      <c r="V62" s="1193">
        <v>320</v>
      </c>
      <c r="W62" s="5529" t="s">
        <v>2068</v>
      </c>
      <c r="X62" s="5427"/>
      <c r="Y62" s="5530" t="str">
        <f>IF(V52=0,"",VLOOKUP(V52,'Tablas psiquica'!$D$7:$R$145,14,FALSE))</f>
        <v/>
      </c>
      <c r="Z62" s="5531"/>
      <c r="AA62" s="5531"/>
      <c r="AB62" s="5532"/>
      <c r="AC62" s="675"/>
      <c r="AD62" s="1193">
        <v>320</v>
      </c>
      <c r="AE62" s="5529" t="s">
        <v>2068</v>
      </c>
      <c r="AF62" s="5427"/>
      <c r="AG62" s="5530" t="str">
        <f>IF(AD52=0,"",VLOOKUP(AD52,'Tablas psiquica'!$D$7:$R$145,14,FALSE))</f>
        <v/>
      </c>
      <c r="AH62" s="5531"/>
      <c r="AI62" s="5531"/>
      <c r="AJ62" s="5532"/>
      <c r="AK62" s="1143"/>
      <c r="AL62" s="1137"/>
      <c r="AQ62" s="675"/>
      <c r="AR62" s="1177"/>
    </row>
    <row r="63" spans="1:44" ht="12" customHeight="1" x14ac:dyDescent="0.2">
      <c r="A63" s="1137"/>
      <c r="B63" s="549"/>
      <c r="C63" s="1198">
        <v>440</v>
      </c>
      <c r="D63" s="5533" t="s">
        <v>2002</v>
      </c>
      <c r="E63" s="5534"/>
      <c r="F63" s="5535" t="str">
        <f>IF(C52=0,"",VLOOKUP(C52,'Tablas psiquica'!$D$7:$R$145,15,FALSE))</f>
        <v/>
      </c>
      <c r="G63" s="5536"/>
      <c r="H63" s="5536"/>
      <c r="I63" s="5537"/>
      <c r="K63" s="1198">
        <v>440</v>
      </c>
      <c r="L63" s="5533" t="s">
        <v>2002</v>
      </c>
      <c r="M63" s="5534"/>
      <c r="N63" s="5535" t="str">
        <f>IF(K52=0,"",VLOOKUP(K52,'Tablas psiquica'!$D$7:$R$145,15,FALSE))</f>
        <v/>
      </c>
      <c r="O63" s="5536"/>
      <c r="P63" s="5536"/>
      <c r="Q63" s="5537"/>
      <c r="R63" s="1143"/>
      <c r="S63" s="1137"/>
      <c r="T63" s="1137"/>
      <c r="U63" s="549"/>
      <c r="V63" s="1198">
        <v>440</v>
      </c>
      <c r="W63" s="5533" t="s">
        <v>2002</v>
      </c>
      <c r="X63" s="5534"/>
      <c r="Y63" s="5535" t="str">
        <f>IF(V52=0,"",VLOOKUP(V52,'Tablas psiquica'!$D$7:$R$145,15,FALSE))</f>
        <v/>
      </c>
      <c r="Z63" s="5536"/>
      <c r="AA63" s="5536"/>
      <c r="AB63" s="5537"/>
      <c r="AC63" s="1185"/>
      <c r="AD63" s="1198">
        <v>440</v>
      </c>
      <c r="AE63" s="5533" t="s">
        <v>2002</v>
      </c>
      <c r="AF63" s="5534"/>
      <c r="AG63" s="5535" t="str">
        <f>IF(AD52=0,"",VLOOKUP(AD52,'Tablas psiquica'!$D$7:$R$145,15,FALSE))</f>
        <v/>
      </c>
      <c r="AH63" s="5536"/>
      <c r="AI63" s="5536"/>
      <c r="AJ63" s="5537"/>
      <c r="AK63" s="1143"/>
      <c r="AL63" s="1137"/>
      <c r="AQ63" s="675"/>
      <c r="AR63" s="1177"/>
    </row>
    <row r="64" spans="1:44" ht="12" customHeight="1" thickBot="1" x14ac:dyDescent="0.25">
      <c r="A64" s="1137"/>
      <c r="B64" s="549"/>
      <c r="C64" s="5526" t="s">
        <v>7695</v>
      </c>
      <c r="D64" s="5527"/>
      <c r="E64" s="1199" t="str">
        <f>IF(C52=0,"",VLOOKUP(C52,'Tablas psiquica'!$D$7:$R$145,4,FALSE))</f>
        <v/>
      </c>
      <c r="F64" s="5528" t="s">
        <v>7690</v>
      </c>
      <c r="G64" s="5528"/>
      <c r="H64" s="4342" t="str">
        <f>IF(C52=0,"",VLOOKUP(C52,'Tablas psiquica'!$D$7:$R$145,5,FALSE))</f>
        <v/>
      </c>
      <c r="I64" s="4343"/>
      <c r="K64" s="5526" t="s">
        <v>7695</v>
      </c>
      <c r="L64" s="5527"/>
      <c r="M64" s="1199" t="str">
        <f>IF(K52=0,"",VLOOKUP(K52,'Tablas psiquica'!$D$7:$R$145,4,FALSE))</f>
        <v/>
      </c>
      <c r="N64" s="5528" t="s">
        <v>7690</v>
      </c>
      <c r="O64" s="5528"/>
      <c r="P64" s="4342" t="str">
        <f>IF(K52=0,"",VLOOKUP(K52,'Tablas psiquica'!$D$7:$R$145,5,FALSE))</f>
        <v/>
      </c>
      <c r="Q64" s="4343"/>
      <c r="R64" s="1143"/>
      <c r="S64" s="1137"/>
      <c r="T64" s="1137"/>
      <c r="U64" s="549"/>
      <c r="V64" s="5526" t="s">
        <v>7695</v>
      </c>
      <c r="W64" s="5527"/>
      <c r="X64" s="1199" t="str">
        <f>IF(V52=0,"",VLOOKUP(V52,'Tablas psiquica'!$D$7:$R$145,4,FALSE))</f>
        <v/>
      </c>
      <c r="Y64" s="5528" t="s">
        <v>7690</v>
      </c>
      <c r="Z64" s="5528"/>
      <c r="AA64" s="4342" t="str">
        <f>IF(V52=0,"",VLOOKUP(V52,'Tablas psiquica'!$D$7:$R$145,5,FALSE))</f>
        <v/>
      </c>
      <c r="AB64" s="4343"/>
      <c r="AC64" s="1185"/>
      <c r="AD64" s="5526" t="s">
        <v>7695</v>
      </c>
      <c r="AE64" s="5527"/>
      <c r="AF64" s="1199" t="str">
        <f>IF(AD52=0,"",VLOOKUP(AD52,'Tablas psiquica'!$D$7:$R$145,4,FALSE))</f>
        <v/>
      </c>
      <c r="AG64" s="5528" t="s">
        <v>7690</v>
      </c>
      <c r="AH64" s="5528"/>
      <c r="AI64" s="4342" t="str">
        <f>IF(AD52=0,"",VLOOKUP(AD52,'Tablas psiquica'!$D$7:$R$145,5,FALSE))</f>
        <v/>
      </c>
      <c r="AJ64" s="4343"/>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2018-09-16T12:48:48Z</dcterms:modified>
</cp:coreProperties>
</file>